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CENTRE (EDL)/2GAUT-123/Dossier octobre 2024/"/>
    </mc:Choice>
  </mc:AlternateContent>
  <xr:revisionPtr revIDLastSave="80" documentId="8_{D28B78AB-1E5B-4451-A3B6-7A5CCB9A842F}" xr6:coauthVersionLast="47" xr6:coauthVersionMax="47" xr10:uidLastSave="{4B07DFB6-D1E1-4061-8150-4FCEDD08421B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0" i="6" l="1"/>
  <c r="E112" i="6" s="1"/>
  <c r="E79" i="6"/>
  <c r="E48" i="6"/>
  <c r="E17" i="6"/>
  <c r="E113" i="6"/>
  <c r="E111" i="6"/>
  <c r="E82" i="6"/>
  <c r="E81" i="6"/>
  <c r="E80" i="6"/>
  <c r="E51" i="6"/>
  <c r="E50" i="6"/>
  <c r="E49" i="6"/>
  <c r="E19" i="6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126" i="2" a="1"/>
  <c r="BC126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EY202" i="2"/>
  <c r="AX200" i="2"/>
  <c r="AH151" i="2" l="1" a="1"/>
  <c r="AH151" i="2" s="1"/>
  <c r="BX107" i="2" a="1"/>
  <c r="BX107" i="2" s="1"/>
  <c r="BC181" i="2" a="1"/>
  <c r="BC181" i="2" s="1"/>
  <c r="BC82" i="2" a="1"/>
  <c r="BC82" i="2" s="1"/>
  <c r="BC47" i="2" a="1"/>
  <c r="BC47" i="2" s="1"/>
  <c r="BC68" i="2" a="1"/>
  <c r="BC68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34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82" i="2" l="1"/>
  <c r="CD186" i="2"/>
  <c r="CD140" i="2"/>
  <c r="CD30" i="2"/>
  <c r="CD172" i="2"/>
  <c r="CD99" i="2"/>
  <c r="CD103" i="2"/>
  <c r="CD185" i="2"/>
  <c r="CD56" i="2"/>
  <c r="CD133" i="2"/>
  <c r="CD63" i="2"/>
  <c r="CD120" i="2"/>
  <c r="CD202" i="2"/>
  <c r="CD10" i="2"/>
  <c r="CD60" i="2"/>
  <c r="CD188" i="2"/>
  <c r="CD47" i="2"/>
  <c r="CD147" i="2"/>
  <c r="CD68" i="2"/>
  <c r="CD91" i="2"/>
  <c r="CD98" i="2"/>
  <c r="CD104" i="2"/>
  <c r="CD190" i="2"/>
  <c r="CD121" i="2"/>
  <c r="CD84" i="2"/>
  <c r="CD7" i="2"/>
  <c r="CD53" i="2"/>
  <c r="CD29" i="2"/>
  <c r="CD50" i="2"/>
  <c r="CD52" i="2"/>
  <c r="CD127" i="2"/>
  <c r="CD100" i="2"/>
  <c r="CD23" i="2"/>
  <c r="CD192" i="2"/>
  <c r="CD119" i="2"/>
  <c r="CD15" i="2"/>
  <c r="CD14" i="2"/>
  <c r="CD58" i="2"/>
  <c r="CD113" i="2"/>
  <c r="CD79" i="2"/>
  <c r="CD109" i="2"/>
  <c r="CD149" i="2"/>
  <c r="CD70" i="2"/>
  <c r="CD153" i="2"/>
  <c r="CD177" i="2"/>
  <c r="CD19" i="2"/>
  <c r="CD65" i="2"/>
  <c r="CD146" i="2"/>
  <c r="CD139" i="2"/>
  <c r="CD191" i="2"/>
  <c r="CD51" i="2"/>
  <c r="CD168" i="2"/>
  <c r="CD117" i="2"/>
  <c r="CD4" i="2"/>
  <c r="CD95" i="2"/>
  <c r="CD8" i="2"/>
  <c r="CD59" i="2"/>
  <c r="CD82" i="2"/>
  <c r="CD200" i="2"/>
  <c r="CD78" i="2"/>
  <c r="CD181" i="2"/>
  <c r="CD171" i="2"/>
  <c r="CD5" i="2"/>
  <c r="CD24" i="2"/>
  <c r="CD32" i="2"/>
  <c r="CD89" i="2"/>
  <c r="CD203" i="2"/>
  <c r="CD64" i="2"/>
  <c r="CD26" i="2"/>
  <c r="CD145" i="2"/>
  <c r="CD108" i="2"/>
  <c r="CD107" i="2"/>
  <c r="CD44" i="2"/>
  <c r="CD88" i="2"/>
  <c r="CD155" i="2"/>
  <c r="CD137" i="2"/>
  <c r="CD17" i="2"/>
  <c r="CD85" i="2"/>
  <c r="CD16" i="2"/>
  <c r="CD22" i="2"/>
  <c r="CD110" i="2"/>
  <c r="CD101" i="2"/>
  <c r="CD6" i="2"/>
  <c r="CD67" i="2"/>
  <c r="CD33" i="2"/>
  <c r="CD115" i="2"/>
  <c r="CD106" i="2"/>
  <c r="CD73" i="2"/>
  <c r="CD148" i="2"/>
  <c r="CD160" i="2"/>
  <c r="CD75" i="2"/>
  <c r="CD189" i="2"/>
  <c r="CD21" i="2"/>
  <c r="CD45" i="2"/>
  <c r="CD156" i="2"/>
  <c r="CD86" i="2"/>
  <c r="CD105" i="2"/>
  <c r="CD34" i="2"/>
  <c r="CD136" i="2"/>
  <c r="CD124" i="2"/>
  <c r="CD43" i="2"/>
  <c r="CD31" i="2"/>
  <c r="CD180" i="2"/>
  <c r="CD169" i="2"/>
  <c r="CD126" i="2"/>
  <c r="CD158" i="2"/>
  <c r="CD11" i="2"/>
  <c r="CD18" i="2"/>
  <c r="CD54" i="2"/>
  <c r="CD69" i="2"/>
  <c r="CD42" i="2"/>
  <c r="CD165" i="2"/>
  <c r="CD151" i="2"/>
  <c r="CD37" i="2"/>
  <c r="CD111" i="2"/>
  <c r="CD72" i="2"/>
  <c r="CD164" i="2"/>
  <c r="CD159" i="2"/>
  <c r="CD123" i="2"/>
  <c r="CD183" i="2"/>
  <c r="CD57" i="2"/>
  <c r="CD116" i="2"/>
  <c r="CD39" i="2"/>
  <c r="CD48" i="2"/>
  <c r="CD41" i="2"/>
  <c r="CD187" i="2"/>
  <c r="CD97" i="2"/>
  <c r="CD49" i="2"/>
  <c r="CD81" i="2"/>
  <c r="CD170" i="2"/>
  <c r="CD142" i="2"/>
  <c r="CD61" i="2"/>
  <c r="CD161" i="2"/>
  <c r="CD141" i="2"/>
  <c r="CD174" i="2"/>
  <c r="CD46" i="2"/>
  <c r="CD3" i="2"/>
  <c r="C9" i="4" s="1"/>
  <c r="E9" i="4" s="1"/>
  <c r="F9" i="4" s="1"/>
  <c r="G9" i="4" s="1"/>
  <c r="L9" i="4" s="1"/>
  <c r="CD92" i="2"/>
  <c r="CD176" i="2"/>
  <c r="CD93" i="2"/>
  <c r="CD71" i="2"/>
  <c r="CD74" i="2"/>
  <c r="CD80" i="2"/>
  <c r="CD195" i="2"/>
  <c r="CD76" i="2"/>
  <c r="CD55" i="2"/>
  <c r="CD94" i="2"/>
  <c r="CD130" i="2"/>
  <c r="CD96" i="2"/>
  <c r="CD114" i="2"/>
  <c r="CD129" i="2"/>
  <c r="CD154" i="2"/>
  <c r="CD25" i="2"/>
  <c r="CD27" i="2"/>
  <c r="CD152" i="2"/>
  <c r="CD40" i="2"/>
  <c r="CD144" i="2"/>
  <c r="CD122" i="2"/>
  <c r="CD178" i="2"/>
  <c r="CD135" i="2"/>
  <c r="CD184" i="2"/>
  <c r="CD13" i="2"/>
  <c r="CD9" i="2"/>
  <c r="CD20" i="2"/>
  <c r="CD36" i="2"/>
  <c r="CD194" i="2"/>
  <c r="CD62" i="2"/>
  <c r="CD173" i="2"/>
  <c r="CD118" i="2"/>
  <c r="CD197" i="2"/>
  <c r="CD201" i="2"/>
  <c r="CD167" i="2"/>
  <c r="CD12" i="2"/>
  <c r="CD179" i="2"/>
  <c r="CD77" i="2"/>
  <c r="CD83" i="2"/>
  <c r="CD175" i="2"/>
  <c r="CD193" i="2"/>
  <c r="CD157" i="2"/>
  <c r="CD143" i="2"/>
  <c r="CD162" i="2"/>
  <c r="CD199" i="2"/>
  <c r="CD28" i="2"/>
  <c r="CD163" i="2"/>
  <c r="CD138" i="2"/>
  <c r="CD87" i="2"/>
  <c r="CD112" i="2"/>
  <c r="CD35" i="2"/>
  <c r="CD196" i="2"/>
  <c r="CD198" i="2"/>
  <c r="CD132" i="2"/>
  <c r="CD150" i="2"/>
  <c r="CD38" i="2"/>
  <c r="CD131" i="2"/>
  <c r="CD128" i="2"/>
  <c r="CD125" i="2"/>
  <c r="CD102" i="2"/>
  <c r="CD166" i="2"/>
  <c r="CD90" i="2"/>
  <c r="CD66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BI156" i="2" l="1"/>
  <c r="BI29" i="2"/>
  <c r="BI91" i="2"/>
  <c r="BI33" i="2"/>
  <c r="BI52" i="2"/>
  <c r="BI48" i="2"/>
  <c r="BI44" i="2"/>
  <c r="BI112" i="2"/>
  <c r="BI167" i="2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I195" i="2" s="1"/>
  <c r="BE107" i="2"/>
  <c r="BS105" i="2"/>
  <c r="BI142" i="2" l="1"/>
  <c r="BI181" i="2"/>
  <c r="BI152" i="2"/>
  <c r="BI110" i="2"/>
  <c r="BI107" i="2"/>
  <c r="BI174" i="2"/>
  <c r="BI165" i="2"/>
  <c r="BI133" i="2"/>
  <c r="BI70" i="2"/>
  <c r="BI81" i="2"/>
  <c r="BI184" i="2"/>
  <c r="BI75" i="2"/>
  <c r="BI41" i="2"/>
  <c r="BI176" i="2"/>
  <c r="BI80" i="2"/>
  <c r="BI126" i="2"/>
  <c r="BI78" i="2"/>
  <c r="BI43" i="2"/>
  <c r="BI83" i="2"/>
  <c r="BI169" i="2"/>
  <c r="BI137" i="2"/>
  <c r="BI36" i="2"/>
  <c r="BI96" i="2"/>
  <c r="BI192" i="2"/>
  <c r="BI160" i="2"/>
  <c r="BI201" i="2"/>
  <c r="BI185" i="2"/>
  <c r="BI180" i="2"/>
  <c r="BI171" i="2"/>
  <c r="BI131" i="2"/>
  <c r="BI17" i="2"/>
  <c r="BI163" i="2"/>
  <c r="BI119" i="2"/>
  <c r="BI21" i="2"/>
  <c r="BI51" i="2"/>
  <c r="BI63" i="2"/>
  <c r="BI82" i="2"/>
  <c r="BI6" i="2"/>
  <c r="BI30" i="2"/>
  <c r="BI39" i="2"/>
  <c r="BI128" i="2"/>
  <c r="BI74" i="2"/>
  <c r="BI175" i="2"/>
  <c r="BI11" i="2"/>
  <c r="BI18" i="2"/>
  <c r="BI19" i="2"/>
  <c r="BI178" i="2"/>
  <c r="BI149" i="2"/>
  <c r="BI32" i="2"/>
  <c r="BI190" i="2"/>
  <c r="BI98" i="2"/>
  <c r="BI154" i="2"/>
  <c r="BI59" i="2"/>
  <c r="BI109" i="2"/>
  <c r="BI173" i="2"/>
  <c r="BI123" i="2"/>
  <c r="BI26" i="2"/>
  <c r="BI68" i="2"/>
  <c r="BI73" i="2"/>
  <c r="BI158" i="2"/>
  <c r="BI99" i="2"/>
  <c r="BI179" i="2"/>
  <c r="BI77" i="2"/>
  <c r="BI157" i="2"/>
  <c r="BI35" i="2"/>
  <c r="BI188" i="2"/>
  <c r="BI23" i="2"/>
  <c r="BI79" i="2"/>
  <c r="BI90" i="2"/>
  <c r="BI191" i="2"/>
  <c r="BI187" i="2"/>
  <c r="BI86" i="2"/>
  <c r="BI64" i="2"/>
  <c r="BI87" i="2"/>
  <c r="BI113" i="2"/>
  <c r="BI85" i="2"/>
  <c r="BI148" i="2"/>
  <c r="BI4" i="2"/>
  <c r="BI111" i="2"/>
  <c r="BI10" i="2"/>
  <c r="BI61" i="2"/>
  <c r="BI141" i="2"/>
  <c r="BI189" i="2"/>
  <c r="BI65" i="2"/>
  <c r="BI16" i="2"/>
  <c r="BI25" i="2"/>
  <c r="BI186" i="2"/>
  <c r="BI161" i="2"/>
  <c r="BI97" i="2"/>
  <c r="BI182" i="2"/>
  <c r="BI105" i="2"/>
  <c r="BI200" i="2"/>
  <c r="BI58" i="2"/>
  <c r="BI106" i="2"/>
  <c r="BI20" i="2"/>
  <c r="BI130" i="2"/>
  <c r="BI66" i="2"/>
  <c r="BI114" i="2"/>
  <c r="BI172" i="2"/>
  <c r="BI93" i="2"/>
  <c r="BI76" i="2"/>
  <c r="BI103" i="2"/>
  <c r="BI13" i="2"/>
  <c r="BI162" i="2"/>
  <c r="BI120" i="2"/>
  <c r="BI5" i="2"/>
  <c r="BI100" i="2"/>
  <c r="BI49" i="2"/>
  <c r="BI94" i="2"/>
  <c r="BI67" i="2"/>
  <c r="BI3" i="2"/>
  <c r="C8" i="4" s="1"/>
  <c r="E8" i="4" s="1"/>
  <c r="F8" i="4" s="1"/>
  <c r="G8" i="4" s="1"/>
  <c r="L8" i="4" s="1"/>
  <c r="BI60" i="2"/>
  <c r="BI198" i="2"/>
  <c r="BI7" i="2"/>
  <c r="BI71" i="2"/>
  <c r="BI102" i="2"/>
  <c r="BI151" i="2"/>
  <c r="BI144" i="2"/>
  <c r="BI166" i="2"/>
  <c r="BI199" i="2"/>
  <c r="BI118" i="2"/>
  <c r="BI159" i="2"/>
  <c r="BI129" i="2"/>
  <c r="BI24" i="2"/>
  <c r="BI143" i="2"/>
  <c r="BI37" i="2"/>
  <c r="BI116" i="2"/>
  <c r="BI104" i="2"/>
  <c r="BI150" i="2"/>
  <c r="BI170" i="2"/>
  <c r="BI88" i="2"/>
  <c r="BI145" i="2"/>
  <c r="BI134" i="2"/>
  <c r="BI138" i="2"/>
  <c r="BI92" i="2"/>
  <c r="BI31" i="2"/>
  <c r="BI197" i="2"/>
  <c r="BI101" i="2"/>
  <c r="BI54" i="2"/>
  <c r="BI183" i="2"/>
  <c r="BI135" i="2"/>
  <c r="BI168" i="2"/>
  <c r="BI62" i="2"/>
  <c r="BI147" i="2"/>
  <c r="BI72" i="2"/>
  <c r="BI34" i="2"/>
  <c r="BI22" i="2"/>
  <c r="BI177" i="2"/>
  <c r="BI42" i="2"/>
  <c r="BI9" i="2"/>
  <c r="BI196" i="2"/>
  <c r="BI124" i="2"/>
  <c r="BI50" i="2"/>
  <c r="BI136" i="2"/>
  <c r="BI69" i="2"/>
  <c r="BI8" i="2"/>
  <c r="BI155" i="2"/>
  <c r="BI202" i="2"/>
  <c r="BI55" i="2"/>
  <c r="BI164" i="2"/>
  <c r="BI14" i="2"/>
  <c r="BI15" i="2"/>
  <c r="BI146" i="2"/>
  <c r="BI140" i="2"/>
  <c r="BI108" i="2"/>
  <c r="BI122" i="2"/>
  <c r="BI139" i="2"/>
  <c r="BI45" i="2"/>
  <c r="BI117" i="2"/>
  <c r="BI40" i="2"/>
  <c r="BI121" i="2"/>
  <c r="BI46" i="2"/>
  <c r="BI57" i="2"/>
  <c r="BI12" i="2"/>
  <c r="BI53" i="2"/>
  <c r="BI127" i="2"/>
  <c r="BI193" i="2"/>
  <c r="BI125" i="2"/>
  <c r="BI194" i="2"/>
  <c r="BI203" i="2"/>
  <c r="BI115" i="2"/>
  <c r="BI56" i="2"/>
  <c r="BI132" i="2"/>
  <c r="BI89" i="2"/>
  <c r="BI27" i="2"/>
  <c r="BI28" i="2"/>
  <c r="BI95" i="2"/>
  <c r="BI84" i="2"/>
  <c r="BI38" i="2"/>
  <c r="BI153" i="2"/>
  <c r="BI47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tc={E79E6ADB-7965-41E0-9D21-8FFE61FB43FE}</author>
    <author>tc={AE34B74C-F69D-44D5-8816-4DEF02F49BF8}</author>
    <author>tc={692448CA-5008-4947-9A0F-11756F5D12FB}</author>
    <author>tc={F2D5E215-28DD-4100-AE44-E8CC2EAF6F4A}</author>
    <author>tc={82229DFD-D73F-4DAE-A3D1-98B8ED26BD8F}</author>
    <author>tc={F8FEC909-FD77-48B2-9938-390508F14C9C}</author>
    <author>tc={D07BE790-31F6-4AF6-8114-68BBFCCCC5AA}</author>
    <author>tc={B5773575-D6A6-469F-BA3E-9FE9FA7AFBF8}</author>
    <author>tc={D01FF074-C2BE-4B42-B921-544874732AB6}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E79E6ADB-7965-41E0-9D21-8FFE61FB43F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AE34B74C-F69D-44D5-8816-4DEF02F49BF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692448CA-5008-4947-9A0F-11756F5D12F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F2D5E215-28DD-4100-AE44-E8CC2EAF6F4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82229DFD-D73F-4DAE-A3D1-98B8ED26BD8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F8FEC909-FD77-48B2-9938-390508F14C9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D07BE790-31F6-4AF6-8114-68BBFCCCC5A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B5773575-D6A6-469F-BA3E-9FE9FA7AFBF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D01FF074-C2BE-4B42-B921-544874732AB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<sst xmlns="http://schemas.openxmlformats.org/spreadsheetml/2006/main" count="1179" uniqueCount="329">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</sst>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178A5D91-91D7-4A5F-80B1-0A95ACBE3F5F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1.8331935690498111</c:v>
                </c:pt>
                <c:pt idx="2">
                  <c:v>2.2615461053120742</c:v>
                </c:pt>
                <c:pt idx="3">
                  <c:v>2.7903800073445528</c:v>
                </c:pt>
                <c:pt idx="4">
                  <c:v>3.4433524350338836</c:v>
                </c:pt>
                <c:pt idx="5">
                  <c:v>4.249709483078604</c:v>
                </c:pt>
                <c:pt idx="6">
                  <c:v>5.2456107620330483</c:v>
                </c:pt>
                <c:pt idx="7">
                  <c:v>6.475768829717893</c:v>
                </c:pt>
                <c:pt idx="8">
                  <c:v>7.9954785143283473</c:v>
                </c:pt>
                <c:pt idx="9">
                  <c:v>9.8731290999373016</c:v>
                </c:pt>
                <c:pt idx="10">
                  <c:v>12.19331456783428</c:v>
                </c:pt>
                <c:pt idx="11">
                  <c:v>15.060684633434063</c:v>
                </c:pt>
                <c:pt idx="12">
                  <c:v>18.60471346613598</c:v>
                </c:pt>
                <c:pt idx="13">
                  <c:v>22.985605313578915</c:v>
                </c:pt>
                <c:pt idx="14">
                  <c:v>28.401608738536027</c:v>
                </c:pt>
                <c:pt idx="15">
                  <c:v>35.098076255651343</c:v>
                </c:pt>
                <c:pt idx="16">
                  <c:v>43.378686852869599</c:v>
                </c:pt>
                <c:pt idx="17">
                  <c:v>53.619348953910503</c:v>
                </c:pt>
                <c:pt idx="18">
                  <c:v>66.285425482941505</c:v>
                </c:pt>
                <c:pt idx="19">
                  <c:v>81.953076612541665</c:v>
                </c:pt>
                <c:pt idx="20">
                  <c:v>101.33570668607211</c:v>
                </c:pt>
                <c:pt idx="21">
                  <c:v>125.31673860987443</c:v>
                </c:pt>
                <c:pt idx="22">
                  <c:v>154.99023276008774</c:v>
                </c:pt>
                <c:pt idx="23">
                  <c:v>105.84796141179943</c:v>
                </c:pt>
                <c:pt idx="24">
                  <c:v>119.68808546934416</c:v>
                </c:pt>
                <c:pt idx="25">
                  <c:v>133.48918256301928</c:v>
                </c:pt>
                <c:pt idx="26">
                  <c:v>147.2558609521659</c:v>
                </c:pt>
                <c:pt idx="27">
                  <c:v>160.9917946805476</c:v>
                </c:pt>
                <c:pt idx="28">
                  <c:v>174.69997838004591</c:v>
                </c:pt>
                <c:pt idx="29">
                  <c:v>188.38289757944074</c:v>
                </c:pt>
                <c:pt idx="30">
                  <c:v>163.58152579139198</c:v>
                </c:pt>
                <c:pt idx="31">
                  <c:v>177.39635491856583</c:v>
                </c:pt>
                <c:pt idx="32">
                  <c:v>191.18595300859181</c:v>
                </c:pt>
                <c:pt idx="33">
                  <c:v>204.95239713347596</c:v>
                </c:pt>
                <c:pt idx="34">
                  <c:v>218.69746225262691</c:v>
                </c:pt>
                <c:pt idx="35">
                  <c:v>232.422681796706</c:v>
                </c:pt>
                <c:pt idx="36">
                  <c:v>246.12939316547718</c:v>
                </c:pt>
                <c:pt idx="37">
                  <c:v>208.05729869353047</c:v>
                </c:pt>
                <c:pt idx="38">
                  <c:v>221.11601160784588</c:v>
                </c:pt>
                <c:pt idx="39">
                  <c:v>234.15702663802938</c:v>
                </c:pt>
                <c:pt idx="40">
                  <c:v>247.18146869431629</c:v>
                </c:pt>
                <c:pt idx="41">
                  <c:v>260.19033438240206</c:v>
                </c:pt>
                <c:pt idx="42">
                  <c:v>273.18451245863395</c:v>
                </c:pt>
                <c:pt idx="43">
                  <c:v>286.16480018577778</c:v>
                </c:pt>
                <c:pt idx="44">
                  <c:v>299.13191656343071</c:v>
                </c:pt>
                <c:pt idx="45">
                  <c:v>258.92899440875016</c:v>
                </c:pt>
                <c:pt idx="46">
                  <c:v>270.80568780661929</c:v>
                </c:pt>
                <c:pt idx="47">
                  <c:v>282.67066496782417</c:v>
                </c:pt>
                <c:pt idx="48">
                  <c:v>294.52448718845449</c:v>
                </c:pt>
                <c:pt idx="49">
                  <c:v>306.36766687219836</c:v>
                </c:pt>
                <c:pt idx="50">
                  <c:v>318.20067355505216</c:v>
                </c:pt>
                <c:pt idx="51">
                  <c:v>330.0239389865074</c:v>
                </c:pt>
                <c:pt idx="52">
                  <c:v>341.83786144418076</c:v>
                </c:pt>
                <c:pt idx="53">
                  <c:v>295.80363786843719</c:v>
                </c:pt>
                <c:pt idx="54">
                  <c:v>306.35542169661886</c:v>
                </c:pt>
                <c:pt idx="55">
                  <c:v>316.89912950339476</c:v>
                </c:pt>
                <c:pt idx="56">
                  <c:v>327.43506800740573</c:v>
                </c:pt>
                <c:pt idx="57">
                  <c:v>337.96352256705677</c:v>
                </c:pt>
                <c:pt idx="58">
                  <c:v>348.48475930149465</c:v>
                </c:pt>
                <c:pt idx="59">
                  <c:v>358.99902694195106</c:v>
                </c:pt>
                <c:pt idx="60">
                  <c:v>369.50655845478735</c:v>
                </c:pt>
                <c:pt idx="61">
                  <c:v>327.91069603390139</c:v>
                </c:pt>
                <c:pt idx="62">
                  <c:v>337.20503376871898</c:v>
                </c:pt>
                <c:pt idx="63">
                  <c:v>346.49373249164313</c:v>
                </c:pt>
                <c:pt idx="64">
                  <c:v>355.77696477978776</c:v>
                </c:pt>
                <c:pt idx="65">
                  <c:v>365.05489346385662</c:v>
                </c:pt>
                <c:pt idx="66">
                  <c:v>374.3276724176763</c:v>
                </c:pt>
                <c:pt idx="67">
                  <c:v>383.5954472653807</c:v>
                </c:pt>
                <c:pt idx="68">
                  <c:v>392.85835601665889</c:v>
                </c:pt>
                <c:pt idx="69">
                  <c:v>402.11652963894318</c:v>
                </c:pt>
                <c:pt idx="70">
                  <c:v>411.37009257413524</c:v>
                </c:pt>
                <c:pt idx="71">
                  <c:v>358.42885881924553</c:v>
                </c:pt>
                <c:pt idx="72">
                  <c:v>366.41856983155566</c:v>
                </c:pt>
                <c:pt idx="73">
                  <c:v>374.40447734287676</c:v>
                </c:pt>
                <c:pt idx="74">
                  <c:v>382.38667398041849</c:v>
                </c:pt>
                <c:pt idx="75">
                  <c:v>390.36524818605068</c:v>
                </c:pt>
                <c:pt idx="76">
                  <c:v>398.34028448897016</c:v>
                </c:pt>
                <c:pt idx="77">
                  <c:v>406.31186375538414</c:v>
                </c:pt>
                <c:pt idx="78">
                  <c:v>414.28006341756708</c:v>
                </c:pt>
                <c:pt idx="79">
                  <c:v>422.24495768437095</c:v>
                </c:pt>
                <c:pt idx="80">
                  <c:v>430.20661773501519</c:v>
                </c:pt>
                <c:pt idx="81">
                  <c:v>388.47113228473592</c:v>
                </c:pt>
                <c:pt idx="82">
                  <c:v>395.37669202749157</c:v>
                </c:pt>
                <c:pt idx="83">
                  <c:v>402.27963829194204</c:v>
                </c:pt>
                <c:pt idx="84">
                  <c:v>409.18002228513274</c:v>
                </c:pt>
                <c:pt idx="85">
                  <c:v>416.07789334479259</c:v>
                </c:pt>
                <c:pt idx="86">
                  <c:v>422.97329903811834</c:v>
                </c:pt>
                <c:pt idx="87">
                  <c:v>429.86628525377608</c:v>
                </c:pt>
                <c:pt idx="88">
                  <c:v>436.75689628769368</c:v>
                </c:pt>
                <c:pt idx="89">
                  <c:v>443.64517492315241</c:v>
                </c:pt>
                <c:pt idx="90">
                  <c:v>450.53116250564494</c:v>
                </c:pt>
                <c:pt idx="91">
                  <c:v>407.2501171995537</c:v>
                </c:pt>
                <c:pt idx="92">
                  <c:v>413.21685614804073</c:v>
                </c:pt>
                <c:pt idx="93">
                  <c:v>419.18173628431776</c:v>
                </c:pt>
                <c:pt idx="94">
                  <c:v>425.14478781308276</c:v>
                </c:pt>
                <c:pt idx="95">
                  <c:v>431.10604002190604</c:v>
                </c:pt>
                <c:pt idx="96">
                  <c:v>437.06552132165683</c:v>
                </c:pt>
                <c:pt idx="97">
                  <c:v>443.02325928460942</c:v>
                </c:pt>
                <c:pt idx="98">
                  <c:v>448.97928068039045</c:v>
                </c:pt>
                <c:pt idx="99">
                  <c:v>454.93361150991905</c:v>
                </c:pt>
                <c:pt idx="100">
                  <c:v>460.8862770374771</c:v>
                </c:pt>
                <c:pt idx="101">
                  <c:v>195.08270513965763</c:v>
                </c:pt>
                <c:pt idx="102">
                  <c:v>198.11729808134328</c:v>
                </c:pt>
                <c:pt idx="103">
                  <c:v>201.15081237442573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2.8272102084997344</c:v>
                </c:pt>
                <c:pt idx="2">
                  <c:v>3.5788566901737902</c:v>
                </c:pt>
                <c:pt idx="3">
                  <c:v>4.531117706493057</c:v>
                </c:pt>
                <c:pt idx="4">
                  <c:v>5.7377335509034753</c:v>
                </c:pt>
                <c:pt idx="5">
                  <c:v>7.2668895236956779</c:v>
                </c:pt>
                <c:pt idx="6">
                  <c:v>9.2051109085193712</c:v>
                </c:pt>
                <c:pt idx="7">
                  <c:v>11.662211246066207</c:v>
                </c:pt>
                <c:pt idx="8">
                  <c:v>14.777579498070502</c:v>
                </c:pt>
                <c:pt idx="9">
                  <c:v>18.728169317879601</c:v>
                </c:pt>
                <c:pt idx="10">
                  <c:v>23.738652410648331</c:v>
                </c:pt>
                <c:pt idx="11">
                  <c:v>31.12626639247307</c:v>
                </c:pt>
                <c:pt idx="12">
                  <c:v>38.464964372941715</c:v>
                </c:pt>
                <c:pt idx="13">
                  <c:v>45.765480575487345</c:v>
                </c:pt>
                <c:pt idx="14">
                  <c:v>53.034801453682995</c:v>
                </c:pt>
                <c:pt idx="15">
                  <c:v>60.277824781565108</c:v>
                </c:pt>
                <c:pt idx="16">
                  <c:v>70.231581273775319</c:v>
                </c:pt>
                <c:pt idx="17">
                  <c:v>80.149089629029859</c:v>
                </c:pt>
                <c:pt idx="18">
                  <c:v>90.035480308255856</c:v>
                </c:pt>
                <c:pt idx="19">
                  <c:v>99.894659637488587</c:v>
                </c:pt>
                <c:pt idx="20">
                  <c:v>109.72969694198616</c:v>
                </c:pt>
                <c:pt idx="21">
                  <c:v>83.859901104581667</c:v>
                </c:pt>
                <c:pt idx="22">
                  <c:v>93.735681241434392</c:v>
                </c:pt>
                <c:pt idx="23">
                  <c:v>103.58548385887735</c:v>
                </c:pt>
                <c:pt idx="24">
                  <c:v>113.41213176407327</c:v>
                </c:pt>
                <c:pt idx="25">
                  <c:v>123.2179171969117</c:v>
                </c:pt>
                <c:pt idx="26">
                  <c:v>109.72969694198621</c:v>
                </c:pt>
                <c:pt idx="27">
                  <c:v>119.54306466746482</c:v>
                </c:pt>
                <c:pt idx="28">
                  <c:v>129.33679508789001</c:v>
                </c:pt>
                <c:pt idx="29">
                  <c:v>139.11258684370458</c:v>
                </c:pt>
                <c:pt idx="30">
                  <c:v>148.8718798484274</c:v>
                </c:pt>
                <c:pt idx="31">
                  <c:v>133.24917866009699</c:v>
                </c:pt>
                <c:pt idx="32">
                  <c:v>142.0420473531201</c:v>
                </c:pt>
                <c:pt idx="33">
                  <c:v>150.82187042131599</c:v>
                </c:pt>
                <c:pt idx="34">
                  <c:v>159.58951541202768</c:v>
                </c:pt>
                <c:pt idx="35">
                  <c:v>168.34574659970926</c:v>
                </c:pt>
                <c:pt idx="36">
                  <c:v>152.52761887470737</c:v>
                </c:pt>
                <c:pt idx="37">
                  <c:v>161.04966060230026</c:v>
                </c:pt>
                <c:pt idx="38">
                  <c:v>169.56102628246933</c:v>
                </c:pt>
                <c:pt idx="39">
                  <c:v>178.06232809976677</c:v>
                </c:pt>
                <c:pt idx="40">
                  <c:v>186.55411491856776</c:v>
                </c:pt>
                <c:pt idx="41">
                  <c:v>170.04708058296916</c:v>
                </c:pt>
                <c:pt idx="42">
                  <c:v>177.81956828372503</c:v>
                </c:pt>
                <c:pt idx="43">
                  <c:v>185.58409039382227</c:v>
                </c:pt>
                <c:pt idx="44">
                  <c:v>193.34102766077947</c:v>
                </c:pt>
                <c:pt idx="45">
                  <c:v>201.0907277386975</c:v>
                </c:pt>
                <c:pt idx="46">
                  <c:v>185.34156577928113</c:v>
                </c:pt>
                <c:pt idx="47">
                  <c:v>192.61412738977921</c:v>
                </c:pt>
                <c:pt idx="48">
                  <c:v>199.88030093828698</c:v>
                </c:pt>
                <c:pt idx="49">
                  <c:v>207.14035174929197</c:v>
                </c:pt>
                <c:pt idx="50">
                  <c:v>214.39452500136431</c:v>
                </c:pt>
                <c:pt idx="51">
                  <c:v>198.91183713251783</c:v>
                </c:pt>
                <c:pt idx="52">
                  <c:v>205.20492267834973</c:v>
                </c:pt>
                <c:pt idx="53">
                  <c:v>211.49354608688316</c:v>
                </c:pt>
                <c:pt idx="54">
                  <c:v>217.77785897700315</c:v>
                </c:pt>
                <c:pt idx="55">
                  <c:v>224.05800348821421</c:v>
                </c:pt>
                <c:pt idx="56">
                  <c:v>209.55905099136103</c:v>
                </c:pt>
                <c:pt idx="57">
                  <c:v>215.60299864573798</c:v>
                </c:pt>
                <c:pt idx="58">
                  <c:v>221.6430479019896</c:v>
                </c:pt>
                <c:pt idx="59">
                  <c:v>227.67932016371932</c:v>
                </c:pt>
                <c:pt idx="60">
                  <c:v>233.71192986094175</c:v>
                </c:pt>
                <c:pt idx="61">
                  <c:v>219.71064874291369</c:v>
                </c:pt>
                <c:pt idx="62">
                  <c:v>225.02381820970086</c:v>
                </c:pt>
                <c:pt idx="63">
                  <c:v>230.334113128403</c:v>
                </c:pt>
                <c:pt idx="64">
                  <c:v>235.641609242801</c:v>
                </c:pt>
                <c:pt idx="65">
                  <c:v>240.94637860003536</c:v>
                </c:pt>
                <c:pt idx="66">
                  <c:v>227.92069413364405</c:v>
                </c:pt>
                <c:pt idx="67">
                  <c:v>232.98820644971886</c:v>
                </c:pt>
                <c:pt idx="68">
                  <c:v>238.05320186844804</c:v>
                </c:pt>
                <c:pt idx="69">
                  <c:v>243.1157415962266</c:v>
                </c:pt>
                <c:pt idx="70">
                  <c:v>248.17588407773675</c:v>
                </c:pt>
                <c:pt idx="71">
                  <c:v>235.40041910588843</c:v>
                </c:pt>
                <c:pt idx="72">
                  <c:v>239.49988976533083</c:v>
                </c:pt>
                <c:pt idx="73">
                  <c:v>243.59776231305094</c:v>
                </c:pt>
                <c:pt idx="74">
                  <c:v>247.69406748216684</c:v>
                </c:pt>
                <c:pt idx="75">
                  <c:v>251.78883490429243</c:v>
                </c:pt>
                <c:pt idx="76">
                  <c:v>241.18744081547288</c:v>
                </c:pt>
                <c:pt idx="77">
                  <c:v>245.04369450396993</c:v>
                </c:pt>
                <c:pt idx="78">
                  <c:v>248.89856916975472</c:v>
                </c:pt>
                <c:pt idx="79">
                  <c:v>252.75208922948948</c:v>
                </c:pt>
                <c:pt idx="80">
                  <c:v>256.60427829304331</c:v>
                </c:pt>
                <c:pt idx="81">
                  <c:v>246.73037039602514</c:v>
                </c:pt>
                <c:pt idx="82">
                  <c:v>250.10293857751753</c:v>
                </c:pt>
                <c:pt idx="83">
                  <c:v>253.47447536439972</c:v>
                </c:pt>
                <c:pt idx="84">
                  <c:v>256.84499644168284</c:v>
                </c:pt>
                <c:pt idx="85">
                  <c:v>260.21451704825046</c:v>
                </c:pt>
                <c:pt idx="86">
                  <c:v>251.54800828294844</c:v>
                </c:pt>
                <c:pt idx="87">
                  <c:v>254.91910787155098</c:v>
                </c:pt>
                <c:pt idx="88">
                  <c:v>258.28919833503375</c:v>
                </c:pt>
                <c:pt idx="89">
                  <c:v>261.65829472678655</c:v>
                </c:pt>
                <c:pt idx="90">
                  <c:v>265.02641168010274</c:v>
                </c:pt>
                <c:pt idx="91">
                  <c:v>256.36355503466274</c:v>
                </c:pt>
                <c:pt idx="92">
                  <c:v>259.73321764902863</c:v>
                </c:pt>
                <c:pt idx="93">
                  <c:v>263.10189251350153</c:v>
                </c:pt>
                <c:pt idx="94">
                  <c:v>266.46959408660342</c:v>
                </c:pt>
                <c:pt idx="95">
                  <c:v>269.83633643082231</c:v>
                </c:pt>
                <c:pt idx="96">
                  <c:v>260.21451704825046</c:v>
                </c:pt>
                <c:pt idx="97">
                  <c:v>263.8236243007521</c:v>
                </c:pt>
                <c:pt idx="98">
                  <c:v>267.43161774582046</c:v>
                </c:pt>
                <c:pt idx="99">
                  <c:v>271.03851456134913</c:v>
                </c:pt>
                <c:pt idx="100">
                  <c:v>274.64433142982551</c:v>
                </c:pt>
                <c:pt idx="101">
                  <c:v>261.41767763687125</c:v>
                </c:pt>
                <c:pt idx="102">
                  <c:v>261.41767763687125</c:v>
                </c:pt>
                <c:pt idx="103">
                  <c:v>261.41767763687125</c:v>
                </c:pt>
                <c:pt idx="104">
                  <c:v>261.41767763687125</c:v>
                </c:pt>
                <c:pt idx="105">
                  <c:v>261.41767763687125</c:v>
                </c:pt>
                <c:pt idx="106">
                  <c:v>261.41767763687125</c:v>
                </c:pt>
                <c:pt idx="107">
                  <c:v>261.41767763687125</c:v>
                </c:pt>
                <c:pt idx="108">
                  <c:v>261.41767763687125</c:v>
                </c:pt>
                <c:pt idx="109">
                  <c:v>261.41767763687125</c:v>
                </c:pt>
                <c:pt idx="110">
                  <c:v>261.41767763687125</c:v>
                </c:pt>
                <c:pt idx="111">
                  <c:v>261.41767763687125</c:v>
                </c:pt>
                <c:pt idx="112">
                  <c:v>261.41767763687125</c:v>
                </c:pt>
                <c:pt idx="113">
                  <c:v>261.41767763687125</c:v>
                </c:pt>
                <c:pt idx="114">
                  <c:v>261.41767763687125</c:v>
                </c:pt>
                <c:pt idx="115">
                  <c:v>261.41767763687125</c:v>
                </c:pt>
                <c:pt idx="116">
                  <c:v>261.41767763687125</c:v>
                </c:pt>
                <c:pt idx="117">
                  <c:v>261.41767763687125</c:v>
                </c:pt>
                <c:pt idx="118">
                  <c:v>261.41767763687125</c:v>
                </c:pt>
                <c:pt idx="119">
                  <c:v>261.41767763687125</c:v>
                </c:pt>
                <c:pt idx="120">
                  <c:v>261.41767763687125</c:v>
                </c:pt>
                <c:pt idx="121">
                  <c:v>261.41767763687125</c:v>
                </c:pt>
                <c:pt idx="122">
                  <c:v>261.41767763687125</c:v>
                </c:pt>
                <c:pt idx="123">
                  <c:v>261.41767763687125</c:v>
                </c:pt>
                <c:pt idx="124">
                  <c:v>261.41767763687125</c:v>
                </c:pt>
                <c:pt idx="125">
                  <c:v>261.41767763687125</c:v>
                </c:pt>
                <c:pt idx="126">
                  <c:v>261.41767763687125</c:v>
                </c:pt>
                <c:pt idx="127">
                  <c:v>261.41767763687125</c:v>
                </c:pt>
                <c:pt idx="128">
                  <c:v>261.41767763687125</c:v>
                </c:pt>
                <c:pt idx="129">
                  <c:v>261.41767763687125</c:v>
                </c:pt>
                <c:pt idx="130">
                  <c:v>261.41767763687125</c:v>
                </c:pt>
                <c:pt idx="131">
                  <c:v>261.41767763687125</c:v>
                </c:pt>
                <c:pt idx="132">
                  <c:v>261.41767763687125</c:v>
                </c:pt>
                <c:pt idx="133">
                  <c:v>261.41767763687125</c:v>
                </c:pt>
                <c:pt idx="134">
                  <c:v>261.41767763687125</c:v>
                </c:pt>
                <c:pt idx="135">
                  <c:v>261.41767763687125</c:v>
                </c:pt>
                <c:pt idx="136">
                  <c:v>261.41767763687125</c:v>
                </c:pt>
                <c:pt idx="137">
                  <c:v>261.41767763687125</c:v>
                </c:pt>
                <c:pt idx="138">
                  <c:v>261.41767763687125</c:v>
                </c:pt>
                <c:pt idx="139">
                  <c:v>261.41767763687125</c:v>
                </c:pt>
                <c:pt idx="140">
                  <c:v>261.41767763687125</c:v>
                </c:pt>
                <c:pt idx="141">
                  <c:v>261.41767763687125</c:v>
                </c:pt>
                <c:pt idx="142">
                  <c:v>261.41767763687125</c:v>
                </c:pt>
                <c:pt idx="143">
                  <c:v>261.41767763687125</c:v>
                </c:pt>
                <c:pt idx="144">
                  <c:v>261.41767763687125</c:v>
                </c:pt>
                <c:pt idx="145">
                  <c:v>261.41767763687125</c:v>
                </c:pt>
                <c:pt idx="146">
                  <c:v>261.41767763687125</c:v>
                </c:pt>
                <c:pt idx="147">
                  <c:v>261.41767763687125</c:v>
                </c:pt>
                <c:pt idx="148">
                  <c:v>261.41767763687125</c:v>
                </c:pt>
                <c:pt idx="149">
                  <c:v>261.41767763687125</c:v>
                </c:pt>
                <c:pt idx="150">
                  <c:v>261.41767763687125</c:v>
                </c:pt>
                <c:pt idx="151">
                  <c:v>261.41767763687125</c:v>
                </c:pt>
                <c:pt idx="152">
                  <c:v>261.41767763687125</c:v>
                </c:pt>
                <c:pt idx="153">
                  <c:v>261.41767763687125</c:v>
                </c:pt>
                <c:pt idx="154">
                  <c:v>261.41767763687125</c:v>
                </c:pt>
                <c:pt idx="155">
                  <c:v>261.41767763687125</c:v>
                </c:pt>
                <c:pt idx="156">
                  <c:v>261.41767763687125</c:v>
                </c:pt>
                <c:pt idx="157">
                  <c:v>261.41767763687125</c:v>
                </c:pt>
                <c:pt idx="158">
                  <c:v>261.41767763687125</c:v>
                </c:pt>
                <c:pt idx="159">
                  <c:v>261.41767763687125</c:v>
                </c:pt>
                <c:pt idx="160">
                  <c:v>261.41767763687125</c:v>
                </c:pt>
                <c:pt idx="161">
                  <c:v>261.41767763687125</c:v>
                </c:pt>
                <c:pt idx="162">
                  <c:v>261.41767763687125</c:v>
                </c:pt>
                <c:pt idx="163">
                  <c:v>261.41767763687125</c:v>
                </c:pt>
                <c:pt idx="164">
                  <c:v>261.41767763687125</c:v>
                </c:pt>
                <c:pt idx="165">
                  <c:v>261.41767763687125</c:v>
                </c:pt>
                <c:pt idx="166">
                  <c:v>261.41767763687125</c:v>
                </c:pt>
                <c:pt idx="167">
                  <c:v>261.41767763687125</c:v>
                </c:pt>
                <c:pt idx="168">
                  <c:v>261.41767763687125</c:v>
                </c:pt>
                <c:pt idx="169">
                  <c:v>261.41767763687125</c:v>
                </c:pt>
                <c:pt idx="170">
                  <c:v>261.41767763687125</c:v>
                </c:pt>
                <c:pt idx="171">
                  <c:v>261.41767763687125</c:v>
                </c:pt>
                <c:pt idx="172">
                  <c:v>261.41767763687125</c:v>
                </c:pt>
                <c:pt idx="173">
                  <c:v>261.41767763687125</c:v>
                </c:pt>
                <c:pt idx="174">
                  <c:v>261.41767763687125</c:v>
                </c:pt>
                <c:pt idx="175">
                  <c:v>261.41767763687125</c:v>
                </c:pt>
                <c:pt idx="176">
                  <c:v>261.41767763687125</c:v>
                </c:pt>
                <c:pt idx="177">
                  <c:v>261.41767763687125</c:v>
                </c:pt>
                <c:pt idx="178">
                  <c:v>261.41767763687125</c:v>
                </c:pt>
                <c:pt idx="179">
                  <c:v>261.41767763687125</c:v>
                </c:pt>
                <c:pt idx="180">
                  <c:v>261.41767763687125</c:v>
                </c:pt>
                <c:pt idx="181">
                  <c:v>261.41767763687125</c:v>
                </c:pt>
                <c:pt idx="182">
                  <c:v>261.41767763687125</c:v>
                </c:pt>
                <c:pt idx="183">
                  <c:v>261.41767763687125</c:v>
                </c:pt>
                <c:pt idx="184">
                  <c:v>261.41767763687125</c:v>
                </c:pt>
                <c:pt idx="185">
                  <c:v>261.41767763687125</c:v>
                </c:pt>
                <c:pt idx="186">
                  <c:v>261.41767763687125</c:v>
                </c:pt>
                <c:pt idx="187">
                  <c:v>261.41767763687125</c:v>
                </c:pt>
                <c:pt idx="188">
                  <c:v>261.41767763687125</c:v>
                </c:pt>
                <c:pt idx="189">
                  <c:v>261.41767763687125</c:v>
                </c:pt>
                <c:pt idx="190">
                  <c:v>261.41767763687125</c:v>
                </c:pt>
                <c:pt idx="191">
                  <c:v>261.41767763687125</c:v>
                </c:pt>
                <c:pt idx="192">
                  <c:v>261.41767763687125</c:v>
                </c:pt>
                <c:pt idx="193">
                  <c:v>261.41767763687125</c:v>
                </c:pt>
                <c:pt idx="194">
                  <c:v>261.41767763687125</c:v>
                </c:pt>
                <c:pt idx="195">
                  <c:v>261.41767763687125</c:v>
                </c:pt>
                <c:pt idx="196">
                  <c:v>261.41767763687125</c:v>
                </c:pt>
                <c:pt idx="197">
                  <c:v>261.41767763687125</c:v>
                </c:pt>
                <c:pt idx="198">
                  <c:v>261.41767763687125</c:v>
                </c:pt>
                <c:pt idx="199">
                  <c:v>261.41767763687125</c:v>
                </c:pt>
                <c:pt idx="200">
                  <c:v>261.41767763687125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E79E6ADB-7965-41E0-9D21-8FFE61FB43FE}">
    <text>A recopier sur toutes les essences.
Correspond aux frais fixes d’entretien mécanique + répulsif gibier</text>
  </threadedComment>
  <threadedComment ref="E50" dT="2024-11-27T17:08:05.48" personId="{44BC7BF0-8157-4572-8E12-7E0C99523682}" id="{AE34B74C-F69D-44D5-8816-4DEF02F49BF8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692448CA-5008-4947-9A0F-11756F5D12FB}">
    <text>A recopier sur toutes les essences.
Correspond aux frais fixes d’entretien mécanique + répulsif gibier</text>
  </threadedComment>
  <threadedComment ref="E80" dT="2024-11-27T17:07:34.75" personId="{44BC7BF0-8157-4572-8E12-7E0C99523682}" id="{F2D5E215-28DD-4100-AE44-E8CC2EAF6F4A}">
    <text>A recopier sur toutes les essences.
Correspond aux frais fixes d’entretien mécanique + répulsif gibier</text>
  </threadedComment>
  <threadedComment ref="E81" dT="2024-11-27T17:08:05.48" personId="{44BC7BF0-8157-4572-8E12-7E0C99523682}" id="{82229DFD-D73F-4DAE-A3D1-98B8ED26BD8F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F8FEC909-FD77-48B2-9938-390508F14C9C}">
    <text>A recopier sur toutes les essences.
Correspond aux frais fixes d’entretien mécanique + répulsif gibier</text>
  </threadedComment>
  <threadedComment ref="E111" dT="2024-11-27T17:07:34.75" personId="{44BC7BF0-8157-4572-8E12-7E0C99523682}" id="{D07BE790-31F6-4AF6-8114-68BBFCCCC5AA}">
    <text>A recopier sur toutes les essences.
Correspond aux frais fixes d’entretien mécanique + répulsif gibier</text>
  </threadedComment>
  <threadedComment ref="E112" dT="2024-11-27T17:08:05.48" personId="{44BC7BF0-8157-4572-8E12-7E0C99523682}" id="{B5773575-D6A6-469F-BA3E-9FE9FA7AFBF8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D01FF074-C2BE-4B42-B921-544874732AB6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7" zoomScale="80" zoomScaleNormal="80" workbookViewId="0">
      <selection activeCell="F125" sqref="F12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2.1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35</v>
      </c>
      <c r="C9" s="32">
        <v>0.5</v>
      </c>
      <c r="D9" s="33">
        <f t="shared" ref="D9:D18" si="0">C9*$C$5</f>
        <v>1.05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36</v>
      </c>
      <c r="C10" s="32">
        <v>0.2</v>
      </c>
      <c r="D10" s="33">
        <f t="shared" si="0"/>
        <v>0.42000000000000004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41</v>
      </c>
      <c r="C11" s="32">
        <v>0.2</v>
      </c>
      <c r="D11" s="33">
        <f t="shared" si="0"/>
        <v>0.42000000000000004</v>
      </c>
      <c r="E11" s="34">
        <v>103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0.1</v>
      </c>
      <c r="D12" s="33">
        <f t="shared" si="0"/>
        <v>0.21000000000000002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2.1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22</v>
      </c>
      <c r="B36" s="258">
        <v>129.07</v>
      </c>
      <c r="C36" s="258">
        <v>1</v>
      </c>
      <c r="D36" s="259">
        <v>52.41</v>
      </c>
      <c r="E36" s="260">
        <v>0.1</v>
      </c>
      <c r="F36" s="260">
        <v>0.4</v>
      </c>
      <c r="G36" s="260">
        <v>0</v>
      </c>
      <c r="H36" s="260">
        <v>0.5</v>
      </c>
      <c r="I36" s="49">
        <f>IFERROR(B36/A36,"")</f>
        <v>5.8668181818181813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27</v>
      </c>
      <c r="B37" s="262">
        <v>155.49</v>
      </c>
      <c r="C37" s="262">
        <v>2</v>
      </c>
      <c r="D37" s="262">
        <v>37.840000000000003</v>
      </c>
      <c r="E37" s="263">
        <v>0.1</v>
      </c>
      <c r="F37" s="263">
        <v>0.4</v>
      </c>
      <c r="G37" s="263">
        <v>0</v>
      </c>
      <c r="H37" s="263">
        <v>0.5</v>
      </c>
      <c r="I37" s="53">
        <f t="shared" ref="I37:I55" si="1">IF(A37&lt;&gt;0,(B37-(B36-D36))/(A37-A36),"")</f>
        <v>15.766000000000002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33</v>
      </c>
      <c r="B38" s="262">
        <v>217.34</v>
      </c>
      <c r="C38" s="262">
        <v>3</v>
      </c>
      <c r="D38" s="262">
        <v>50.41</v>
      </c>
      <c r="E38" s="263">
        <v>0.2</v>
      </c>
      <c r="F38" s="263">
        <v>0.5</v>
      </c>
      <c r="G38" s="263">
        <v>0</v>
      </c>
      <c r="H38" s="263">
        <v>0.3</v>
      </c>
      <c r="I38" s="53">
        <f t="shared" si="1"/>
        <v>16.614999999999998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41</v>
      </c>
      <c r="B39" s="262">
        <v>300.54000000000002</v>
      </c>
      <c r="C39" s="262">
        <v>4</v>
      </c>
      <c r="D39" s="262">
        <v>72.13</v>
      </c>
      <c r="E39" s="263">
        <v>0.2</v>
      </c>
      <c r="F39" s="263">
        <v>0.5</v>
      </c>
      <c r="G39" s="263">
        <v>0</v>
      </c>
      <c r="H39" s="263">
        <v>0.3</v>
      </c>
      <c r="I39" s="49">
        <f t="shared" si="1"/>
        <v>16.701250000000002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50</v>
      </c>
      <c r="B40" s="262">
        <v>369.94</v>
      </c>
      <c r="C40" s="262">
        <v>5</v>
      </c>
      <c r="D40" s="262">
        <v>70.2</v>
      </c>
      <c r="E40" s="263">
        <v>0.2</v>
      </c>
      <c r="F40" s="263">
        <v>0.5</v>
      </c>
      <c r="G40" s="263">
        <v>0</v>
      </c>
      <c r="H40" s="263">
        <v>0.3</v>
      </c>
      <c r="I40" s="49">
        <f t="shared" si="1"/>
        <v>15.725555555555552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60</v>
      </c>
      <c r="B41" s="262">
        <v>440.94</v>
      </c>
      <c r="C41" s="262">
        <v>6</v>
      </c>
      <c r="D41" s="262">
        <v>69.849999999999994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14.12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70</v>
      </c>
      <c r="B42" s="262">
        <v>490.06</v>
      </c>
      <c r="C42" s="262">
        <v>7</v>
      </c>
      <c r="D42" s="262">
        <v>67.88</v>
      </c>
      <c r="E42" s="263">
        <v>0.7</v>
      </c>
      <c r="F42" s="263">
        <v>0.3</v>
      </c>
      <c r="G42" s="263">
        <v>0</v>
      </c>
      <c r="H42" s="263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80</v>
      </c>
      <c r="B43" s="262">
        <v>520</v>
      </c>
      <c r="C43" s="262">
        <v>8</v>
      </c>
      <c r="D43" s="262">
        <v>520</v>
      </c>
      <c r="E43" s="263">
        <v>0.7</v>
      </c>
      <c r="F43" s="263">
        <v>0.3</v>
      </c>
      <c r="G43" s="263">
        <v>0</v>
      </c>
      <c r="H43" s="263">
        <v>0</v>
      </c>
      <c r="I43" s="49">
        <f t="shared" si="1"/>
        <v>9.782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17</v>
      </c>
      <c r="B62" s="60">
        <v>122.32</v>
      </c>
      <c r="C62" s="60">
        <v>1</v>
      </c>
      <c r="D62" s="60">
        <v>40.76</v>
      </c>
      <c r="E62" s="51">
        <v>0</v>
      </c>
      <c r="F62" s="51">
        <v>0.2</v>
      </c>
      <c r="G62" s="51">
        <v>0</v>
      </c>
      <c r="H62" s="51">
        <v>0.8</v>
      </c>
      <c r="I62" s="53">
        <f>IFERROR(B62/A62,"")</f>
        <v>7.1952941176470588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23</v>
      </c>
      <c r="B63" s="60">
        <v>187.68</v>
      </c>
      <c r="C63" s="60">
        <v>2</v>
      </c>
      <c r="D63" s="60">
        <v>57.75</v>
      </c>
      <c r="E63" s="51">
        <v>0.1</v>
      </c>
      <c r="F63" s="51">
        <v>0.4</v>
      </c>
      <c r="G63" s="51">
        <v>0</v>
      </c>
      <c r="H63" s="51">
        <v>0.5</v>
      </c>
      <c r="I63" s="49">
        <f>IF(A63&lt;&gt;0,(B63-(B62-D62))/(A63-A62),"")</f>
        <v>17.686666666666667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29</v>
      </c>
      <c r="B64" s="60">
        <v>241.61</v>
      </c>
      <c r="C64" s="60">
        <v>3</v>
      </c>
      <c r="D64" s="60">
        <v>54.64</v>
      </c>
      <c r="E64" s="51">
        <v>0.1</v>
      </c>
      <c r="F64" s="51">
        <v>0.4</v>
      </c>
      <c r="G64" s="51">
        <v>0</v>
      </c>
      <c r="H64" s="51">
        <v>0.5</v>
      </c>
      <c r="I64" s="49">
        <f>IF(A64&lt;&gt;0,(B64-(B63-D63))/(A64-A63),"")</f>
        <v>18.613333333333333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36</v>
      </c>
      <c r="B65" s="60">
        <v>311.13</v>
      </c>
      <c r="C65" s="60">
        <v>4</v>
      </c>
      <c r="D65" s="60">
        <v>76.069999999999993</v>
      </c>
      <c r="E65" s="51">
        <v>0.2</v>
      </c>
      <c r="F65" s="51">
        <v>0.5</v>
      </c>
      <c r="G65" s="51">
        <v>0</v>
      </c>
      <c r="H65" s="51">
        <v>0.3</v>
      </c>
      <c r="I65" s="49">
        <f>IF(A65&lt;&gt;0,(B65-(B64-D64))/(A65-A64),"")</f>
        <v>17.737142857142853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44</v>
      </c>
      <c r="B66" s="60">
        <v>367.35</v>
      </c>
      <c r="C66" s="60">
        <v>5</v>
      </c>
      <c r="D66" s="60">
        <v>77.91</v>
      </c>
      <c r="E66" s="51">
        <v>0.2</v>
      </c>
      <c r="F66" s="51">
        <v>0.5</v>
      </c>
      <c r="G66" s="51">
        <v>0</v>
      </c>
      <c r="H66" s="51">
        <v>0.3</v>
      </c>
      <c r="I66" s="49">
        <f t="shared" ref="I66:I81" si="2">IF(A66&lt;&gt;0,(B66-(B65-D65))/(A66-A65),"")</f>
        <v>16.536250000000003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52</v>
      </c>
      <c r="B67" s="60">
        <v>406.59</v>
      </c>
      <c r="C67" s="60">
        <v>6</v>
      </c>
      <c r="D67" s="60">
        <v>75.37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14.64374999999999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60</v>
      </c>
      <c r="B68" s="60">
        <v>436.34</v>
      </c>
      <c r="C68" s="60">
        <v>7</v>
      </c>
      <c r="D68" s="60">
        <v>436.34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13.14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sylvestre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22</v>
      </c>
      <c r="B88" s="60">
        <v>121.42</v>
      </c>
      <c r="C88" s="60">
        <v>1</v>
      </c>
      <c r="D88" s="60">
        <v>50.38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5.5190909090909095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29</v>
      </c>
      <c r="B89" s="60">
        <v>148.33000000000001</v>
      </c>
      <c r="C89" s="60">
        <v>2</v>
      </c>
      <c r="D89" s="60">
        <v>31.13</v>
      </c>
      <c r="E89" s="51">
        <v>0</v>
      </c>
      <c r="F89" s="51">
        <v>1</v>
      </c>
      <c r="G89" s="51">
        <v>0</v>
      </c>
      <c r="H89" s="87">
        <v>0</v>
      </c>
      <c r="I89" s="53">
        <f t="shared" ref="I89:I107" si="3">IF(A89&lt;&gt;0,(B89-(B88-D88))/(A89-A88),"")</f>
        <v>11.041428571428574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36</v>
      </c>
      <c r="B90" s="60">
        <v>195.12</v>
      </c>
      <c r="C90" s="60">
        <v>3</v>
      </c>
      <c r="D90" s="60">
        <v>41.46</v>
      </c>
      <c r="E90" s="87">
        <v>0</v>
      </c>
      <c r="F90" s="87">
        <v>1</v>
      </c>
      <c r="G90" s="87">
        <v>0</v>
      </c>
      <c r="H90" s="87">
        <v>0</v>
      </c>
      <c r="I90" s="53">
        <f t="shared" si="3"/>
        <v>11.13142857142857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44</v>
      </c>
      <c r="B91" s="60">
        <v>238.29</v>
      </c>
      <c r="C91" s="60">
        <v>4</v>
      </c>
      <c r="D91" s="60">
        <v>42.43</v>
      </c>
      <c r="E91" s="87">
        <v>0.5</v>
      </c>
      <c r="F91" s="87">
        <v>0.5</v>
      </c>
      <c r="G91" s="87">
        <v>0</v>
      </c>
      <c r="H91" s="87">
        <v>0</v>
      </c>
      <c r="I91" s="53">
        <f t="shared" si="3"/>
        <v>10.578749999999999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52</v>
      </c>
      <c r="B92" s="60">
        <v>273.2</v>
      </c>
      <c r="C92" s="60">
        <v>5</v>
      </c>
      <c r="D92" s="60">
        <v>46.24</v>
      </c>
      <c r="E92" s="87">
        <v>0.7</v>
      </c>
      <c r="F92" s="87">
        <v>0.3</v>
      </c>
      <c r="G92" s="87">
        <v>0</v>
      </c>
      <c r="H92" s="87">
        <v>0</v>
      </c>
      <c r="I92" s="53">
        <f t="shared" si="3"/>
        <v>9.6675000000000004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295.87</v>
      </c>
      <c r="C93" s="60">
        <v>6</v>
      </c>
      <c r="D93" s="60">
        <v>41.67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8.6137500000000031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330.24</v>
      </c>
      <c r="C94" s="60">
        <v>7</v>
      </c>
      <c r="D94" s="60">
        <v>50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7.6040000000000019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345.73</v>
      </c>
      <c r="C95" s="60">
        <v>8</v>
      </c>
      <c r="D95" s="60">
        <v>39.97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6.5490000000000013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90</v>
      </c>
      <c r="B96" s="60">
        <v>362.46</v>
      </c>
      <c r="C96" s="60">
        <v>9</v>
      </c>
      <c r="D96" s="60">
        <v>40.51</v>
      </c>
      <c r="E96" s="87">
        <v>0.7</v>
      </c>
      <c r="F96" s="87">
        <v>0.3</v>
      </c>
      <c r="G96" s="87">
        <v>0</v>
      </c>
      <c r="H96" s="87">
        <v>0</v>
      </c>
      <c r="I96" s="53">
        <f t="shared" si="3"/>
        <v>5.669999999999999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100</v>
      </c>
      <c r="B97" s="60">
        <v>370.99</v>
      </c>
      <c r="C97" s="60">
        <v>10</v>
      </c>
      <c r="D97" s="60">
        <v>219.7</v>
      </c>
      <c r="E97" s="87">
        <v>0.7</v>
      </c>
      <c r="F97" s="87">
        <v>0.3</v>
      </c>
      <c r="G97" s="87">
        <v>0</v>
      </c>
      <c r="H97" s="87">
        <v>0</v>
      </c>
      <c r="I97" s="53">
        <f t="shared" si="3"/>
        <v>4.9040000000000017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103</v>
      </c>
      <c r="B98" s="60">
        <v>158.65</v>
      </c>
      <c r="C98" s="60">
        <v>11</v>
      </c>
      <c r="D98" s="60">
        <v>158.65</v>
      </c>
      <c r="E98" s="87">
        <v>0.7</v>
      </c>
      <c r="F98" s="87">
        <v>0.3</v>
      </c>
      <c r="G98" s="87">
        <v>0</v>
      </c>
      <c r="H98" s="87">
        <v>0</v>
      </c>
      <c r="I98" s="53">
        <f t="shared" si="3"/>
        <v>2.4533333333333283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11.538461538461538</v>
      </c>
      <c r="C114" s="50">
        <v>1</v>
      </c>
      <c r="D114" s="60">
        <v>0</v>
      </c>
      <c r="E114" s="51">
        <v>0</v>
      </c>
      <c r="F114" s="51">
        <v>0.5</v>
      </c>
      <c r="G114" s="51">
        <v>0</v>
      </c>
      <c r="H114" s="51">
        <v>0.5</v>
      </c>
      <c r="I114" s="53">
        <f>IFERROR(B114/A114,"")</f>
        <v>1.1538461538461537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30.128205128205128</v>
      </c>
      <c r="C115" s="50">
        <v>2</v>
      </c>
      <c r="D115" s="60">
        <v>0</v>
      </c>
      <c r="E115" s="51">
        <v>0</v>
      </c>
      <c r="F115" s="51">
        <v>0.5</v>
      </c>
      <c r="G115" s="51">
        <v>0</v>
      </c>
      <c r="H115" s="51">
        <v>0.5</v>
      </c>
      <c r="I115" s="53">
        <f t="shared" ref="I115:I133" si="4">IF(A115&lt;&gt;0,(B115-(B114-D114))/(A115-A114),"")</f>
        <v>3.7179487179487181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55.769230769230759</v>
      </c>
      <c r="C116" s="50">
        <v>3</v>
      </c>
      <c r="D116" s="60">
        <v>18.589743589743588</v>
      </c>
      <c r="E116" s="51">
        <v>0</v>
      </c>
      <c r="F116" s="51">
        <v>0.5</v>
      </c>
      <c r="G116" s="51">
        <v>0</v>
      </c>
      <c r="H116" s="51">
        <v>0.5</v>
      </c>
      <c r="I116" s="53">
        <f t="shared" si="4"/>
        <v>5.128205128205126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25</v>
      </c>
      <c r="B117" s="60">
        <v>62.820512820512818</v>
      </c>
      <c r="C117" s="50">
        <v>4</v>
      </c>
      <c r="D117" s="60">
        <v>12.179487179487179</v>
      </c>
      <c r="E117" s="51">
        <v>0</v>
      </c>
      <c r="F117" s="51">
        <v>0.5</v>
      </c>
      <c r="G117" s="51">
        <v>0</v>
      </c>
      <c r="H117" s="51">
        <v>0.5</v>
      </c>
      <c r="I117" s="53">
        <f t="shared" si="4"/>
        <v>5.1282051282051295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76.282051282051285</v>
      </c>
      <c r="C118" s="50">
        <v>5</v>
      </c>
      <c r="D118" s="60">
        <v>12.820512820512819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4"/>
        <v>5.1282051282051295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35</v>
      </c>
      <c r="B119" s="60">
        <v>86.538461538461533</v>
      </c>
      <c r="C119" s="50">
        <v>6</v>
      </c>
      <c r="D119" s="60">
        <v>12.820512820512819</v>
      </c>
      <c r="E119" s="51">
        <v>0.6</v>
      </c>
      <c r="F119" s="51">
        <v>0.2</v>
      </c>
      <c r="G119" s="51">
        <v>0</v>
      </c>
      <c r="H119" s="51">
        <v>0.2</v>
      </c>
      <c r="I119" s="53">
        <f t="shared" si="4"/>
        <v>4.6153846153846132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40</v>
      </c>
      <c r="B120" s="60">
        <v>96.153846153846146</v>
      </c>
      <c r="C120" s="60">
        <v>7</v>
      </c>
      <c r="D120" s="60">
        <v>12.820512820512819</v>
      </c>
      <c r="E120" s="87">
        <v>0.6</v>
      </c>
      <c r="F120" s="87">
        <v>0.2</v>
      </c>
      <c r="G120" s="87">
        <v>0</v>
      </c>
      <c r="H120" s="87">
        <v>0.2</v>
      </c>
      <c r="I120" s="53">
        <f t="shared" si="4"/>
        <v>4.4871794871794863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45</v>
      </c>
      <c r="B121" s="60">
        <v>103.84615384615384</v>
      </c>
      <c r="C121" s="60">
        <v>8</v>
      </c>
      <c r="D121" s="60">
        <v>12.179487179487179</v>
      </c>
      <c r="E121" s="87">
        <v>0.6</v>
      </c>
      <c r="F121" s="87">
        <v>0.3</v>
      </c>
      <c r="G121" s="87">
        <v>0</v>
      </c>
      <c r="H121" s="87">
        <v>0.1</v>
      </c>
      <c r="I121" s="53">
        <f t="shared" si="4"/>
        <v>4.1025641025641022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50</v>
      </c>
      <c r="B122" s="60">
        <v>110.89743589743588</v>
      </c>
      <c r="C122" s="60">
        <v>9</v>
      </c>
      <c r="D122" s="60">
        <v>11.538461538461538</v>
      </c>
      <c r="E122" s="87">
        <v>0.6</v>
      </c>
      <c r="F122" s="87">
        <v>0.3</v>
      </c>
      <c r="G122" s="87">
        <v>0</v>
      </c>
      <c r="H122" s="87">
        <v>0.1</v>
      </c>
      <c r="I122" s="53">
        <f t="shared" si="4"/>
        <v>3.8461538461538454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55</v>
      </c>
      <c r="B123" s="60">
        <v>116.02564102564102</v>
      </c>
      <c r="C123" s="60">
        <v>10</v>
      </c>
      <c r="D123" s="60">
        <v>10.897435897435898</v>
      </c>
      <c r="E123" s="87">
        <v>0.6</v>
      </c>
      <c r="F123" s="87">
        <v>0.3</v>
      </c>
      <c r="G123" s="87">
        <v>0</v>
      </c>
      <c r="H123" s="87">
        <v>0.1</v>
      </c>
      <c r="I123" s="53">
        <f t="shared" si="4"/>
        <v>3.3333333333333344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60</v>
      </c>
      <c r="B124" s="60">
        <v>121.15384615384616</v>
      </c>
      <c r="C124" s="60">
        <v>11</v>
      </c>
      <c r="D124" s="60">
        <v>10.256410256410255</v>
      </c>
      <c r="E124" s="87">
        <v>0.6</v>
      </c>
      <c r="F124" s="87">
        <v>0.3</v>
      </c>
      <c r="G124" s="87">
        <v>0</v>
      </c>
      <c r="H124" s="87">
        <v>0.1</v>
      </c>
      <c r="I124" s="53">
        <f t="shared" si="4"/>
        <v>3.2051282051282071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65</v>
      </c>
      <c r="B125" s="60">
        <v>125</v>
      </c>
      <c r="C125" s="60">
        <v>12</v>
      </c>
      <c r="D125" s="60">
        <v>9.615384615384615</v>
      </c>
      <c r="E125" s="87">
        <v>0.6</v>
      </c>
      <c r="F125" s="87">
        <v>0.3</v>
      </c>
      <c r="G125" s="87">
        <v>0</v>
      </c>
      <c r="H125" s="87">
        <v>0.1</v>
      </c>
      <c r="I125" s="53">
        <f t="shared" si="4"/>
        <v>2.8205128205128176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70</v>
      </c>
      <c r="B126" s="60">
        <v>128.84615384615384</v>
      </c>
      <c r="C126" s="60">
        <v>13</v>
      </c>
      <c r="D126" s="60">
        <v>8.9743589743589745</v>
      </c>
      <c r="E126" s="65">
        <v>0.6</v>
      </c>
      <c r="F126" s="65">
        <v>0.3</v>
      </c>
      <c r="G126" s="65">
        <v>0</v>
      </c>
      <c r="H126" s="65">
        <v>0.1</v>
      </c>
      <c r="I126" s="53">
        <f t="shared" si="4"/>
        <v>2.6923076923076907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75</v>
      </c>
      <c r="B127" s="60">
        <v>130.76923076923075</v>
      </c>
      <c r="C127" s="60">
        <v>14</v>
      </c>
      <c r="D127" s="60">
        <v>7.6923076923076916</v>
      </c>
      <c r="E127" s="65">
        <v>0.6</v>
      </c>
      <c r="F127" s="65">
        <v>0.3</v>
      </c>
      <c r="G127" s="65">
        <v>0</v>
      </c>
      <c r="H127" s="65">
        <v>0.1</v>
      </c>
      <c r="I127" s="53">
        <f t="shared" si="4"/>
        <v>2.1794871794871766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133.33333333333334</v>
      </c>
      <c r="C128" s="50">
        <v>15</v>
      </c>
      <c r="D128" s="50">
        <v>7.0512820512820511</v>
      </c>
      <c r="E128" s="54">
        <v>0.6</v>
      </c>
      <c r="F128" s="54">
        <v>0.3</v>
      </c>
      <c r="G128" s="54">
        <v>0</v>
      </c>
      <c r="H128" s="54">
        <v>0.1</v>
      </c>
      <c r="I128" s="53">
        <f t="shared" si="4"/>
        <v>2.0512820512820582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135.25641025641025</v>
      </c>
      <c r="C129" s="50">
        <v>16</v>
      </c>
      <c r="D129" s="50">
        <v>6.4102564102564097</v>
      </c>
      <c r="E129" s="54">
        <v>0.6</v>
      </c>
      <c r="F129" s="54">
        <v>0.3</v>
      </c>
      <c r="G129" s="54">
        <v>0</v>
      </c>
      <c r="H129" s="54">
        <v>0.1</v>
      </c>
      <c r="I129" s="53">
        <f t="shared" si="4"/>
        <v>1.7948717948717898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137.82051282051282</v>
      </c>
      <c r="C130" s="50">
        <v>17</v>
      </c>
      <c r="D130" s="50">
        <v>6.4102564102564097</v>
      </c>
      <c r="E130" s="54">
        <v>0.6</v>
      </c>
      <c r="F130" s="54">
        <v>0.3</v>
      </c>
      <c r="G130" s="54">
        <v>0</v>
      </c>
      <c r="H130" s="54">
        <v>0.1</v>
      </c>
      <c r="I130" s="53">
        <f t="shared" si="4"/>
        <v>1.7948717948717956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95</v>
      </c>
      <c r="B131" s="50">
        <v>140.38461538461539</v>
      </c>
      <c r="C131" s="50">
        <v>18</v>
      </c>
      <c r="D131" s="50">
        <v>7.0512820512820511</v>
      </c>
      <c r="E131" s="54">
        <v>0.6</v>
      </c>
      <c r="F131" s="54">
        <v>0.3</v>
      </c>
      <c r="G131" s="54">
        <v>0</v>
      </c>
      <c r="H131" s="54">
        <v>0.1</v>
      </c>
      <c r="I131" s="53">
        <f t="shared" si="4"/>
        <v>1.7948717948717956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100</v>
      </c>
      <c r="B132" s="50">
        <v>142.94871794871793</v>
      </c>
      <c r="C132" s="50">
        <v>19</v>
      </c>
      <c r="D132" s="50">
        <v>7.0512820512820511</v>
      </c>
      <c r="E132" s="54">
        <v>0.6</v>
      </c>
      <c r="F132" s="54">
        <v>0.3</v>
      </c>
      <c r="G132" s="54">
        <v>0</v>
      </c>
      <c r="H132" s="54">
        <v>0.1</v>
      </c>
      <c r="I132" s="53">
        <f t="shared" si="4"/>
        <v>1.9230769230769169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0.95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0.05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0.95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0.95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laricio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maritime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Pin sylvestre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rouge d'Amérique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346.2919953121168</v>
      </c>
      <c r="T3" s="59">
        <f>IF('Données projet'!E9&gt;30,$R$33-$H$33,LOOKUP('Données projet'!$E$9,$A$3:$A$203,R3:R203)-LOOKUP('Données projet'!$E$9,$A$3:$A$203,$H$3:$H$203))</f>
        <v>255.63939678041237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298.32148815673816</v>
      </c>
      <c r="AO3" s="59">
        <f>IF('Données projet'!E10&gt;30,$AM$33-$H$33,LOOKUP('Données projet'!$E$10,$A$3:$A$203,AM3:AM203)-LOOKUP('Données projet'!$E$10,$A$3:$A$203,$H$3:$H$203))</f>
        <v>303.51754260758827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287.9055604128643</v>
      </c>
      <c r="BJ3" s="59">
        <f>IF('Données projet'!E11&gt;30,$BH$33-$H$33,LOOKUP('Données projet'!$E$11,$A$3:$A$203,BH3:BH203)-LOOKUP('Données projet'!$E$11,$A$3:$A$203,$H$3:$H$203))</f>
        <v>197.74605993031139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201.78062426023638</v>
      </c>
      <c r="CE3" s="59">
        <f>IF('Données projet'!E12&gt;30,$CC$33-$H$33,LOOKUP('Données projet'!$E$12,$A$3:$A$203,CC3:CC203)-LOOKUP('Données projet'!$E$12,$A$3:$A$203,$H$3:$H$203))</f>
        <v>183.0364139873468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3.2760000000000004E-2</v>
      </c>
      <c r="D4" s="11">
        <f>IFERROR(EXP(-1.0587+0.8836*LN(C4)+0.284),0)</f>
        <v>2.2475529331923955E-2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2.131897623337416E-2</v>
      </c>
      <c r="H4" s="67">
        <f t="shared" ref="H4:H67" si="1">(B4+E4+F4)*44/12+(C4+D4)*0.475*44/12</f>
        <v>256.76286854691978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5.8668181818181813</v>
      </c>
      <c r="N4" s="13">
        <f>IF('Données projet'!$A$36&gt;35,N3+M4-V3,IF(A4&lt;'Données projet'!$A$36,$K$205^A4,IF(A4='Données projet'!$A$36,'Données projet'!$B$36,N3+M4-V3)))</f>
        <v>1.2472301622014093</v>
      </c>
      <c r="O4" s="13">
        <f>N4*VLOOKUP('Données projet'!$B$9,Paramètres!$A$1:$I$89,3,0)*VLOOKUP('Données projet'!$B$9,Paramètres!$A$1:$I$89,5,0)</f>
        <v>0.74584363699644274</v>
      </c>
      <c r="P4" s="13">
        <f>EXP(-1.0587+0.8836*LN(O4)+0.284)</f>
        <v>0.35565068640491565</v>
      </c>
      <c r="Q4" s="20">
        <f t="shared" ref="Q4:Q34" si="2">(O4+P4)*0.475*44/12</f>
        <v>1.918435946590699</v>
      </c>
      <c r="R4" s="59">
        <f t="shared" si="0"/>
        <v>259.80732483547956</v>
      </c>
      <c r="S4" s="59">
        <f ca="1">AVERAGE(OFFSET($R$3,0,0,'Données projet'!$E$9+1,1))-AVERAGE(OFFSET($H$3,0,0,'Données projet'!$E$9+1,1))</f>
        <v>346.2919953121168</v>
      </c>
      <c r="T4" s="59">
        <f>$T$3</f>
        <v>255.63939678041237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7.1952941176470588</v>
      </c>
      <c r="AI4" s="13">
        <f>IF('Données projet'!$A$62&gt;35,AI3+AH4-AQ3,IF(A4&lt;'Données projet'!$A$62,$AF$205^A4,IF(A4='Données projet'!$A$62,'Données projet'!$B$62,AI3+AH4-AQ3)))</f>
        <v>1.3267648858502221</v>
      </c>
      <c r="AJ4" s="13">
        <f>AI4*VLOOKUP('Données projet'!$B$10,Paramètres!$A$1:$I$89,3,0)*VLOOKUP('Données projet'!$B$10,Paramètres!$A$1:$I$89,5,0)</f>
        <v>0.79340540173843288</v>
      </c>
      <c r="AK4" s="13">
        <f>EXP(-1.0587+0.8836*LN(AJ4)+0.284)</f>
        <v>0.37561764201183739</v>
      </c>
      <c r="AL4" s="20">
        <f t="shared" ref="AL4:AL67" si="4">(AJ4+AK4)*0.475*44/12</f>
        <v>2.0360484678650539</v>
      </c>
      <c r="AM4" s="59">
        <f t="shared" ref="AM4:AM67" si="5">AL4+(AD4+AE4)*44/12</f>
        <v>259.9249373567539</v>
      </c>
      <c r="AN4" s="59">
        <f ca="1">AVERAGE(OFFSET($AM$3,0,0,'Données projet'!$E$10+1,1))-AVERAGE(OFFSET($H$3,0,0,'Données projet'!$E$10+1,1))</f>
        <v>298.32148815673816</v>
      </c>
      <c r="AO4" s="59">
        <f>$AO$3</f>
        <v>303.51754260758827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5.5190909090909095</v>
      </c>
      <c r="BD4" s="12">
        <f>IF('Données projet'!$A$88&gt;35,BD3+BC4-BL3,IF(A4&lt;'Données projet'!$A$88,$BA$205^A4,IF(A4='Données projet'!$A$88,'Données projet'!$B$88,BD3+BC4-BL3)))</f>
        <v>1.2437711100600062</v>
      </c>
      <c r="BE4" s="13">
        <f>BD4*VLOOKUP('Données projet'!$B$11,Paramètres!$A$1:$I$89,3,0)*VLOOKUP('Données projet'!$B$11,Paramètres!$A$1:$I$89,5,0)</f>
        <v>0.71143707495432351</v>
      </c>
      <c r="BF4" s="13">
        <f>EXP(-1.0587+0.8836*LN(BE4)+0.284)</f>
        <v>0.34111425655752986</v>
      </c>
      <c r="BG4" s="20">
        <f t="shared" ref="BG4:BG67" si="7">(BE4+BF4)*0.475*44/12</f>
        <v>1.8331935690498111</v>
      </c>
      <c r="BH4" s="59">
        <f t="shared" ref="BH4:BH67" si="8">BG4+(AY4+AZ4)*44/12</f>
        <v>259.72208245793865</v>
      </c>
      <c r="BI4" s="59">
        <f ca="1">AVERAGE(OFFSET($BH$3,0,0,'Données projet'!$E$11+1,1))-AVERAGE(OFFSET($H$3,0,0,'Données projet'!$E$11+1,1))</f>
        <v>287.9055604128643</v>
      </c>
      <c r="BJ4" s="59">
        <f>$BJ$3</f>
        <v>197.74605993031139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1.1538461538461537</v>
      </c>
      <c r="BY4" s="12">
        <f>IF('Données projet'!$A$114&gt;35,BY3+BX4-CG3,IF(A4&lt;'Données projet'!$A$114,$BV$205^A4,IF(A4='Données projet'!$A$114,'Données projet'!$B$114,BY3+BX4-CG3)))</f>
        <v>1.2770702581475548</v>
      </c>
      <c r="BZ4" s="13">
        <f>BY4*VLOOKUP('Données projet'!$B$12,Paramètres!$A$1:$I$89,3,0)*VLOOKUP('Données projet'!$B$12,Paramètres!$A$1:$I$89,5,0)</f>
        <v>1.1156485775177041</v>
      </c>
      <c r="CA4" s="13">
        <f>EXP(-1.0587+0.8836*LN(BZ4)+0.284)</f>
        <v>0.50763001109458361</v>
      </c>
      <c r="CB4" s="20">
        <f t="shared" ref="CB4:CB67" si="10">(BZ4+CA4)*0.475*44/12</f>
        <v>2.8272102084997344</v>
      </c>
      <c r="CC4" s="59">
        <f t="shared" ref="CC4:CC67" si="11">CB4+(BT4+BU4)*44/12</f>
        <v>260.71609909738856</v>
      </c>
      <c r="CD4" s="59">
        <f ca="1">AVERAGE(OFFSET($CC$3,0,0,'Données projet'!$E$12+1,1))-AVERAGE(OFFSET($H$3,0,0,'Données projet'!$E$12+1,1))</f>
        <v>201.78062426023638</v>
      </c>
      <c r="CE4" s="59">
        <f>$CE$3</f>
        <v>183.0364139873468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6.5520000000000009E-2</v>
      </c>
      <c r="D5" s="11">
        <f t="shared" ref="D5:D68" si="32">IFERROR(EXP(-1.0587+0.8836*LN(C5)+0.284),0)</f>
        <v>4.1466753299678021E-2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4.1293132852507304E-2</v>
      </c>
      <c r="H5" s="67">
        <f t="shared" si="1"/>
        <v>256.85300192866362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5.8668181818181813</v>
      </c>
      <c r="N5" s="13">
        <f>IF('Données projet'!$A$36&gt;35,N4+M5-V4,IF(A5&lt;'Données projet'!$A$36,$K$205^A5,IF(A5='Données projet'!$A$36,'Données projet'!$B$36,N4+M5-V4)))</f>
        <v>1.5555830775049537</v>
      </c>
      <c r="O5" s="13">
        <f>N5*VLOOKUP('Données projet'!$B$9,Paramètres!$A$1:$I$89,3,0)*VLOOKUP('Données projet'!$B$9,Paramètres!$A$1:$I$89,5,0)</f>
        <v>0.93023868034796242</v>
      </c>
      <c r="P5" s="13">
        <f t="shared" ref="P5:P68" si="33">EXP(-1.0587+0.8836*LN(O5)+0.284)</f>
        <v>0.43231675887518456</v>
      </c>
      <c r="Q5" s="20">
        <f t="shared" si="2"/>
        <v>2.373117389980314</v>
      </c>
      <c r="R5" s="59">
        <f t="shared" si="0"/>
        <v>261.48422850109148</v>
      </c>
      <c r="S5" s="59">
        <f ca="1">AVERAGE(OFFSET($R$3,0,0,'Données projet'!$E$9+1,1))-AVERAGE(OFFSET($H$3,0,0,'Données projet'!$E$9+1,1))</f>
        <v>346.2919953121168</v>
      </c>
      <c r="T5" s="59">
        <f t="shared" ref="T5:T68" si="34">$T$3</f>
        <v>255.63939678041237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7.1952941176470588</v>
      </c>
      <c r="AI5" s="13">
        <f>IF('Données projet'!$A$62&gt;35,AI4+AH5-AQ4,IF(A5&lt;'Données projet'!$A$62,$AF$205^A5,IF(A5='Données projet'!$A$62,'Données projet'!$B$62,AI4+AH5-AQ4)))</f>
        <v>1.7603050623251528</v>
      </c>
      <c r="AJ5" s="13">
        <f>AI5*VLOOKUP('Données projet'!$B$10,Paramètres!$A$1:$I$89,3,0)*VLOOKUP('Données projet'!$B$10,Paramètres!$A$1:$I$89,5,0)</f>
        <v>1.0526624272704415</v>
      </c>
      <c r="AK5" s="13">
        <f t="shared" ref="AK5:AK68" si="35">EXP(-1.0587+0.8836*LN(AJ5)+0.284)</f>
        <v>0.48222168139326793</v>
      </c>
      <c r="AL5" s="20">
        <f t="shared" si="4"/>
        <v>2.6732564892559605</v>
      </c>
      <c r="AM5" s="59">
        <f t="shared" si="5"/>
        <v>261.78436760036709</v>
      </c>
      <c r="AN5" s="59">
        <f ca="1">AVERAGE(OFFSET($AM$3,0,0,'Données projet'!$E$10+1,1))-AVERAGE(OFFSET($H$3,0,0,'Données projet'!$E$10+1,1))</f>
        <v>298.32148815673816</v>
      </c>
      <c r="AO5" s="59">
        <f t="shared" ref="AO5:AO68" si="36">$AO$3</f>
        <v>303.51754260758827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5.5190909090909095</v>
      </c>
      <c r="BD5" s="12">
        <f>IF('Données projet'!$A$88&gt;35,BD4+BC5-BL4,IF(A5&lt;'Données projet'!$A$88,$BA$205^A5,IF(A5='Données projet'!$A$88,'Données projet'!$B$88,BD4+BC5-BL4)))</f>
        <v>1.5469665742198999</v>
      </c>
      <c r="BE5" s="13">
        <f>BD5*VLOOKUP('Données projet'!$B$11,Paramètres!$A$1:$I$89,3,0)*VLOOKUP('Données projet'!$B$11,Paramètres!$A$1:$I$89,5,0)</f>
        <v>0.88486488045378286</v>
      </c>
      <c r="BF5" s="13">
        <f t="shared" ref="BF5:BF68" si="37">EXP(-1.0587+0.8836*LN(BE5)+0.284)</f>
        <v>0.41363049101726423</v>
      </c>
      <c r="BG5" s="20">
        <f t="shared" si="7"/>
        <v>2.2615461053120742</v>
      </c>
      <c r="BH5" s="59">
        <f t="shared" si="8"/>
        <v>261.37265721642319</v>
      </c>
      <c r="BI5" s="59">
        <f ca="1">AVERAGE(OFFSET($BH$3,0,0,'Données projet'!$E$11+1,1))-AVERAGE(OFFSET($H$3,0,0,'Données projet'!$E$11+1,1))</f>
        <v>287.9055604128643</v>
      </c>
      <c r="BJ5" s="59">
        <f t="shared" ref="BJ5:BJ68" si="38">$BJ$3</f>
        <v>197.74605993031139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1.1538461538461537</v>
      </c>
      <c r="BY5" s="12">
        <f>IF('Données projet'!$A$114&gt;35,BY4+BX5-CG4,IF(A5&lt;'Données projet'!$A$114,$BV$205^A5,IF(A5='Données projet'!$A$114,'Données projet'!$B$114,BY4+BX5-CG4)))</f>
        <v>1.6309084442450623</v>
      </c>
      <c r="BZ5" s="13">
        <f>BY5*VLOOKUP('Données projet'!$B$12,Paramètres!$A$1:$I$89,3,0)*VLOOKUP('Données projet'!$B$12,Paramètres!$A$1:$I$89,5,0)</f>
        <v>1.4247616168924866</v>
      </c>
      <c r="CA5" s="13">
        <f t="shared" ref="CA5:CA68" si="39">EXP(-1.0587+0.8836*LN(BZ5)+0.284)</f>
        <v>0.63008432961878058</v>
      </c>
      <c r="CB5" s="20">
        <f t="shared" si="10"/>
        <v>3.5788566901737902</v>
      </c>
      <c r="CC5" s="59">
        <f t="shared" si="11"/>
        <v>262.68996780128492</v>
      </c>
      <c r="CD5" s="59">
        <f ca="1">AVERAGE(OFFSET($CC$3,0,0,'Données projet'!$E$12+1,1))-AVERAGE(OFFSET($H$3,0,0,'Données projet'!$E$12+1,1))</f>
        <v>201.78062426023638</v>
      </c>
      <c r="CE5" s="59">
        <f t="shared" ref="CE5:CE68" si="40">$CE$3</f>
        <v>183.0364139873468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9.8280000000000006E-2</v>
      </c>
      <c r="D6" s="11">
        <f t="shared" si="32"/>
        <v>5.9332721535993407E-2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6.0832980241962382E-2</v>
      </c>
      <c r="H6" s="67">
        <f t="shared" si="1"/>
        <v>256.94117549000856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5.8668181818181813</v>
      </c>
      <c r="N6" s="13">
        <f>IF('Données projet'!$A$36&gt;35,N5+M6-V5,IF(A6&lt;'Données projet'!$A$36,$K$205^A6,IF(A6='Données projet'!$A$36,'Données projet'!$B$36,N5+M6-V5)))</f>
        <v>1.9401701340742707</v>
      </c>
      <c r="O6" s="13">
        <f>N6*VLOOKUP('Données projet'!$B$9,Paramètres!$A$1:$I$89,3,0)*VLOOKUP('Données projet'!$B$9,Paramètres!$A$1:$I$89,5,0)</f>
        <v>1.1602217401764139</v>
      </c>
      <c r="P6" s="13">
        <f t="shared" si="33"/>
        <v>0.52550940332379237</v>
      </c>
      <c r="Q6" s="20">
        <f t="shared" si="2"/>
        <v>2.9359817415961924</v>
      </c>
      <c r="R6" s="59">
        <f t="shared" si="0"/>
        <v>263.26931507492952</v>
      </c>
      <c r="S6" s="59">
        <f ca="1">AVERAGE(OFFSET($R$3,0,0,'Données projet'!$E$9+1,1))-AVERAGE(OFFSET($H$3,0,0,'Données projet'!$E$9+1,1))</f>
        <v>346.2919953121168</v>
      </c>
      <c r="T6" s="59">
        <f t="shared" si="34"/>
        <v>255.63939678041237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7.1952941176470588</v>
      </c>
      <c r="AI6" s="13">
        <f>IF('Données projet'!$A$62&gt;35,AI5+AH6-AQ5,IF(A6&lt;'Données projet'!$A$62,$AF$205^A6,IF(A6='Données projet'!$A$62,'Données projet'!$B$62,AI5+AH6-AQ5)))</f>
        <v>2.3355109450773996</v>
      </c>
      <c r="AJ6" s="13">
        <f>AI6*VLOOKUP('Données projet'!$B$10,Paramètres!$A$1:$I$89,3,0)*VLOOKUP('Données projet'!$B$10,Paramètres!$A$1:$I$89,5,0)</f>
        <v>1.3966355451562853</v>
      </c>
      <c r="AK6" s="13">
        <f t="shared" si="35"/>
        <v>0.61908101217040834</v>
      </c>
      <c r="AL6" s="20">
        <f t="shared" si="4"/>
        <v>3.5107063373439913</v>
      </c>
      <c r="AM6" s="59">
        <f t="shared" si="5"/>
        <v>263.84403967067732</v>
      </c>
      <c r="AN6" s="59">
        <f ca="1">AVERAGE(OFFSET($AM$3,0,0,'Données projet'!$E$10+1,1))-AVERAGE(OFFSET($H$3,0,0,'Données projet'!$E$10+1,1))</f>
        <v>298.32148815673816</v>
      </c>
      <c r="AO6" s="59">
        <f t="shared" si="36"/>
        <v>303.51754260758827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5.5190909090909095</v>
      </c>
      <c r="BD6" s="12">
        <f>IF('Données projet'!$A$88&gt;35,BD5+BC6-BL5,IF(A6&lt;'Données projet'!$A$88,$BA$205^A6,IF(A6='Données projet'!$A$88,'Données projet'!$B$88,BD5+BC6-BL5)))</f>
        <v>1.9240723332432099</v>
      </c>
      <c r="BE6" s="13">
        <f>BD6*VLOOKUP('Données projet'!$B$11,Paramètres!$A$1:$I$89,3,0)*VLOOKUP('Données projet'!$B$11,Paramètres!$A$1:$I$89,5,0)</f>
        <v>1.1005693746151162</v>
      </c>
      <c r="BF6" s="13">
        <f t="shared" si="37"/>
        <v>0.50156268701812023</v>
      </c>
      <c r="BG6" s="20">
        <f t="shared" si="7"/>
        <v>2.7903800073445528</v>
      </c>
      <c r="BH6" s="59">
        <f t="shared" si="8"/>
        <v>263.12371334067785</v>
      </c>
      <c r="BI6" s="59">
        <f ca="1">AVERAGE(OFFSET($BH$3,0,0,'Données projet'!$E$11+1,1))-AVERAGE(OFFSET($H$3,0,0,'Données projet'!$E$11+1,1))</f>
        <v>287.9055604128643</v>
      </c>
      <c r="BJ6" s="59">
        <f t="shared" si="38"/>
        <v>197.74605993031139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1.1538461538461537</v>
      </c>
      <c r="BY6" s="12">
        <f>IF('Données projet'!$A$114&gt;35,BY5+BX6-CG5,IF(A6&lt;'Données projet'!$A$114,$BV$205^A6,IF(A6='Données projet'!$A$114,'Données projet'!$B$114,BY5+BX6-CG5)))</f>
        <v>2.082784667907069</v>
      </c>
      <c r="BZ6" s="13">
        <f>BY6*VLOOKUP('Données projet'!$B$12,Paramètres!$A$1:$I$89,3,0)*VLOOKUP('Données projet'!$B$12,Paramètres!$A$1:$I$89,5,0)</f>
        <v>1.8195206858836157</v>
      </c>
      <c r="CA6" s="13">
        <f t="shared" si="39"/>
        <v>0.78207799727029237</v>
      </c>
      <c r="CB6" s="20">
        <f t="shared" si="10"/>
        <v>4.531117706493057</v>
      </c>
      <c r="CC6" s="59">
        <f t="shared" si="11"/>
        <v>264.86445103982635</v>
      </c>
      <c r="CD6" s="59">
        <f ca="1">AVERAGE(OFFSET($CC$3,0,0,'Données projet'!$E$12+1,1))-AVERAGE(OFFSET($H$3,0,0,'Données projet'!$E$12+1,1))</f>
        <v>201.78062426023638</v>
      </c>
      <c r="CE6" s="59">
        <f t="shared" si="40"/>
        <v>183.0364139873468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0.13104000000000002</v>
      </c>
      <c r="D7" s="11">
        <f t="shared" si="32"/>
        <v>7.6505055957637222E-2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8.0105109316982795E-2</v>
      </c>
      <c r="H7" s="67">
        <f t="shared" si="1"/>
        <v>257.0281409724596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5.8668181818181813</v>
      </c>
      <c r="N7" s="13">
        <f>IF('Données projet'!$A$36&gt;35,N6+M7-V6,IF(A7&lt;'Données projet'!$A$36,$K$205^A7,IF(A7='Données projet'!$A$36,'Données projet'!$B$36,N6+M7-V6)))</f>
        <v>2.419838711019783</v>
      </c>
      <c r="O7" s="13">
        <f>N7*VLOOKUP('Données projet'!$B$9,Paramètres!$A$1:$I$89,3,0)*VLOOKUP('Données projet'!$B$9,Paramètres!$A$1:$I$89,5,0)</f>
        <v>1.4470635491898303</v>
      </c>
      <c r="P7" s="13">
        <f t="shared" si="33"/>
        <v>0.63879118103182142</v>
      </c>
      <c r="Q7" s="20">
        <f t="shared" si="2"/>
        <v>3.6328636551360431</v>
      </c>
      <c r="R7" s="59">
        <f t="shared" si="0"/>
        <v>265.18841921069156</v>
      </c>
      <c r="S7" s="59">
        <f ca="1">AVERAGE(OFFSET($R$3,0,0,'Données projet'!$E$9+1,1))-AVERAGE(OFFSET($H$3,0,0,'Données projet'!$E$9+1,1))</f>
        <v>346.2919953121168</v>
      </c>
      <c r="T7" s="59">
        <f t="shared" si="34"/>
        <v>255.63939678041237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7.1952941176470588</v>
      </c>
      <c r="AI7" s="13">
        <f>IF('Données projet'!$A$62&gt;35,AI6+AH7-AQ6,IF(A7&lt;'Données projet'!$A$62,$AF$205^A7,IF(A7='Données projet'!$A$62,'Données projet'!$B$62,AI6+AH7-AQ6)))</f>
        <v>3.09867391244756</v>
      </c>
      <c r="AJ7" s="13">
        <f>AI7*VLOOKUP('Données projet'!$B$10,Paramètres!$A$1:$I$89,3,0)*VLOOKUP('Données projet'!$B$10,Paramètres!$A$1:$I$89,5,0)</f>
        <v>1.8530069996436409</v>
      </c>
      <c r="AK7" s="13">
        <f t="shared" si="35"/>
        <v>0.79478238830446668</v>
      </c>
      <c r="AL7" s="20">
        <f t="shared" si="4"/>
        <v>4.6115665173429541</v>
      </c>
      <c r="AM7" s="59">
        <f t="shared" si="5"/>
        <v>266.16712207289851</v>
      </c>
      <c r="AN7" s="59">
        <f ca="1">AVERAGE(OFFSET($AM$3,0,0,'Données projet'!$E$10+1,1))-AVERAGE(OFFSET($H$3,0,0,'Données projet'!$E$10+1,1))</f>
        <v>298.32148815673816</v>
      </c>
      <c r="AO7" s="59">
        <f t="shared" si="36"/>
        <v>303.51754260758827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5.5190909090909095</v>
      </c>
      <c r="BD7" s="12">
        <f>IF('Données projet'!$A$88&gt;35,BD6+BC7-BL6,IF(A7&lt;'Données projet'!$A$88,$BA$205^A7,IF(A7='Données projet'!$A$88,'Données projet'!$B$88,BD6+BC7-BL6)))</f>
        <v>2.3931055817536531</v>
      </c>
      <c r="BE7" s="13">
        <f>BD7*VLOOKUP('Données projet'!$B$11,Paramètres!$A$1:$I$89,3,0)*VLOOKUP('Données projet'!$B$11,Paramètres!$A$1:$I$89,5,0)</f>
        <v>1.3688563927630897</v>
      </c>
      <c r="BF7" s="13">
        <f t="shared" si="37"/>
        <v>0.60818806754344634</v>
      </c>
      <c r="BG7" s="20">
        <f t="shared" si="7"/>
        <v>3.4433524350338836</v>
      </c>
      <c r="BH7" s="59">
        <f t="shared" si="8"/>
        <v>264.99890799058943</v>
      </c>
      <c r="BI7" s="59">
        <f ca="1">AVERAGE(OFFSET($BH$3,0,0,'Données projet'!$E$11+1,1))-AVERAGE(OFFSET($H$3,0,0,'Données projet'!$E$11+1,1))</f>
        <v>287.9055604128643</v>
      </c>
      <c r="BJ7" s="59">
        <f t="shared" si="38"/>
        <v>197.74605993031139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1.1538461538461537</v>
      </c>
      <c r="BY7" s="12">
        <f>IF('Données projet'!$A$114&gt;35,BY6+BX7-CG6,IF(A7&lt;'Données projet'!$A$114,$BV$205^A7,IF(A7='Données projet'!$A$114,'Données projet'!$B$114,BY6+BX7-CG6)))</f>
        <v>2.6598623535098493</v>
      </c>
      <c r="BZ7" s="13">
        <f>BY7*VLOOKUP('Données projet'!$B$12,Paramètres!$A$1:$I$89,3,0)*VLOOKUP('Données projet'!$B$12,Paramètres!$A$1:$I$89,5,0)</f>
        <v>2.3236557520262049</v>
      </c>
      <c r="CA7" s="13">
        <f t="shared" si="39"/>
        <v>0.97073671739205902</v>
      </c>
      <c r="CB7" s="20">
        <f t="shared" si="10"/>
        <v>5.7377335509034753</v>
      </c>
      <c r="CC7" s="59">
        <f t="shared" si="11"/>
        <v>267.29328910645904</v>
      </c>
      <c r="CD7" s="59">
        <f ca="1">AVERAGE(OFFSET($CC$3,0,0,'Données projet'!$E$12+1,1))-AVERAGE(OFFSET($H$3,0,0,'Données projet'!$E$12+1,1))</f>
        <v>201.78062426023638</v>
      </c>
      <c r="CE7" s="59">
        <f t="shared" si="40"/>
        <v>183.0364139873468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0.16380000000000003</v>
      </c>
      <c r="D8" s="11">
        <f t="shared" si="32"/>
        <v>9.317938176679047E-2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9.9185024541568259E-2</v>
      </c>
      <c r="H8" s="67">
        <f t="shared" si="1"/>
        <v>257.11423908991048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5.8668181818181813</v>
      </c>
      <c r="N8" s="13">
        <f>IF('Données projet'!$A$36&gt;35,N7+M8-V7,IF(A8&lt;'Données projet'!$A$36,$K$205^A8,IF(A8='Données projet'!$A$36,'Données projet'!$B$36,N7+M8-V7)))</f>
        <v>3.0180958280464529</v>
      </c>
      <c r="O8" s="13">
        <f>N8*VLOOKUP('Données projet'!$B$9,Paramètres!$A$1:$I$89,3,0)*VLOOKUP('Données projet'!$B$9,Paramètres!$A$1:$I$89,5,0)</f>
        <v>1.804821305171779</v>
      </c>
      <c r="P8" s="13">
        <f t="shared" si="33"/>
        <v>0.77649261912941803</v>
      </c>
      <c r="Q8" s="20">
        <f t="shared" si="2"/>
        <v>4.4957884181579182</v>
      </c>
      <c r="R8" s="59">
        <f t="shared" si="0"/>
        <v>267.2735661959357</v>
      </c>
      <c r="S8" s="59">
        <f ca="1">AVERAGE(OFFSET($R$3,0,0,'Données projet'!$E$9+1,1))-AVERAGE(OFFSET($H$3,0,0,'Données projet'!$E$9+1,1))</f>
        <v>346.2919953121168</v>
      </c>
      <c r="T8" s="59">
        <f t="shared" si="34"/>
        <v>255.63939678041237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7.1952941176470588</v>
      </c>
      <c r="AI8" s="13">
        <f>IF('Données projet'!$A$62&gt;35,AI7+AH8-AQ7,IF(A8&lt;'Données projet'!$A$62,$AF$205^A8,IF(A8='Données projet'!$A$62,'Données projet'!$B$62,AI7+AH8-AQ7)))</f>
        <v>4.1112117397355483</v>
      </c>
      <c r="AJ8" s="13">
        <f>AI8*VLOOKUP('Données projet'!$B$10,Paramètres!$A$1:$I$89,3,0)*VLOOKUP('Données projet'!$B$10,Paramètres!$A$1:$I$89,5,0)</f>
        <v>2.4585046203618579</v>
      </c>
      <c r="AK8" s="13">
        <f t="shared" si="35"/>
        <v>1.0203495703161323</v>
      </c>
      <c r="AL8" s="20">
        <f t="shared" si="4"/>
        <v>6.0590043820974993</v>
      </c>
      <c r="AM8" s="59">
        <f t="shared" si="5"/>
        <v>268.83678215987527</v>
      </c>
      <c r="AN8" s="59">
        <f ca="1">AVERAGE(OFFSET($AM$3,0,0,'Données projet'!$E$10+1,1))-AVERAGE(OFFSET($H$3,0,0,'Données projet'!$E$10+1,1))</f>
        <v>298.32148815673816</v>
      </c>
      <c r="AO8" s="59">
        <f t="shared" si="36"/>
        <v>303.51754260758827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5.5190909090909095</v>
      </c>
      <c r="BD8" s="12">
        <f>IF('Données projet'!$A$88&gt;35,BD7+BC8-BL7,IF(A8&lt;'Données projet'!$A$88,$BA$205^A8,IF(A8='Données projet'!$A$88,'Données projet'!$B$88,BD7+BC8-BL7)))</f>
        <v>2.9764755859085379</v>
      </c>
      <c r="BE8" s="13">
        <f>BD8*VLOOKUP('Données projet'!$B$11,Paramètres!$A$1:$I$89,3,0)*VLOOKUP('Données projet'!$B$11,Paramètres!$A$1:$I$89,5,0)</f>
        <v>1.7025440351396839</v>
      </c>
      <c r="BF8" s="13">
        <f t="shared" si="37"/>
        <v>0.73748054844611766</v>
      </c>
      <c r="BG8" s="20">
        <f t="shared" si="7"/>
        <v>4.249709483078604</v>
      </c>
      <c r="BH8" s="59">
        <f t="shared" si="8"/>
        <v>267.02748726085639</v>
      </c>
      <c r="BI8" s="59">
        <f ca="1">AVERAGE(OFFSET($BH$3,0,0,'Données projet'!$E$11+1,1))-AVERAGE(OFFSET($H$3,0,0,'Données projet'!$E$11+1,1))</f>
        <v>287.9055604128643</v>
      </c>
      <c r="BJ8" s="59">
        <f t="shared" si="38"/>
        <v>197.74605993031139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1.1538461538461537</v>
      </c>
      <c r="BY8" s="12">
        <f>IF('Données projet'!$A$114&gt;35,BY7+BX8-CG7,IF(A8&lt;'Données projet'!$A$114,$BV$205^A8,IF(A8='Données projet'!$A$114,'Données projet'!$B$114,BY7+BX8-CG7)))</f>
        <v>3.3968311024337861</v>
      </c>
      <c r="BZ8" s="13">
        <f>BY8*VLOOKUP('Données projet'!$B$12,Paramètres!$A$1:$I$89,3,0)*VLOOKUP('Données projet'!$B$12,Paramètres!$A$1:$I$89,5,0)</f>
        <v>2.9674716510861558</v>
      </c>
      <c r="CA8" s="13">
        <f t="shared" si="39"/>
        <v>1.2049051089305018</v>
      </c>
      <c r="CB8" s="20">
        <f t="shared" si="10"/>
        <v>7.2668895236956779</v>
      </c>
      <c r="CC8" s="59">
        <f t="shared" si="11"/>
        <v>270.04466730147345</v>
      </c>
      <c r="CD8" s="59">
        <f ca="1">AVERAGE(OFFSET($CC$3,0,0,'Données projet'!$E$12+1,1))-AVERAGE(OFFSET($H$3,0,0,'Données projet'!$E$12+1,1))</f>
        <v>201.78062426023638</v>
      </c>
      <c r="CE8" s="59">
        <f t="shared" si="40"/>
        <v>183.0364139873468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0.19656000000000004</v>
      </c>
      <c r="D9" s="11">
        <f t="shared" si="32"/>
        <v>0.10946729174635741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0.1181157968143836</v>
      </c>
      <c r="H9" s="67">
        <f t="shared" si="1"/>
        <v>257.19966419979158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5.8668181818181813</v>
      </c>
      <c r="N9" s="13">
        <f>IF('Données projet'!$A$36&gt;35,N8+M9-V8,IF(A9&lt;'Données projet'!$A$36,$K$205^A9,IF(A9='Données projet'!$A$36,'Données projet'!$B$36,N8+M9-V8)))</f>
        <v>3.7642601491537744</v>
      </c>
      <c r="O9" s="13">
        <f>N9*VLOOKUP('Données projet'!$B$9,Paramètres!$A$1:$I$89,3,0)*VLOOKUP('Données projet'!$B$9,Paramètres!$A$1:$I$89,5,0)</f>
        <v>2.251027569193957</v>
      </c>
      <c r="P9" s="13">
        <f t="shared" si="33"/>
        <v>0.94387775765556148</v>
      </c>
      <c r="Q9" s="20">
        <f t="shared" si="2"/>
        <v>5.5644601109295779</v>
      </c>
      <c r="R9" s="59">
        <f t="shared" si="0"/>
        <v>269.56446011092959</v>
      </c>
      <c r="S9" s="59">
        <f ca="1">AVERAGE(OFFSET($R$3,0,0,'Données projet'!$E$9+1,1))-AVERAGE(OFFSET($H$3,0,0,'Données projet'!$E$9+1,1))</f>
        <v>346.2919953121168</v>
      </c>
      <c r="T9" s="59">
        <f t="shared" si="34"/>
        <v>255.63939678041237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7.1952941176470588</v>
      </c>
      <c r="AI9" s="13">
        <f>IF('Données projet'!$A$62&gt;35,AI8+AH9-AQ8,IF(A9&lt;'Données projet'!$A$62,$AF$205^A9,IF(A9='Données projet'!$A$62,'Données projet'!$B$62,AI8+AH9-AQ8)))</f>
        <v>5.4546113745763272</v>
      </c>
      <c r="AJ9" s="13">
        <f>AI9*VLOOKUP('Données projet'!$B$10,Paramètres!$A$1:$I$89,3,0)*VLOOKUP('Données projet'!$B$10,Paramètres!$A$1:$I$89,5,0)</f>
        <v>3.2618576019966441</v>
      </c>
      <c r="AK9" s="13">
        <f t="shared" si="35"/>
        <v>1.3099349720938758</v>
      </c>
      <c r="AL9" s="20">
        <f t="shared" si="4"/>
        <v>7.962538733207654</v>
      </c>
      <c r="AM9" s="59">
        <f t="shared" si="5"/>
        <v>271.96253873320768</v>
      </c>
      <c r="AN9" s="59">
        <f ca="1">AVERAGE(OFFSET($AM$3,0,0,'Données projet'!$E$10+1,1))-AVERAGE(OFFSET($H$3,0,0,'Données projet'!$E$10+1,1))</f>
        <v>298.32148815673816</v>
      </c>
      <c r="AO9" s="59">
        <f t="shared" si="36"/>
        <v>303.51754260758827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5.5190909090909095</v>
      </c>
      <c r="BD9" s="12">
        <f>IF('Données projet'!$A$88&gt;35,BD8+BC9-BL8,IF(A9&lt;'Données projet'!$A$88,$BA$205^A9,IF(A9='Données projet'!$A$88,'Données projet'!$B$88,BD8+BC9-BL8)))</f>
        <v>3.7020543435519695</v>
      </c>
      <c r="BE9" s="13">
        <f>BD9*VLOOKUP('Données projet'!$B$11,Paramètres!$A$1:$I$89,3,0)*VLOOKUP('Données projet'!$B$11,Paramètres!$A$1:$I$89,5,0)</f>
        <v>2.1175750845117265</v>
      </c>
      <c r="BF9" s="13">
        <f t="shared" si="37"/>
        <v>0.89425884584217707</v>
      </c>
      <c r="BG9" s="20">
        <f t="shared" si="7"/>
        <v>5.2456107620330483</v>
      </c>
      <c r="BH9" s="59">
        <f t="shared" si="8"/>
        <v>269.24561076203304</v>
      </c>
      <c r="BI9" s="59">
        <f ca="1">AVERAGE(OFFSET($BH$3,0,0,'Données projet'!$E$11+1,1))-AVERAGE(OFFSET($H$3,0,0,'Données projet'!$E$11+1,1))</f>
        <v>287.9055604128643</v>
      </c>
      <c r="BJ9" s="59">
        <f t="shared" si="38"/>
        <v>197.74605993031139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1.1538461538461537</v>
      </c>
      <c r="BY9" s="12">
        <f>IF('Données projet'!$A$114&gt;35,BY8+BX9-CG8,IF(A9&lt;'Données projet'!$A$114,$BV$205^A9,IF(A9='Données projet'!$A$114,'Données projet'!$B$114,BY8+BX9-CG8)))</f>
        <v>4.3379919728687586</v>
      </c>
      <c r="BZ9" s="13">
        <f>BY9*VLOOKUP('Données projet'!$B$12,Paramètres!$A$1:$I$89,3,0)*VLOOKUP('Données projet'!$B$12,Paramètres!$A$1:$I$89,5,0)</f>
        <v>3.789669787498148</v>
      </c>
      <c r="CA9" s="13">
        <f t="shared" si="39"/>
        <v>1.4955613561493386</v>
      </c>
      <c r="CB9" s="20">
        <f t="shared" si="10"/>
        <v>9.2051109085193712</v>
      </c>
      <c r="CC9" s="59">
        <f t="shared" si="11"/>
        <v>273.20511090851937</v>
      </c>
      <c r="CD9" s="59">
        <f ca="1">AVERAGE(OFFSET($CC$3,0,0,'Données projet'!$E$12+1,1))-AVERAGE(OFFSET($H$3,0,0,'Données projet'!$E$12+1,1))</f>
        <v>201.78062426023638</v>
      </c>
      <c r="CE9" s="59">
        <f t="shared" si="40"/>
        <v>183.0364139873468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0.22932000000000005</v>
      </c>
      <c r="D10" s="11">
        <f t="shared" si="32"/>
        <v>0.12544072544867857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0.13692519227843739</v>
      </c>
      <c r="H10" s="67">
        <f t="shared" si="1"/>
        <v>257.28454159682315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5.8668181818181813</v>
      </c>
      <c r="N10" s="13">
        <f>IF('Données projet'!$A$36&gt;35,N9+M10-V9,IF(A10&lt;'Données projet'!$A$36,$K$205^A10,IF(A10='Données projet'!$A$36,'Données projet'!$B$36,N9+M10-V9)))</f>
        <v>4.6948987963973625</v>
      </c>
      <c r="O10" s="13">
        <f>N10*VLOOKUP('Données projet'!$B$9,Paramètres!$A$1:$I$89,3,0)*VLOOKUP('Données projet'!$B$9,Paramètres!$A$1:$I$89,5,0)</f>
        <v>2.8075494802456231</v>
      </c>
      <c r="P10" s="13">
        <f t="shared" si="33"/>
        <v>1.1473453828778812</v>
      </c>
      <c r="Q10" s="20">
        <f t="shared" si="2"/>
        <v>6.8881085532734367</v>
      </c>
      <c r="R10" s="59">
        <f t="shared" si="0"/>
        <v>272.11033077549564</v>
      </c>
      <c r="S10" s="59">
        <f ca="1">AVERAGE(OFFSET($R$3,0,0,'Données projet'!$E$9+1,1))-AVERAGE(OFFSET($H$3,0,0,'Données projet'!$E$9+1,1))</f>
        <v>346.2919953121168</v>
      </c>
      <c r="T10" s="59">
        <f t="shared" si="34"/>
        <v>255.63939678041237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7.1952941176470588</v>
      </c>
      <c r="AI10" s="13">
        <f>IF('Données projet'!$A$62&gt;35,AI9+AH10-AQ9,IF(A10&lt;'Données projet'!$A$62,$AF$205^A10,IF(A10='Données projet'!$A$62,'Données projet'!$B$62,AI9+AH10-AQ9)))</f>
        <v>7.2369868377470841</v>
      </c>
      <c r="AJ10" s="13">
        <f>AI10*VLOOKUP('Données projet'!$B$10,Paramètres!$A$1:$I$89,3,0)*VLOOKUP('Données projet'!$B$10,Paramètres!$A$1:$I$89,5,0)</f>
        <v>4.3277181289727569</v>
      </c>
      <c r="AK10" s="13">
        <f t="shared" si="35"/>
        <v>1.6817076039762937</v>
      </c>
      <c r="AL10" s="20">
        <f t="shared" si="4"/>
        <v>10.466416484886262</v>
      </c>
      <c r="AM10" s="59">
        <f t="shared" si="5"/>
        <v>275.68863870710851</v>
      </c>
      <c r="AN10" s="59">
        <f ca="1">AVERAGE(OFFSET($AM$3,0,0,'Données projet'!$E$10+1,1))-AVERAGE(OFFSET($H$3,0,0,'Données projet'!$E$10+1,1))</f>
        <v>298.32148815673816</v>
      </c>
      <c r="AO10" s="59">
        <f t="shared" si="36"/>
        <v>303.51754260758827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5.5190909090909095</v>
      </c>
      <c r="BD10" s="12">
        <f>IF('Données projet'!$A$88&gt;35,BD9+BC10-BL9,IF(A10&lt;'Données projet'!$A$88,$BA$205^A10,IF(A10='Données projet'!$A$88,'Données projet'!$B$88,BD9+BC10-BL9)))</f>
        <v>4.6045082403821009</v>
      </c>
      <c r="BE10" s="13">
        <f>BD10*VLOOKUP('Données projet'!$B$11,Paramètres!$A$1:$I$89,3,0)*VLOOKUP('Données projet'!$B$11,Paramètres!$A$1:$I$89,5,0)</f>
        <v>2.633778713498562</v>
      </c>
      <c r="BF10" s="13">
        <f t="shared" si="37"/>
        <v>1.0843660691145822</v>
      </c>
      <c r="BG10" s="20">
        <f t="shared" si="7"/>
        <v>6.475768829717893</v>
      </c>
      <c r="BH10" s="59">
        <f t="shared" si="8"/>
        <v>271.69799105194011</v>
      </c>
      <c r="BI10" s="59">
        <f ca="1">AVERAGE(OFFSET($BH$3,0,0,'Données projet'!$E$11+1,1))-AVERAGE(OFFSET($H$3,0,0,'Données projet'!$E$11+1,1))</f>
        <v>287.9055604128643</v>
      </c>
      <c r="BJ10" s="59">
        <f t="shared" si="38"/>
        <v>197.74605993031139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1.1538461538461537</v>
      </c>
      <c r="BY10" s="12">
        <f>IF('Données projet'!$A$114&gt;35,BY9+BX10-CG9,IF(A10&lt;'Données projet'!$A$114,$BV$205^A10,IF(A10='Données projet'!$A$114,'Données projet'!$B$114,BY9+BX10-CG9)))</f>
        <v>5.5399205286335267</v>
      </c>
      <c r="BZ10" s="13">
        <f>BY10*VLOOKUP('Données projet'!$B$12,Paramètres!$A$1:$I$89,3,0)*VLOOKUP('Données projet'!$B$12,Paramètres!$A$1:$I$89,5,0)</f>
        <v>4.8396745738142499</v>
      </c>
      <c r="CA10" s="13">
        <f t="shared" si="39"/>
        <v>1.8563318832572566</v>
      </c>
      <c r="CB10" s="20">
        <f t="shared" si="10"/>
        <v>11.662211246066207</v>
      </c>
      <c r="CC10" s="59">
        <f t="shared" si="11"/>
        <v>276.88443346828842</v>
      </c>
      <c r="CD10" s="59">
        <f ca="1">AVERAGE(OFFSET($CC$3,0,0,'Données projet'!$E$12+1,1))-AVERAGE(OFFSET($H$3,0,0,'Données projet'!$E$12+1,1))</f>
        <v>201.78062426023638</v>
      </c>
      <c r="CE10" s="59">
        <f t="shared" si="40"/>
        <v>183.0364139873468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0.26208000000000004</v>
      </c>
      <c r="D11" s="11">
        <f t="shared" si="32"/>
        <v>0.14114979161213115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0.15563255114854188</v>
      </c>
      <c r="H11" s="67">
        <f t="shared" si="1"/>
        <v>257.3689585537245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5.8668181818181813</v>
      </c>
      <c r="N11" s="13">
        <f>IF('Données projet'!$A$36&gt;35,N10+M11-V10,IF(A11&lt;'Données projet'!$A$36,$K$205^A11,IF(A11='Données projet'!$A$36,'Données projet'!$B$36,N10+M11-V10)))</f>
        <v>5.8556193873498845</v>
      </c>
      <c r="O11" s="13">
        <f>N11*VLOOKUP('Données projet'!$B$9,Paramètres!$A$1:$I$89,3,0)*VLOOKUP('Données projet'!$B$9,Paramètres!$A$1:$I$89,5,0)</f>
        <v>3.5016603936352309</v>
      </c>
      <c r="P11" s="13">
        <f t="shared" si="33"/>
        <v>1.3946736396044743</v>
      </c>
      <c r="Q11" s="20">
        <f t="shared" si="2"/>
        <v>8.5277817745591538</v>
      </c>
      <c r="R11" s="59">
        <f t="shared" si="0"/>
        <v>274.97222621900363</v>
      </c>
      <c r="S11" s="59">
        <f ca="1">AVERAGE(OFFSET($R$3,0,0,'Données projet'!$E$9+1,1))-AVERAGE(OFFSET($H$3,0,0,'Données projet'!$E$9+1,1))</f>
        <v>346.2919953121168</v>
      </c>
      <c r="T11" s="59">
        <f t="shared" si="34"/>
        <v>255.63939678041237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7.1952941176470588</v>
      </c>
      <c r="AI11" s="13">
        <f>IF('Données projet'!$A$62&gt;35,AI10+AH11-AQ10,IF(A11&lt;'Données projet'!$A$62,$AF$205^A11,IF(A11='Données projet'!$A$62,'Données projet'!$B$62,AI10+AH11-AQ10)))</f>
        <v>9.6017800156830688</v>
      </c>
      <c r="AJ11" s="13">
        <f>AI11*VLOOKUP('Données projet'!$B$10,Paramètres!$A$1:$I$89,3,0)*VLOOKUP('Données projet'!$B$10,Paramètres!$A$1:$I$89,5,0)</f>
        <v>5.7418644493784763</v>
      </c>
      <c r="AK11" s="13">
        <f t="shared" si="35"/>
        <v>2.1589930229521412</v>
      </c>
      <c r="AL11" s="20">
        <f t="shared" si="4"/>
        <v>13.760660097642491</v>
      </c>
      <c r="AM11" s="59">
        <f t="shared" si="5"/>
        <v>280.20510454208693</v>
      </c>
      <c r="AN11" s="59">
        <f ca="1">AVERAGE(OFFSET($AM$3,0,0,'Données projet'!$E$10+1,1))-AVERAGE(OFFSET($H$3,0,0,'Données projet'!$E$10+1,1))</f>
        <v>298.32148815673816</v>
      </c>
      <c r="AO11" s="59">
        <f t="shared" si="36"/>
        <v>303.51754260758827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5.5190909090909095</v>
      </c>
      <c r="BD11" s="12">
        <f>IF('Données projet'!$A$88&gt;35,BD10+BC11-BL10,IF(A11&lt;'Données projet'!$A$88,$BA$205^A11,IF(A11='Données projet'!$A$88,'Données projet'!$B$88,BD10+BC11-BL10)))</f>
        <v>5.7269543254204907</v>
      </c>
      <c r="BE11" s="13">
        <f>BD11*VLOOKUP('Données projet'!$B$11,Paramètres!$A$1:$I$89,3,0)*VLOOKUP('Données projet'!$B$11,Paramètres!$A$1:$I$89,5,0)</f>
        <v>3.2758178741405208</v>
      </c>
      <c r="BF11" s="13">
        <f t="shared" si="37"/>
        <v>1.3148874929379564</v>
      </c>
      <c r="BG11" s="20">
        <f t="shared" si="7"/>
        <v>7.9954785143283473</v>
      </c>
      <c r="BH11" s="59">
        <f t="shared" si="8"/>
        <v>274.4399229587728</v>
      </c>
      <c r="BI11" s="59">
        <f ca="1">AVERAGE(OFFSET($BH$3,0,0,'Données projet'!$E$11+1,1))-AVERAGE(OFFSET($H$3,0,0,'Données projet'!$E$11+1,1))</f>
        <v>287.9055604128643</v>
      </c>
      <c r="BJ11" s="59">
        <f t="shared" si="38"/>
        <v>197.74605993031139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1.1538461538461537</v>
      </c>
      <c r="BY11" s="12">
        <f>IF('Données projet'!$A$114&gt;35,BY10+BX11-CG10,IF(A11&lt;'Données projet'!$A$114,$BV$205^A11,IF(A11='Données projet'!$A$114,'Données projet'!$B$114,BY10+BX11-CG10)))</f>
        <v>7.0748677396189548</v>
      </c>
      <c r="BZ11" s="13">
        <f>BY11*VLOOKUP('Données projet'!$B$12,Paramètres!$A$1:$I$89,3,0)*VLOOKUP('Données projet'!$B$12,Paramètres!$A$1:$I$89,5,0)</f>
        <v>6.1806044573311194</v>
      </c>
      <c r="CA11" s="13">
        <f t="shared" si="39"/>
        <v>2.304130182709359</v>
      </c>
      <c r="CB11" s="20">
        <f t="shared" si="10"/>
        <v>14.777579498070502</v>
      </c>
      <c r="CC11" s="59">
        <f t="shared" si="11"/>
        <v>281.22202394251497</v>
      </c>
      <c r="CD11" s="59">
        <f ca="1">AVERAGE(OFFSET($CC$3,0,0,'Données projet'!$E$12+1,1))-AVERAGE(OFFSET($H$3,0,0,'Données projet'!$E$12+1,1))</f>
        <v>201.78062426023638</v>
      </c>
      <c r="CE11" s="59">
        <f t="shared" si="40"/>
        <v>183.0364139873468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0.29484000000000005</v>
      </c>
      <c r="D12" s="11">
        <f t="shared" si="32"/>
        <v>0.1566313207968564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0.17425208872861131</v>
      </c>
      <c r="H12" s="67">
        <f t="shared" si="1"/>
        <v>257.45297921705452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5.8668181818181813</v>
      </c>
      <c r="N12" s="13">
        <f>IF('Données projet'!$A$36&gt;35,N11+M12-V11,IF(A12&lt;'Données projet'!$A$36,$K$205^A12,IF(A12='Données projet'!$A$36,'Données projet'!$B$36,N11+M12-V11)))</f>
        <v>7.3033051182741131</v>
      </c>
      <c r="O12" s="13">
        <f>N12*VLOOKUP('Données projet'!$B$9,Paramètres!$A$1:$I$89,3,0)*VLOOKUP('Données projet'!$B$9,Paramètres!$A$1:$I$89,5,0)</f>
        <v>4.36737646072792</v>
      </c>
      <c r="P12" s="13">
        <f t="shared" si="33"/>
        <v>1.6953173735084623</v>
      </c>
      <c r="Q12" s="20">
        <f t="shared" si="2"/>
        <v>10.559191761295033</v>
      </c>
      <c r="R12" s="59">
        <f t="shared" si="0"/>
        <v>278.22585842796173</v>
      </c>
      <c r="S12" s="59">
        <f ca="1">AVERAGE(OFFSET($R$3,0,0,'Données projet'!$E$9+1,1))-AVERAGE(OFFSET($H$3,0,0,'Données projet'!$E$9+1,1))</f>
        <v>346.2919953121168</v>
      </c>
      <c r="T12" s="59">
        <f t="shared" si="34"/>
        <v>255.63939678041237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7.1952941176470588</v>
      </c>
      <c r="AI12" s="13">
        <f>IF('Données projet'!$A$62&gt;35,AI11+AH12-AQ11,IF(A12&lt;'Données projet'!$A$62,$AF$205^A12,IF(A12='Données projet'!$A$62,'Données projet'!$B$62,AI11+AH12-AQ11)))</f>
        <v>12.739304566466691</v>
      </c>
      <c r="AJ12" s="13">
        <f>AI12*VLOOKUP('Données projet'!$B$10,Paramètres!$A$1:$I$89,3,0)*VLOOKUP('Données projet'!$B$10,Paramètres!$A$1:$I$89,5,0)</f>
        <v>7.6181041307470823</v>
      </c>
      <c r="AK12" s="13">
        <f t="shared" si="35"/>
        <v>2.7717368121157255</v>
      </c>
      <c r="AL12" s="20">
        <f t="shared" si="4"/>
        <v>18.095639642152722</v>
      </c>
      <c r="AM12" s="59">
        <f t="shared" si="5"/>
        <v>285.7623063088194</v>
      </c>
      <c r="AN12" s="59">
        <f ca="1">AVERAGE(OFFSET($AM$3,0,0,'Données projet'!$E$10+1,1))-AVERAGE(OFFSET($H$3,0,0,'Données projet'!$E$10+1,1))</f>
        <v>298.32148815673816</v>
      </c>
      <c r="AO12" s="59">
        <f t="shared" si="36"/>
        <v>303.51754260758827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5.5190909090909095</v>
      </c>
      <c r="BD12" s="12">
        <f>IF('Données projet'!$A$88&gt;35,BD11+BC12-BL11,IF(A12&lt;'Données projet'!$A$88,$BA$205^A12,IF(A12='Données projet'!$A$88,'Données projet'!$B$88,BD11+BC12-BL11)))</f>
        <v>7.1230203385911972</v>
      </c>
      <c r="BE12" s="13">
        <f>BD12*VLOOKUP('Données projet'!$B$11,Paramètres!$A$1:$I$89,3,0)*VLOOKUP('Données projet'!$B$11,Paramètres!$A$1:$I$89,5,0)</f>
        <v>4.0743676336741652</v>
      </c>
      <c r="BF12" s="13">
        <f t="shared" si="37"/>
        <v>1.5944146246630417</v>
      </c>
      <c r="BG12" s="20">
        <f t="shared" si="7"/>
        <v>9.8731290999373016</v>
      </c>
      <c r="BH12" s="59">
        <f t="shared" si="8"/>
        <v>277.53979576660402</v>
      </c>
      <c r="BI12" s="59">
        <f ca="1">AVERAGE(OFFSET($BH$3,0,0,'Données projet'!$E$11+1,1))-AVERAGE(OFFSET($H$3,0,0,'Données projet'!$E$11+1,1))</f>
        <v>287.9055604128643</v>
      </c>
      <c r="BJ12" s="59">
        <f t="shared" si="38"/>
        <v>197.74605993031139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1.1538461538461537</v>
      </c>
      <c r="BY12" s="12">
        <f>IF('Données projet'!$A$114&gt;35,BY11+BX12-CG11,IF(A12&lt;'Données projet'!$A$114,$BV$205^A12,IF(A12='Données projet'!$A$114,'Données projet'!$B$114,BY11+BX12-CG11)))</f>
        <v>9.0351031705949865</v>
      </c>
      <c r="BZ12" s="13">
        <f>BY12*VLOOKUP('Données projet'!$B$12,Paramètres!$A$1:$I$89,3,0)*VLOOKUP('Données projet'!$B$12,Paramètres!$A$1:$I$89,5,0)</f>
        <v>7.893066129831781</v>
      </c>
      <c r="CA12" s="13">
        <f t="shared" si="39"/>
        <v>2.8599497464627262</v>
      </c>
      <c r="CB12" s="20">
        <f t="shared" si="10"/>
        <v>18.728169317879601</v>
      </c>
      <c r="CC12" s="59">
        <f t="shared" si="11"/>
        <v>286.39483598454626</v>
      </c>
      <c r="CD12" s="59">
        <f ca="1">AVERAGE(OFFSET($CC$3,0,0,'Données projet'!$E$12+1,1))-AVERAGE(OFFSET($H$3,0,0,'Données projet'!$E$12+1,1))</f>
        <v>201.78062426023638</v>
      </c>
      <c r="CE12" s="59">
        <f t="shared" si="40"/>
        <v>183.0364139873468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0.32760000000000006</v>
      </c>
      <c r="D13" s="11">
        <f t="shared" si="32"/>
        <v>0.17191347884527289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0.19279467604554398</v>
      </c>
      <c r="H13" s="67">
        <f t="shared" si="1"/>
        <v>257.53665264232222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5.8668181818181813</v>
      </c>
      <c r="N13" s="13">
        <f>IF('Données projet'!$A$36&gt;35,N12+M13-V12,IF(A13&lt;'Données projet'!$A$36,$K$205^A13,IF(A13='Données projet'!$A$36,'Données projet'!$B$36,N12+M13-V12)))</f>
        <v>9.1089024272714045</v>
      </c>
      <c r="O13" s="13">
        <f>N13*VLOOKUP('Données projet'!$B$9,Paramètres!$A$1:$I$89,3,0)*VLOOKUP('Données projet'!$B$9,Paramètres!$A$1:$I$89,5,0)</f>
        <v>5.4471236515083001</v>
      </c>
      <c r="P13" s="13">
        <f t="shared" si="33"/>
        <v>2.0607695702449207</v>
      </c>
      <c r="Q13" s="20">
        <f t="shared" si="2"/>
        <v>13.076247361220192</v>
      </c>
      <c r="R13" s="59">
        <f t="shared" si="0"/>
        <v>281.96513625010903</v>
      </c>
      <c r="S13" s="59">
        <f ca="1">AVERAGE(OFFSET($R$3,0,0,'Données projet'!$E$9+1,1))-AVERAGE(OFFSET($H$3,0,0,'Données projet'!$E$9+1,1))</f>
        <v>346.2919953121168</v>
      </c>
      <c r="T13" s="59">
        <f t="shared" si="34"/>
        <v>255.63939678041237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7.1952941176470588</v>
      </c>
      <c r="AI13" s="13">
        <f>IF('Données projet'!$A$62&gt;35,AI12+AH13-AQ12,IF(A13&lt;'Données projet'!$A$62,$AF$205^A13,IF(A13='Données projet'!$A$62,'Données projet'!$B$62,AI12+AH13-AQ12)))</f>
        <v>16.902061968939393</v>
      </c>
      <c r="AJ13" s="13">
        <f>AI13*VLOOKUP('Données projet'!$B$10,Paramètres!$A$1:$I$89,3,0)*VLOOKUP('Données projet'!$B$10,Paramètres!$A$1:$I$89,5,0)</f>
        <v>10.107433057425759</v>
      </c>
      <c r="AK13" s="13">
        <f t="shared" si="35"/>
        <v>3.5583834102125023</v>
      </c>
      <c r="AL13" s="20">
        <f t="shared" si="4"/>
        <v>23.80129701446997</v>
      </c>
      <c r="AM13" s="59">
        <f t="shared" si="5"/>
        <v>292.69018590335884</v>
      </c>
      <c r="AN13" s="59">
        <f ca="1">AVERAGE(OFFSET($AM$3,0,0,'Données projet'!$E$10+1,1))-AVERAGE(OFFSET($H$3,0,0,'Données projet'!$E$10+1,1))</f>
        <v>298.32148815673816</v>
      </c>
      <c r="AO13" s="59">
        <f t="shared" si="36"/>
        <v>303.51754260758827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5.5190909090909095</v>
      </c>
      <c r="BD13" s="12">
        <f>IF('Données projet'!$A$88&gt;35,BD12+BC13-BL12,IF(A13&lt;'Données projet'!$A$88,$BA$205^A13,IF(A13='Données projet'!$A$88,'Données projet'!$B$88,BD12+BC13-BL12)))</f>
        <v>8.8594069135095737</v>
      </c>
      <c r="BE13" s="13">
        <f>BD13*VLOOKUP('Données projet'!$B$11,Paramètres!$A$1:$I$89,3,0)*VLOOKUP('Données projet'!$B$11,Paramètres!$A$1:$I$89,5,0)</f>
        <v>5.0675807545274765</v>
      </c>
      <c r="BF13" s="13">
        <f t="shared" si="37"/>
        <v>1.9333654088223506</v>
      </c>
      <c r="BG13" s="20">
        <f t="shared" si="7"/>
        <v>12.19331456783428</v>
      </c>
      <c r="BH13" s="59">
        <f t="shared" si="8"/>
        <v>281.08220345672316</v>
      </c>
      <c r="BI13" s="59">
        <f ca="1">AVERAGE(OFFSET($BH$3,0,0,'Données projet'!$E$11+1,1))-AVERAGE(OFFSET($H$3,0,0,'Données projet'!$E$11+1,1))</f>
        <v>287.9055604128643</v>
      </c>
      <c r="BJ13" s="59">
        <f t="shared" si="38"/>
        <v>197.74605993031139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11.538461538461538</v>
      </c>
      <c r="BW13" s="12">
        <f>VLOOKUP(A13,'Données projet'!$A$113:$I$133,9,0)</f>
        <v>1.1538461538461537</v>
      </c>
      <c r="BX13" s="12">
        <f t="array" ref="BX13">INDEX(BW:BW,MIN(IF(ISNUMBER(BW13:BW209),ROW(BW13:BW209),"")))</f>
        <v>1.1538461538461537</v>
      </c>
      <c r="BY13" s="12">
        <f>IF('Données projet'!$A$114&gt;35,BY12+BX13-CG12,IF(A13&lt;'Données projet'!$A$114,$BV$205^A13,IF(A13='Données projet'!$A$114,'Données projet'!$B$114,BY12+BX13-CG12)))</f>
        <v>11.538461538461538</v>
      </c>
      <c r="BZ13" s="13">
        <f>BY13*VLOOKUP('Données projet'!$B$12,Paramètres!$A$1:$I$89,3,0)*VLOOKUP('Données projet'!$B$12,Paramètres!$A$1:$I$89,5,0)</f>
        <v>10.08</v>
      </c>
      <c r="CA13" s="13">
        <f t="shared" si="39"/>
        <v>3.5498482740564596</v>
      </c>
      <c r="CB13" s="20">
        <f t="shared" si="10"/>
        <v>23.738652410648331</v>
      </c>
      <c r="CC13" s="59">
        <f t="shared" si="11"/>
        <v>292.6275412995372</v>
      </c>
      <c r="CD13" s="59">
        <f ca="1">AVERAGE(OFFSET($CC$3,0,0,'Données projet'!$E$12+1,1))-AVERAGE(OFFSET($H$3,0,0,'Données projet'!$E$12+1,1))</f>
        <v>201.78062426023638</v>
      </c>
      <c r="CE13" s="59">
        <f t="shared" si="40"/>
        <v>183.0364139873468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0.215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0.36036000000000007</v>
      </c>
      <c r="D14" s="11">
        <f t="shared" si="32"/>
        <v>0.18701847245491091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0.21126888410540426</v>
      </c>
      <c r="H14" s="67">
        <f t="shared" si="1"/>
        <v>257.62001750619231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5.8668181818181813</v>
      </c>
      <c r="N14" s="13">
        <f>IF('Données projet'!$A$36&gt;35,N13+M14-V13,IF(A14&lt;'Données projet'!$A$36,$K$205^A14,IF(A14='Données projet'!$A$36,'Données projet'!$B$36,N13+M14-V13)))</f>
        <v>11.360897851842525</v>
      </c>
      <c r="O14" s="13">
        <f>N14*VLOOKUP('Données projet'!$B$9,Paramètres!$A$1:$I$89,3,0)*VLOOKUP('Données projet'!$B$9,Paramètres!$A$1:$I$89,5,0)</f>
        <v>6.7938169154018313</v>
      </c>
      <c r="P14" s="13">
        <f t="shared" si="33"/>
        <v>2.50500070842708</v>
      </c>
      <c r="Q14" s="20">
        <f t="shared" si="2"/>
        <v>16.195440694835355</v>
      </c>
      <c r="R14" s="59">
        <f t="shared" si="0"/>
        <v>286.30655180594647</v>
      </c>
      <c r="S14" s="59">
        <f ca="1">AVERAGE(OFFSET($R$3,0,0,'Données projet'!$E$9+1,1))-AVERAGE(OFFSET($H$3,0,0,'Données projet'!$E$9+1,1))</f>
        <v>346.2919953121168</v>
      </c>
      <c r="T14" s="59">
        <f t="shared" si="34"/>
        <v>255.63939678041237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7.1952941176470588</v>
      </c>
      <c r="AI14" s="13">
        <f>IF('Données projet'!$A$62&gt;35,AI13+AH14-AQ13,IF(A14&lt;'Données projet'!$A$62,$AF$205^A14,IF(A14='Données projet'!$A$62,'Données projet'!$B$62,AI13+AH14-AQ13)))</f>
        <v>22.425062318853254</v>
      </c>
      <c r="AJ14" s="13">
        <f>AI14*VLOOKUP('Données projet'!$B$10,Paramètres!$A$1:$I$89,3,0)*VLOOKUP('Données projet'!$B$10,Paramètres!$A$1:$I$89,5,0)</f>
        <v>13.410187266674248</v>
      </c>
      <c r="AK14" s="13">
        <f t="shared" si="35"/>
        <v>4.5682881717800319</v>
      </c>
      <c r="AL14" s="20">
        <f t="shared" si="4"/>
        <v>31.312511388641202</v>
      </c>
      <c r="AM14" s="59">
        <f t="shared" si="5"/>
        <v>301.42362249975235</v>
      </c>
      <c r="AN14" s="59">
        <f ca="1">AVERAGE(OFFSET($AM$3,0,0,'Données projet'!$E$10+1,1))-AVERAGE(OFFSET($H$3,0,0,'Données projet'!$E$10+1,1))</f>
        <v>298.32148815673816</v>
      </c>
      <c r="AO14" s="59">
        <f t="shared" si="36"/>
        <v>303.51754260758827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5.5190909090909095</v>
      </c>
      <c r="BD14" s="12">
        <f>IF('Données projet'!$A$88&gt;35,BD13+BC14-BL13,IF(A14&lt;'Données projet'!$A$88,$BA$205^A14,IF(A14='Données projet'!$A$88,'Données projet'!$B$88,BD13+BC14-BL13)))</f>
        <v>11.019074371289097</v>
      </c>
      <c r="BE14" s="13">
        <f>BD14*VLOOKUP('Données projet'!$B$11,Paramètres!$A$1:$I$89,3,0)*VLOOKUP('Données projet'!$B$11,Paramètres!$A$1:$I$89,5,0)</f>
        <v>6.302910540377364</v>
      </c>
      <c r="BF14" s="13">
        <f t="shared" si="37"/>
        <v>2.3443725027426736</v>
      </c>
      <c r="BG14" s="20">
        <f t="shared" si="7"/>
        <v>15.060684633434063</v>
      </c>
      <c r="BH14" s="59">
        <f t="shared" si="8"/>
        <v>285.17179574454519</v>
      </c>
      <c r="BI14" s="59">
        <f ca="1">AVERAGE(OFFSET($BH$3,0,0,'Données projet'!$E$11+1,1))-AVERAGE(OFFSET($H$3,0,0,'Données projet'!$E$11+1,1))</f>
        <v>287.9055604128643</v>
      </c>
      <c r="BJ14" s="59">
        <f t="shared" si="38"/>
        <v>197.74605993031139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3.7179487179487181</v>
      </c>
      <c r="BY14" s="12">
        <f>IF('Données projet'!$A$114&gt;35,BY13+BX14-CG13,IF(A14&lt;'Données projet'!$A$114,$BV$205^A14,IF(A14='Données projet'!$A$114,'Données projet'!$B$114,BY13+BX14-CG13)))</f>
        <v>15.256410256410255</v>
      </c>
      <c r="BZ14" s="13">
        <f>BY14*VLOOKUP('Données projet'!$B$12,Paramètres!$A$1:$I$89,3,0)*VLOOKUP('Données projet'!$B$12,Paramètres!$A$1:$I$89,5,0)</f>
        <v>13.327999999999999</v>
      </c>
      <c r="CA14" s="13">
        <f t="shared" si="39"/>
        <v>4.5435405124247303</v>
      </c>
      <c r="CB14" s="20">
        <f t="shared" si="10"/>
        <v>31.12626639247307</v>
      </c>
      <c r="CC14" s="59">
        <f t="shared" si="11"/>
        <v>301.23737750358418</v>
      </c>
      <c r="CD14" s="59">
        <f ca="1">AVERAGE(OFFSET($CC$3,0,0,'Données projet'!$E$12+1,1))-AVERAGE(OFFSET($H$3,0,0,'Données projet'!$E$12+1,1))</f>
        <v>201.78062426023638</v>
      </c>
      <c r="CE14" s="59">
        <f t="shared" si="40"/>
        <v>183.0364139873468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0.39312000000000008</v>
      </c>
      <c r="D15" s="11">
        <f t="shared" si="32"/>
        <v>0.20196423915954623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0.22968163616684248</v>
      </c>
      <c r="H15" s="67">
        <f t="shared" si="1"/>
        <v>257.70310504986958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5.8668181818181813</v>
      </c>
      <c r="N15" s="13">
        <f>IF('Données projet'!$A$36&gt;35,N14+M15-V14,IF(A15&lt;'Données projet'!$A$36,$K$205^A15,IF(A15='Données projet'!$A$36,'Données projet'!$B$36,N14+M15-V14)))</f>
        <v>14.169654470507195</v>
      </c>
      <c r="O15" s="13">
        <f>N15*VLOOKUP('Données projet'!$B$9,Paramètres!$A$1:$I$89,3,0)*VLOOKUP('Données projet'!$B$9,Paramètres!$A$1:$I$89,5,0)</f>
        <v>8.4734533733633022</v>
      </c>
      <c r="P15" s="13">
        <f t="shared" si="33"/>
        <v>3.044992822013763</v>
      </c>
      <c r="Q15" s="20">
        <f t="shared" si="2"/>
        <v>20.06129379028172</v>
      </c>
      <c r="R15" s="59">
        <f t="shared" si="0"/>
        <v>291.39462712361501</v>
      </c>
      <c r="S15" s="59">
        <f ca="1">AVERAGE(OFFSET($R$3,0,0,'Données projet'!$E$9+1,1))-AVERAGE(OFFSET($H$3,0,0,'Données projet'!$E$9+1,1))</f>
        <v>346.2919953121168</v>
      </c>
      <c r="T15" s="59">
        <f t="shared" si="34"/>
        <v>255.63939678041237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7.1952941176470588</v>
      </c>
      <c r="AI15" s="13">
        <f>IF('Données projet'!$A$62&gt;35,AI14+AH15-AQ14,IF(A15&lt;'Données projet'!$A$62,$AF$205^A15,IF(A15='Données projet'!$A$62,'Données projet'!$B$62,AI14+AH15-AQ14)))</f>
        <v>29.752785247657449</v>
      </c>
      <c r="AJ15" s="13">
        <f>AI15*VLOOKUP('Données projet'!$B$10,Paramètres!$A$1:$I$89,3,0)*VLOOKUP('Données projet'!$B$10,Paramètres!$A$1:$I$89,5,0)</f>
        <v>17.792165578099155</v>
      </c>
      <c r="AK15" s="13">
        <f t="shared" si="35"/>
        <v>5.8648139940544119</v>
      </c>
      <c r="AL15" s="20">
        <f t="shared" si="4"/>
        <v>41.202572754834129</v>
      </c>
      <c r="AM15" s="59">
        <f t="shared" si="5"/>
        <v>312.53590608816745</v>
      </c>
      <c r="AN15" s="59">
        <f ca="1">AVERAGE(OFFSET($AM$3,0,0,'Données projet'!$E$10+1,1))-AVERAGE(OFFSET($H$3,0,0,'Données projet'!$E$10+1,1))</f>
        <v>298.32148815673816</v>
      </c>
      <c r="AO15" s="59">
        <f t="shared" si="36"/>
        <v>303.51754260758827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5.5190909090909095</v>
      </c>
      <c r="BD15" s="12">
        <f>IF('Données projet'!$A$88&gt;35,BD14+BC15-BL14,IF(A15&lt;'Données projet'!$A$88,$BA$205^A15,IF(A15='Données projet'!$A$88,'Données projet'!$B$88,BD14+BC15-BL14)))</f>
        <v>13.705206362612003</v>
      </c>
      <c r="BE15" s="13">
        <f>BD15*VLOOKUP('Données projet'!$B$11,Paramètres!$A$1:$I$89,3,0)*VLOOKUP('Données projet'!$B$11,Paramètres!$A$1:$I$89,5,0)</f>
        <v>7.8393780394140666</v>
      </c>
      <c r="BF15" s="13">
        <f t="shared" si="37"/>
        <v>2.842754094252526</v>
      </c>
      <c r="BG15" s="20">
        <f t="shared" si="7"/>
        <v>18.60471346613598</v>
      </c>
      <c r="BH15" s="59">
        <f t="shared" si="8"/>
        <v>289.9380467994693</v>
      </c>
      <c r="BI15" s="59">
        <f ca="1">AVERAGE(OFFSET($BH$3,0,0,'Données projet'!$E$11+1,1))-AVERAGE(OFFSET($H$3,0,0,'Données projet'!$E$11+1,1))</f>
        <v>287.9055604128643</v>
      </c>
      <c r="BJ15" s="59">
        <f t="shared" si="38"/>
        <v>197.74605993031139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3.7179487179487181</v>
      </c>
      <c r="BY15" s="12">
        <f>IF('Données projet'!$A$114&gt;35,BY14+BX15-CG14,IF(A15&lt;'Données projet'!$A$114,$BV$205^A15,IF(A15='Données projet'!$A$114,'Données projet'!$B$114,BY14+BX15-CG14)))</f>
        <v>18.974358974358974</v>
      </c>
      <c r="BZ15" s="13">
        <f>BY15*VLOOKUP('Données projet'!$B$12,Paramètres!$A$1:$I$89,3,0)*VLOOKUP('Données projet'!$B$12,Paramètres!$A$1:$I$89,5,0)</f>
        <v>16.576000000000004</v>
      </c>
      <c r="CA15" s="13">
        <f t="shared" si="39"/>
        <v>5.5091470083875844</v>
      </c>
      <c r="CB15" s="20">
        <f t="shared" si="10"/>
        <v>38.464964372941715</v>
      </c>
      <c r="CC15" s="59">
        <f t="shared" si="11"/>
        <v>309.79829770627504</v>
      </c>
      <c r="CD15" s="59">
        <f ca="1">AVERAGE(OFFSET($CC$3,0,0,'Données projet'!$E$12+1,1))-AVERAGE(OFFSET($H$3,0,0,'Données projet'!$E$12+1,1))</f>
        <v>201.78062426023638</v>
      </c>
      <c r="CE15" s="59">
        <f t="shared" si="40"/>
        <v>183.0364139873468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0.42588000000000009</v>
      </c>
      <c r="D16" s="11">
        <f t="shared" si="32"/>
        <v>0.21676555642501558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0.24803863581316396</v>
      </c>
      <c r="H16" s="67">
        <f t="shared" si="1"/>
        <v>257.78594101077357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5.8668181818181813</v>
      </c>
      <c r="N16" s="13">
        <f>IF('Données projet'!$A$36&gt;35,N15+M16-V15,IF(A16&lt;'Données projet'!$A$36,$K$205^A16,IF(A16='Données projet'!$A$36,'Données projet'!$B$36,N15+M16-V15)))</f>
        <v>17.672820443588613</v>
      </c>
      <c r="O16" s="13">
        <f>N16*VLOOKUP('Données projet'!$B$9,Paramètres!$A$1:$I$89,3,0)*VLOOKUP('Données projet'!$B$9,Paramètres!$A$1:$I$89,5,0)</f>
        <v>10.56834662526599</v>
      </c>
      <c r="P16" s="13">
        <f t="shared" si="33"/>
        <v>3.7013886882041378</v>
      </c>
      <c r="Q16" s="20">
        <f t="shared" si="2"/>
        <v>24.853122337627141</v>
      </c>
      <c r="R16" s="59">
        <f t="shared" si="0"/>
        <v>297.4086778931827</v>
      </c>
      <c r="S16" s="59">
        <f ca="1">AVERAGE(OFFSET($R$3,0,0,'Données projet'!$E$9+1,1))-AVERAGE(OFFSET($H$3,0,0,'Données projet'!$E$9+1,1))</f>
        <v>346.2919953121168</v>
      </c>
      <c r="T16" s="59">
        <f t="shared" si="34"/>
        <v>255.63939678041237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7.1952941176470588</v>
      </c>
      <c r="AI16" s="13">
        <f>IF('Données projet'!$A$62&gt;35,AI15+AH16-AQ15,IF(A16&lt;'Données projet'!$A$62,$AF$205^A16,IF(A16='Données projet'!$A$62,'Données projet'!$B$62,AI15+AH16-AQ15)))</f>
        <v>39.474950722834407</v>
      </c>
      <c r="AJ16" s="13">
        <f>AI16*VLOOKUP('Données projet'!$B$10,Paramètres!$A$1:$I$89,3,0)*VLOOKUP('Données projet'!$B$10,Paramètres!$A$1:$I$89,5,0)</f>
        <v>23.606020532254977</v>
      </c>
      <c r="AK16" s="13">
        <f t="shared" si="35"/>
        <v>7.5293067975293804</v>
      </c>
      <c r="AL16" s="20">
        <f t="shared" si="4"/>
        <v>54.227361766041078</v>
      </c>
      <c r="AM16" s="59">
        <f t="shared" si="5"/>
        <v>326.78291732159664</v>
      </c>
      <c r="AN16" s="59">
        <f ca="1">AVERAGE(OFFSET($AM$3,0,0,'Données projet'!$E$10+1,1))-AVERAGE(OFFSET($H$3,0,0,'Données projet'!$E$10+1,1))</f>
        <v>298.32148815673816</v>
      </c>
      <c r="AO16" s="59">
        <f t="shared" si="36"/>
        <v>303.51754260758827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5.5190909090909095</v>
      </c>
      <c r="BD16" s="12">
        <f>IF('Données projet'!$A$88&gt;35,BD15+BC16-BL15,IF(A16&lt;'Données projet'!$A$88,$BA$205^A16,IF(A16='Données projet'!$A$88,'Données projet'!$B$88,BD15+BC16-BL15)))</f>
        <v>17.046139731227392</v>
      </c>
      <c r="BE16" s="13">
        <f>BD16*VLOOKUP('Données projet'!$B$11,Paramètres!$A$1:$I$89,3,0)*VLOOKUP('Données projet'!$B$11,Paramètres!$A$1:$I$89,5,0)</f>
        <v>9.7503919262620684</v>
      </c>
      <c r="BF16" s="13">
        <f t="shared" si="37"/>
        <v>3.4470848088071655</v>
      </c>
      <c r="BG16" s="20">
        <f t="shared" si="7"/>
        <v>22.985605313578915</v>
      </c>
      <c r="BH16" s="59">
        <f t="shared" si="8"/>
        <v>295.54116086913444</v>
      </c>
      <c r="BI16" s="59">
        <f ca="1">AVERAGE(OFFSET($BH$3,0,0,'Données projet'!$E$11+1,1))-AVERAGE(OFFSET($H$3,0,0,'Données projet'!$E$11+1,1))</f>
        <v>287.9055604128643</v>
      </c>
      <c r="BJ16" s="59">
        <f t="shared" si="38"/>
        <v>197.74605993031139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3.7179487179487181</v>
      </c>
      <c r="BY16" s="12">
        <f>IF('Données projet'!$A$114&gt;35,BY15+BX16-CG15,IF(A16&lt;'Données projet'!$A$114,$BV$205^A16,IF(A16='Données projet'!$A$114,'Données projet'!$B$114,BY15+BX16-CG15)))</f>
        <v>22.692307692307693</v>
      </c>
      <c r="BZ16" s="13">
        <f>BY16*VLOOKUP('Données projet'!$B$12,Paramètres!$A$1:$I$89,3,0)*VLOOKUP('Données projet'!$B$12,Paramètres!$A$1:$I$89,5,0)</f>
        <v>19.824000000000002</v>
      </c>
      <c r="CA16" s="13">
        <f t="shared" si="39"/>
        <v>6.4528309524329259</v>
      </c>
      <c r="CB16" s="20">
        <f t="shared" si="10"/>
        <v>45.765480575487345</v>
      </c>
      <c r="CC16" s="59">
        <f t="shared" si="11"/>
        <v>318.32103613104289</v>
      </c>
      <c r="CD16" s="59">
        <f ca="1">AVERAGE(OFFSET($CC$3,0,0,'Données projet'!$E$12+1,1))-AVERAGE(OFFSET($H$3,0,0,'Données projet'!$E$12+1,1))</f>
        <v>201.78062426023638</v>
      </c>
      <c r="CE16" s="59">
        <f t="shared" si="40"/>
        <v>183.0364139873468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0.4586400000000001</v>
      </c>
      <c r="D17" s="11">
        <f t="shared" si="32"/>
        <v>0.23143479911392734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0.26634465930712992</v>
      </c>
      <c r="H17" s="67">
        <f t="shared" si="1"/>
        <v>257.8685469417901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5.8668181818181813</v>
      </c>
      <c r="N17" s="13">
        <f>IF('Données projet'!$A$36&gt;35,N16+M17-V16,IF(A17&lt;'Données projet'!$A$36,$K$205^A17,IF(A17='Données projet'!$A$36,'Données projet'!$B$36,N16+M17-V16)))</f>
        <v>22.042074708413409</v>
      </c>
      <c r="O17" s="13">
        <f>N17*VLOOKUP('Données projet'!$B$9,Paramètres!$A$1:$I$89,3,0)*VLOOKUP('Données projet'!$B$9,Paramètres!$A$1:$I$89,5,0)</f>
        <v>13.181160675631221</v>
      </c>
      <c r="P17" s="13">
        <f t="shared" si="33"/>
        <v>4.4992809579449391</v>
      </c>
      <c r="Q17" s="20">
        <f t="shared" si="2"/>
        <v>30.793435845145144</v>
      </c>
      <c r="R17" s="59">
        <f t="shared" si="0"/>
        <v>304.57121362292293</v>
      </c>
      <c r="S17" s="59">
        <f ca="1">AVERAGE(OFFSET($R$3,0,0,'Données projet'!$E$9+1,1))-AVERAGE(OFFSET($H$3,0,0,'Données projet'!$E$9+1,1))</f>
        <v>346.2919953121168</v>
      </c>
      <c r="T17" s="59">
        <f t="shared" si="34"/>
        <v>255.63939678041237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7.1952941176470588</v>
      </c>
      <c r="AI17" s="13">
        <f>IF('Données projet'!$A$62&gt;35,AI16+AH17-AQ16,IF(A17&lt;'Données projet'!$A$62,$AF$205^A17,IF(A17='Données projet'!$A$62,'Données projet'!$B$62,AI16+AH17-AQ16)))</f>
        <v>52.373978489724536</v>
      </c>
      <c r="AJ17" s="13">
        <f>AI17*VLOOKUP('Données projet'!$B$10,Paramètres!$A$1:$I$89,3,0)*VLOOKUP('Données projet'!$B$10,Paramètres!$A$1:$I$89,5,0)</f>
        <v>31.319639136855276</v>
      </c>
      <c r="AK17" s="13">
        <f t="shared" si="35"/>
        <v>9.6661992876148126</v>
      </c>
      <c r="AL17" s="20">
        <f t="shared" si="4"/>
        <v>71.383668589285392</v>
      </c>
      <c r="AM17" s="59">
        <f t="shared" si="5"/>
        <v>345.16144636706315</v>
      </c>
      <c r="AN17" s="59">
        <f ca="1">AVERAGE(OFFSET($AM$3,0,0,'Données projet'!$E$10+1,1))-AVERAGE(OFFSET($H$3,0,0,'Données projet'!$E$10+1,1))</f>
        <v>298.32148815673816</v>
      </c>
      <c r="AO17" s="59">
        <f t="shared" si="36"/>
        <v>303.51754260758827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5.5190909090909095</v>
      </c>
      <c r="BD17" s="12">
        <f>IF('Données projet'!$A$88&gt;35,BD16+BC17-BL16,IF(A17&lt;'Données projet'!$A$88,$BA$205^A17,IF(A17='Données projet'!$A$88,'Données projet'!$B$88,BD16+BC17-BL16)))</f>
        <v>21.201496135746666</v>
      </c>
      <c r="BE17" s="13">
        <f>BD17*VLOOKUP('Données projet'!$B$11,Paramètres!$A$1:$I$89,3,0)*VLOOKUP('Données projet'!$B$11,Paramètres!$A$1:$I$89,5,0)</f>
        <v>12.127255789647092</v>
      </c>
      <c r="BF17" s="13">
        <f t="shared" si="37"/>
        <v>4.1798879836750276</v>
      </c>
      <c r="BG17" s="20">
        <f t="shared" si="7"/>
        <v>28.401608738536027</v>
      </c>
      <c r="BH17" s="59">
        <f t="shared" si="8"/>
        <v>302.1793865163138</v>
      </c>
      <c r="BI17" s="59">
        <f ca="1">AVERAGE(OFFSET($BH$3,0,0,'Données projet'!$E$11+1,1))-AVERAGE(OFFSET($H$3,0,0,'Données projet'!$E$11+1,1))</f>
        <v>287.9055604128643</v>
      </c>
      <c r="BJ17" s="59">
        <f t="shared" si="38"/>
        <v>197.74605993031139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3.7179487179487181</v>
      </c>
      <c r="BY17" s="12">
        <f>IF('Données projet'!$A$114&gt;35,BY16+BX17-CG16,IF(A17&lt;'Données projet'!$A$114,$BV$205^A17,IF(A17='Données projet'!$A$114,'Données projet'!$B$114,BY16+BX17-CG16)))</f>
        <v>26.410256410256412</v>
      </c>
      <c r="BZ17" s="13">
        <f>BY17*VLOOKUP('Données projet'!$B$12,Paramètres!$A$1:$I$89,3,0)*VLOOKUP('Données projet'!$B$12,Paramètres!$A$1:$I$89,5,0)</f>
        <v>23.072000000000006</v>
      </c>
      <c r="CA17" s="13">
        <f t="shared" si="39"/>
        <v>7.3786037054639166</v>
      </c>
      <c r="CB17" s="20">
        <f t="shared" si="10"/>
        <v>53.034801453682995</v>
      </c>
      <c r="CC17" s="59">
        <f t="shared" si="11"/>
        <v>326.81257923146075</v>
      </c>
      <c r="CD17" s="59">
        <f ca="1">AVERAGE(OFFSET($CC$3,0,0,'Données projet'!$E$12+1,1))-AVERAGE(OFFSET($H$3,0,0,'Données projet'!$E$12+1,1))</f>
        <v>201.78062426023638</v>
      </c>
      <c r="CE17" s="59">
        <f t="shared" si="40"/>
        <v>183.0364139873468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0.49140000000000011</v>
      </c>
      <c r="D18" s="11">
        <f t="shared" si="32"/>
        <v>0.24598247407736329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0.28460376192459641</v>
      </c>
      <c r="H18" s="67">
        <f t="shared" si="1"/>
        <v>257.95094114235144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5.8668181818181813</v>
      </c>
      <c r="N18" s="13">
        <f>IF('Données projet'!$A$36&gt;35,N17+M18-V17,IF(A18&lt;'Données projet'!$A$36,$K$205^A18,IF(A18='Données projet'!$A$36,'Données projet'!$B$36,N17+M18-V17)))</f>
        <v>27.491540413830034</v>
      </c>
      <c r="O18" s="13">
        <f>N18*VLOOKUP('Données projet'!$B$9,Paramètres!$A$1:$I$89,3,0)*VLOOKUP('Données projet'!$B$9,Paramètres!$A$1:$I$89,5,0)</f>
        <v>16.439941167470362</v>
      </c>
      <c r="P18" s="13">
        <f t="shared" si="33"/>
        <v>5.4691713958708279</v>
      </c>
      <c r="Q18" s="20">
        <f t="shared" si="2"/>
        <v>38.158371047819237</v>
      </c>
      <c r="R18" s="59">
        <f t="shared" si="0"/>
        <v>313.15837104781923</v>
      </c>
      <c r="S18" s="59">
        <f ca="1">AVERAGE(OFFSET($R$3,0,0,'Données projet'!$E$9+1,1))-AVERAGE(OFFSET($H$3,0,0,'Données projet'!$E$9+1,1))</f>
        <v>346.2919953121168</v>
      </c>
      <c r="T18" s="59">
        <f t="shared" si="34"/>
        <v>255.63939678041237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7.1952941176470588</v>
      </c>
      <c r="AI18" s="13">
        <f>IF('Données projet'!$A$62&gt;35,AI17+AH18-AQ17,IF(A18&lt;'Données projet'!$A$62,$AF$205^A18,IF(A18='Données projet'!$A$62,'Données projet'!$B$62,AI17+AH18-AQ17)))</f>
        <v>69.487955592441367</v>
      </c>
      <c r="AJ18" s="13">
        <f>AI18*VLOOKUP('Données projet'!$B$10,Paramètres!$A$1:$I$89,3,0)*VLOOKUP('Données projet'!$B$10,Paramètres!$A$1:$I$89,5,0)</f>
        <v>41.553797444279937</v>
      </c>
      <c r="AK18" s="13">
        <f t="shared" si="35"/>
        <v>12.409563214842624</v>
      </c>
      <c r="AL18" s="20">
        <f t="shared" si="4"/>
        <v>93.986186481305097</v>
      </c>
      <c r="AM18" s="59">
        <f t="shared" si="5"/>
        <v>368.98618648130508</v>
      </c>
      <c r="AN18" s="59">
        <f ca="1">AVERAGE(OFFSET($AM$3,0,0,'Données projet'!$E$10+1,1))-AVERAGE(OFFSET($H$3,0,0,'Données projet'!$E$10+1,1))</f>
        <v>298.32148815673816</v>
      </c>
      <c r="AO18" s="59">
        <f t="shared" si="36"/>
        <v>303.51754260758827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5.5190909090909095</v>
      </c>
      <c r="BD18" s="12">
        <f>IF('Données projet'!$A$88&gt;35,BD17+BC18-BL17,IF(A18&lt;'Données projet'!$A$88,$BA$205^A18,IF(A18='Données projet'!$A$88,'Données projet'!$B$88,BD17+BC18-BL17)))</f>
        <v>26.369808383690565</v>
      </c>
      <c r="BE18" s="13">
        <f>BD18*VLOOKUP('Données projet'!$B$11,Paramètres!$A$1:$I$89,3,0)*VLOOKUP('Données projet'!$B$11,Paramètres!$A$1:$I$89,5,0)</f>
        <v>15.083530395471003</v>
      </c>
      <c r="BF18" s="13">
        <f t="shared" si="37"/>
        <v>5.0684751101661325</v>
      </c>
      <c r="BG18" s="20">
        <f t="shared" si="7"/>
        <v>35.098076255651343</v>
      </c>
      <c r="BH18" s="59">
        <f t="shared" si="8"/>
        <v>310.09807625565134</v>
      </c>
      <c r="BI18" s="59">
        <f ca="1">AVERAGE(OFFSET($BH$3,0,0,'Données projet'!$E$11+1,1))-AVERAGE(OFFSET($H$3,0,0,'Données projet'!$E$11+1,1))</f>
        <v>287.9055604128643</v>
      </c>
      <c r="BJ18" s="59">
        <f t="shared" si="38"/>
        <v>197.74605993031139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30.128205128205128</v>
      </c>
      <c r="BW18" s="12">
        <f>VLOOKUP(A18,'Données projet'!$A$113:$I$133,9,0)</f>
        <v>3.7179487179487181</v>
      </c>
      <c r="BX18" s="12">
        <f t="array" ref="BX18">INDEX(BW:BW,MIN(IF(ISNUMBER(BW18:BW214),ROW(BW18:BW214),"")))</f>
        <v>3.7179487179487181</v>
      </c>
      <c r="BY18" s="12">
        <f>IF('Données projet'!$A$114&gt;35,BY17+BX18-CG17,IF(A18&lt;'Données projet'!$A$114,$BV$205^A18,IF(A18='Données projet'!$A$114,'Données projet'!$B$114,BY17+BX18-CG17)))</f>
        <v>30.128205128205131</v>
      </c>
      <c r="BZ18" s="13">
        <f>BY18*VLOOKUP('Données projet'!$B$12,Paramètres!$A$1:$I$89,3,0)*VLOOKUP('Données projet'!$B$12,Paramètres!$A$1:$I$89,5,0)</f>
        <v>26.320000000000007</v>
      </c>
      <c r="CA18" s="13">
        <f t="shared" si="39"/>
        <v>8.2892773865445566</v>
      </c>
      <c r="CB18" s="20">
        <f t="shared" si="10"/>
        <v>60.277824781565108</v>
      </c>
      <c r="CC18" s="59">
        <f t="shared" si="11"/>
        <v>335.27782478156513</v>
      </c>
      <c r="CD18" s="59">
        <f ca="1">AVERAGE(OFFSET($CC$3,0,0,'Données projet'!$E$12+1,1))-AVERAGE(OFFSET($H$3,0,0,'Données projet'!$E$12+1,1))</f>
        <v>201.78062426023638</v>
      </c>
      <c r="CE18" s="59">
        <f t="shared" si="40"/>
        <v>183.0364139873468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0.215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0.52416000000000007</v>
      </c>
      <c r="D19" s="11">
        <f t="shared" si="32"/>
        <v>0.26041760799678465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0.30281942764788189</v>
      </c>
      <c r="H19" s="67">
        <f t="shared" si="1"/>
        <v>258.03313933392775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5.8668181818181813</v>
      </c>
      <c r="N19" s="13">
        <f>IF('Données projet'!$A$36&gt;35,N18+M19-V18,IF(A19&lt;'Données projet'!$A$36,$K$205^A19,IF(A19='Données projet'!$A$36,'Données projet'!$B$36,N18+M19-V18)))</f>
        <v>34.288278409507839</v>
      </c>
      <c r="O19" s="13">
        <f>N19*VLOOKUP('Données projet'!$B$9,Paramètres!$A$1:$I$89,3,0)*VLOOKUP('Données projet'!$B$9,Paramètres!$A$1:$I$89,5,0)</f>
        <v>20.50439048888569</v>
      </c>
      <c r="P19" s="13">
        <f t="shared" si="33"/>
        <v>6.6481368994289252</v>
      </c>
      <c r="Q19" s="20">
        <f t="shared" si="2"/>
        <v>47.290651867981289</v>
      </c>
      <c r="R19" s="59">
        <f t="shared" si="0"/>
        <v>323.51287409020352</v>
      </c>
      <c r="S19" s="59">
        <f ca="1">AVERAGE(OFFSET($R$3,0,0,'Données projet'!$E$9+1,1))-AVERAGE(OFFSET($H$3,0,0,'Données projet'!$E$9+1,1))</f>
        <v>346.2919953121168</v>
      </c>
      <c r="T19" s="59">
        <f t="shared" si="34"/>
        <v>255.63939678041237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7.1952941176470588</v>
      </c>
      <c r="AI19" s="13">
        <f>IF('Données projet'!$A$62&gt;35,AI18+AH19-AQ18,IF(A19&lt;'Données projet'!$A$62,$AF$205^A19,IF(A19='Données projet'!$A$62,'Données projet'!$B$62,AI18+AH19-AQ18)))</f>
        <v>92.194179469570756</v>
      </c>
      <c r="AJ19" s="13">
        <f>AI19*VLOOKUP('Données projet'!$B$10,Paramètres!$A$1:$I$89,3,0)*VLOOKUP('Données projet'!$B$10,Paramètres!$A$1:$I$89,5,0)</f>
        <v>55.13211932280332</v>
      </c>
      <c r="AK19" s="13">
        <f t="shared" si="35"/>
        <v>15.931521231978957</v>
      </c>
      <c r="AL19" s="20">
        <f t="shared" si="4"/>
        <v>123.76917396624582</v>
      </c>
      <c r="AM19" s="59">
        <f t="shared" si="5"/>
        <v>399.99139618846806</v>
      </c>
      <c r="AN19" s="59">
        <f ca="1">AVERAGE(OFFSET($AM$3,0,0,'Données projet'!$E$10+1,1))-AVERAGE(OFFSET($H$3,0,0,'Données projet'!$E$10+1,1))</f>
        <v>298.32148815673816</v>
      </c>
      <c r="AO19" s="59">
        <f t="shared" si="36"/>
        <v>303.51754260758827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5.5190909090909095</v>
      </c>
      <c r="BD19" s="12">
        <f>IF('Données projet'!$A$88&gt;35,BD18+BC19-BL18,IF(A19&lt;'Données projet'!$A$88,$BA$205^A19,IF(A19='Données projet'!$A$88,'Données projet'!$B$88,BD18+BC19-BL18)))</f>
        <v>32.798005845452465</v>
      </c>
      <c r="BE19" s="13">
        <f>BD19*VLOOKUP('Données projet'!$B$11,Paramètres!$A$1:$I$89,3,0)*VLOOKUP('Données projet'!$B$11,Paramètres!$A$1:$I$89,5,0)</f>
        <v>18.760459343598811</v>
      </c>
      <c r="BF19" s="13">
        <f t="shared" si="37"/>
        <v>6.1459637298191412</v>
      </c>
      <c r="BG19" s="20">
        <f t="shared" si="7"/>
        <v>43.378686852869599</v>
      </c>
      <c r="BH19" s="59">
        <f t="shared" si="8"/>
        <v>319.60090907509181</v>
      </c>
      <c r="BI19" s="59">
        <f ca="1">AVERAGE(OFFSET($BH$3,0,0,'Données projet'!$E$11+1,1))-AVERAGE(OFFSET($H$3,0,0,'Données projet'!$E$11+1,1))</f>
        <v>287.9055604128643</v>
      </c>
      <c r="BJ19" s="59">
        <f t="shared" si="38"/>
        <v>197.74605993031139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5.128205128205126</v>
      </c>
      <c r="BY19" s="12">
        <f>IF('Données projet'!$A$114&gt;35,BY18+BX19-CG18,IF(A19&lt;'Données projet'!$A$114,$BV$205^A19,IF(A19='Données projet'!$A$114,'Données projet'!$B$114,BY18+BX19-CG18)))</f>
        <v>35.256410256410255</v>
      </c>
      <c r="BZ19" s="13">
        <f>BY19*VLOOKUP('Données projet'!$B$12,Paramètres!$A$1:$I$89,3,0)*VLOOKUP('Données projet'!$B$12,Paramètres!$A$1:$I$89,5,0)</f>
        <v>30.8</v>
      </c>
      <c r="CA19" s="13">
        <f t="shared" si="39"/>
        <v>9.5243528844642995</v>
      </c>
      <c r="CB19" s="20">
        <f t="shared" si="10"/>
        <v>70.231581273775319</v>
      </c>
      <c r="CC19" s="59">
        <f t="shared" si="11"/>
        <v>346.45380349599753</v>
      </c>
      <c r="CD19" s="59">
        <f ca="1">AVERAGE(OFFSET($CC$3,0,0,'Données projet'!$E$12+1,1))-AVERAGE(OFFSET($H$3,0,0,'Données projet'!$E$12+1,1))</f>
        <v>201.78062426023638</v>
      </c>
      <c r="CE19" s="59">
        <f t="shared" si="40"/>
        <v>183.0364139873468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0.55692000000000008</v>
      </c>
      <c r="D20" s="11">
        <f t="shared" si="32"/>
        <v>0.2747480354447599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0.32099468034710038</v>
      </c>
      <c r="H20" s="67">
        <f t="shared" si="1"/>
        <v>258.11515516173296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5.8668181818181813</v>
      </c>
      <c r="N20" s="13">
        <f>IF('Données projet'!$A$36&gt;35,N19+M20-V19,IF(A20&lt;'Données projet'!$A$36,$K$205^A20,IF(A20='Données projet'!$A$36,'Données projet'!$B$36,N19+M20-V19)))</f>
        <v>42.765375042297542</v>
      </c>
      <c r="O20" s="13">
        <f>N20*VLOOKUP('Données projet'!$B$9,Paramètres!$A$1:$I$89,3,0)*VLOOKUP('Données projet'!$B$9,Paramètres!$A$1:$I$89,5,0)</f>
        <v>25.573694275293931</v>
      </c>
      <c r="P20" s="13">
        <f t="shared" si="33"/>
        <v>8.0812468716773616</v>
      </c>
      <c r="Q20" s="20">
        <f t="shared" si="2"/>
        <v>58.615689164308343</v>
      </c>
      <c r="R20" s="59">
        <f t="shared" si="0"/>
        <v>336.06013360875278</v>
      </c>
      <c r="S20" s="59">
        <f ca="1">AVERAGE(OFFSET($R$3,0,0,'Données projet'!$E$9+1,1))-AVERAGE(OFFSET($H$3,0,0,'Données projet'!$E$9+1,1))</f>
        <v>346.2919953121168</v>
      </c>
      <c r="T20" s="59">
        <f t="shared" si="34"/>
        <v>255.63939678041237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122.32</v>
      </c>
      <c r="AG20" s="12">
        <f>VLOOKUP(A20,'Données projet'!$A$61:$I$81,9,0)</f>
        <v>7.1952941176470588</v>
      </c>
      <c r="AH20" s="12">
        <f t="array" ref="AH20">INDEX(AG:AG,MIN(IF(ISNUMBER(AG20:AG216),ROW(AG20:AG216),"")))</f>
        <v>7.1952941176470588</v>
      </c>
      <c r="AI20" s="13">
        <f>IF('Données projet'!$A$62&gt;35,AI19+AH20-AQ19,IF(A20&lt;'Données projet'!$A$62,$AF$205^A20,IF(A20='Données projet'!$A$62,'Données projet'!$B$62,AI19+AH20-AQ19)))</f>
        <v>122.32</v>
      </c>
      <c r="AJ20" s="13">
        <f>AI20*VLOOKUP('Données projet'!$B$10,Paramètres!$A$1:$I$89,3,0)*VLOOKUP('Données projet'!$B$10,Paramètres!$A$1:$I$89,5,0)</f>
        <v>73.147360000000006</v>
      </c>
      <c r="AK20" s="13">
        <f t="shared" si="35"/>
        <v>20.453046120222783</v>
      </c>
      <c r="AL20" s="20">
        <f t="shared" si="4"/>
        <v>163.02070732605469</v>
      </c>
      <c r="AM20" s="59">
        <f t="shared" si="5"/>
        <v>440.46515177049912</v>
      </c>
      <c r="AN20" s="59">
        <f ca="1">AVERAGE(OFFSET($AM$3,0,0,'Données projet'!$E$10+1,1))-AVERAGE(OFFSET($H$3,0,0,'Données projet'!$E$10+1,1))</f>
        <v>298.32148815673816</v>
      </c>
      <c r="AO20" s="59">
        <f t="shared" si="36"/>
        <v>303.51754260758827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40.76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9.0000000000000011E-2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2.898630562897166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2.898630562897166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5.5190909090909095</v>
      </c>
      <c r="BD20" s="12">
        <f>IF('Données projet'!$A$88&gt;35,BD19+BC20-BL19,IF(A20&lt;'Données projet'!$A$88,$BA$205^A20,IF(A20='Données projet'!$A$88,'Données projet'!$B$88,BD19+BC20-BL19)))</f>
        <v>40.793212138152981</v>
      </c>
      <c r="BE20" s="13">
        <f>BD20*VLOOKUP('Données projet'!$B$11,Paramètres!$A$1:$I$89,3,0)*VLOOKUP('Données projet'!$B$11,Paramètres!$A$1:$I$89,5,0)</f>
        <v>23.333717343023505</v>
      </c>
      <c r="BF20" s="13">
        <f t="shared" si="37"/>
        <v>7.4525117214227166</v>
      </c>
      <c r="BG20" s="20">
        <f t="shared" si="7"/>
        <v>53.619348953910503</v>
      </c>
      <c r="BH20" s="59">
        <f t="shared" si="8"/>
        <v>331.06379339835496</v>
      </c>
      <c r="BI20" s="59">
        <f ca="1">AVERAGE(OFFSET($BH$3,0,0,'Données projet'!$E$11+1,1))-AVERAGE(OFFSET($H$3,0,0,'Données projet'!$E$11+1,1))</f>
        <v>287.9055604128643</v>
      </c>
      <c r="BJ20" s="59">
        <f t="shared" si="38"/>
        <v>197.74605993031139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5.128205128205126</v>
      </c>
      <c r="BY20" s="12">
        <f>IF('Données projet'!$A$114&gt;35,BY19+BX20-CG19,IF(A20&lt;'Données projet'!$A$114,$BV$205^A20,IF(A20='Données projet'!$A$114,'Données projet'!$B$114,BY19+BX20-CG19)))</f>
        <v>40.38461538461538</v>
      </c>
      <c r="BZ20" s="13">
        <f>BY20*VLOOKUP('Données projet'!$B$12,Paramètres!$A$1:$I$89,3,0)*VLOOKUP('Données projet'!$B$12,Paramètres!$A$1:$I$89,5,0)</f>
        <v>35.28</v>
      </c>
      <c r="CA20" s="13">
        <f t="shared" si="39"/>
        <v>10.73861605494538</v>
      </c>
      <c r="CB20" s="20">
        <f t="shared" si="10"/>
        <v>80.149089629029859</v>
      </c>
      <c r="CC20" s="59">
        <f t="shared" si="11"/>
        <v>357.5935340734743</v>
      </c>
      <c r="CD20" s="59">
        <f ca="1">AVERAGE(OFFSET($CC$3,0,0,'Données projet'!$E$12+1,1))-AVERAGE(OFFSET($H$3,0,0,'Données projet'!$E$12+1,1))</f>
        <v>201.78062426023638</v>
      </c>
      <c r="CE20" s="59">
        <f t="shared" si="40"/>
        <v>183.0364139873468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0.58968000000000009</v>
      </c>
      <c r="D21" s="11">
        <f t="shared" si="32"/>
        <v>0.28898061721111817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0.33913216804639656</v>
      </c>
      <c r="H21" s="67">
        <f t="shared" si="1"/>
        <v>258.19700057497607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5.8668181818181813</v>
      </c>
      <c r="N21" s="13">
        <f>IF('Données projet'!$A$36&gt;35,N20+M21-V20,IF(A21&lt;'Données projet'!$A$36,$K$205^A21,IF(A21='Données projet'!$A$36,'Données projet'!$B$36,N20+M21-V20)))</f>
        <v>53.338265650608868</v>
      </c>
      <c r="O21" s="13">
        <f>N21*VLOOKUP('Données projet'!$B$9,Paramètres!$A$1:$I$89,3,0)*VLOOKUP('Données projet'!$B$9,Paramètres!$A$1:$I$89,5,0)</f>
        <v>31.896282859064108</v>
      </c>
      <c r="P21" s="13">
        <f t="shared" si="33"/>
        <v>9.8232861309767845</v>
      </c>
      <c r="Q21" s="20">
        <f t="shared" si="2"/>
        <v>72.661582657654549</v>
      </c>
      <c r="R21" s="59">
        <f t="shared" si="0"/>
        <v>351.32824932432123</v>
      </c>
      <c r="S21" s="59">
        <f ca="1">AVERAGE(OFFSET($R$3,0,0,'Données projet'!$E$9+1,1))-AVERAGE(OFFSET($H$3,0,0,'Données projet'!$E$9+1,1))</f>
        <v>346.2919953121168</v>
      </c>
      <c r="T21" s="59">
        <f t="shared" si="34"/>
        <v>255.63939678041237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17.686666666666667</v>
      </c>
      <c r="AI21" s="13">
        <f>IF('Données projet'!$A$62&gt;35,AI20+AH21-AQ20,IF(A21&lt;'Données projet'!$A$62,$AF$205^A21,IF(A21='Données projet'!$A$62,'Données projet'!$B$62,AI20+AH21-AQ20)))</f>
        <v>99.24666666666667</v>
      </c>
      <c r="AJ21" s="13">
        <f>AI21*VLOOKUP('Données projet'!$B$10,Paramètres!$A$1:$I$89,3,0)*VLOOKUP('Données projet'!$B$10,Paramètres!$A$1:$I$89,5,0)</f>
        <v>59.34950666666667</v>
      </c>
      <c r="AK21" s="13">
        <f t="shared" si="35"/>
        <v>17.003699693551216</v>
      </c>
      <c r="AL21" s="20">
        <f t="shared" si="4"/>
        <v>132.98183441071282</v>
      </c>
      <c r="AM21" s="59">
        <f t="shared" si="5"/>
        <v>411.64850107737948</v>
      </c>
      <c r="AN21" s="59">
        <f ca="1">AVERAGE(OFFSET($AM$3,0,0,'Données projet'!$E$10+1,1))-AVERAGE(OFFSET($H$3,0,0,'Données projet'!$E$10+1,1))</f>
        <v>298.32148815673816</v>
      </c>
      <c r="AO21" s="59">
        <f t="shared" si="36"/>
        <v>303.51754260758827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2.8193673577223866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2.8193673577223866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5.5190909090909095</v>
      </c>
      <c r="BD21" s="12">
        <f>IF('Données projet'!$A$88&gt;35,BD20+BC21-BL20,IF(A21&lt;'Données projet'!$A$88,$BA$205^A21,IF(A21='Données projet'!$A$88,'Données projet'!$B$88,BD20+BC21-BL20)))</f>
        <v>50.737418743983852</v>
      </c>
      <c r="BE21" s="13">
        <f>BD21*VLOOKUP('Données projet'!$B$11,Paramètres!$A$1:$I$89,3,0)*VLOOKUP('Données projet'!$B$11,Paramètres!$A$1:$I$89,5,0)</f>
        <v>29.021803521558766</v>
      </c>
      <c r="BF21" s="13">
        <f t="shared" si="37"/>
        <v>9.0368139806086045</v>
      </c>
      <c r="BG21" s="20">
        <f t="shared" si="7"/>
        <v>66.285425482941505</v>
      </c>
      <c r="BH21" s="59">
        <f t="shared" si="8"/>
        <v>344.95209214960818</v>
      </c>
      <c r="BI21" s="59">
        <f ca="1">AVERAGE(OFFSET($BH$3,0,0,'Données projet'!$E$11+1,1))-AVERAGE(OFFSET($H$3,0,0,'Données projet'!$E$11+1,1))</f>
        <v>287.9055604128643</v>
      </c>
      <c r="BJ21" s="59">
        <f t="shared" si="38"/>
        <v>197.74605993031139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5.128205128205126</v>
      </c>
      <c r="BY21" s="12">
        <f>IF('Données projet'!$A$114&gt;35,BY20+BX21-CG20,IF(A21&lt;'Données projet'!$A$114,$BV$205^A21,IF(A21='Données projet'!$A$114,'Données projet'!$B$114,BY20+BX21-CG20)))</f>
        <v>45.512820512820504</v>
      </c>
      <c r="BZ21" s="13">
        <f>BY21*VLOOKUP('Données projet'!$B$12,Paramètres!$A$1:$I$89,3,0)*VLOOKUP('Données projet'!$B$12,Paramètres!$A$1:$I$89,5,0)</f>
        <v>39.76</v>
      </c>
      <c r="CA21" s="13">
        <f t="shared" si="39"/>
        <v>11.935012617180398</v>
      </c>
      <c r="CB21" s="20">
        <f t="shared" si="10"/>
        <v>90.035480308255856</v>
      </c>
      <c r="CC21" s="59">
        <f t="shared" si="11"/>
        <v>368.70214697492253</v>
      </c>
      <c r="CD21" s="59">
        <f ca="1">AVERAGE(OFFSET($CC$3,0,0,'Données projet'!$E$12+1,1))-AVERAGE(OFFSET($H$3,0,0,'Données projet'!$E$12+1,1))</f>
        <v>201.78062426023638</v>
      </c>
      <c r="CE21" s="59">
        <f t="shared" si="40"/>
        <v>183.0364139873468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0.6224400000000001</v>
      </c>
      <c r="D22" s="11">
        <f t="shared" si="32"/>
        <v>0.30312140872124338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0.35723422792749754</v>
      </c>
      <c r="H22" s="67">
        <f t="shared" si="1"/>
        <v>258.27868612018949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5.8668181818181813</v>
      </c>
      <c r="N22" s="13">
        <f>IF('Données projet'!$A$36&gt;35,N21+M22-V21,IF(A22&lt;'Données projet'!$A$36,$K$205^A22,IF(A22='Données projet'!$A$36,'Données projet'!$B$36,N21+M22-V21)))</f>
        <v>66.525093718950743</v>
      </c>
      <c r="O22" s="13">
        <f>N22*VLOOKUP('Données projet'!$B$9,Paramètres!$A$1:$I$89,3,0)*VLOOKUP('Données projet'!$B$9,Paramètres!$A$1:$I$89,5,0)</f>
        <v>39.782006043932547</v>
      </c>
      <c r="P22" s="13">
        <f t="shared" si="33"/>
        <v>11.940849220834615</v>
      </c>
      <c r="Q22" s="20">
        <f t="shared" si="2"/>
        <v>90.083972919469474</v>
      </c>
      <c r="R22" s="59">
        <f t="shared" si="0"/>
        <v>369.97286180835835</v>
      </c>
      <c r="S22" s="59">
        <f ca="1">AVERAGE(OFFSET($R$3,0,0,'Données projet'!$E$9+1,1))-AVERAGE(OFFSET($H$3,0,0,'Données projet'!$E$9+1,1))</f>
        <v>346.2919953121168</v>
      </c>
      <c r="T22" s="59">
        <f t="shared" si="34"/>
        <v>255.63939678041237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17.686666666666667</v>
      </c>
      <c r="AI22" s="13">
        <f>IF('Données projet'!$A$62&gt;35,AI21+AH22-AQ21,IF(A22&lt;'Données projet'!$A$62,$AF$205^A22,IF(A22='Données projet'!$A$62,'Données projet'!$B$62,AI21+AH22-AQ21)))</f>
        <v>116.93333333333334</v>
      </c>
      <c r="AJ22" s="13">
        <f>AI22*VLOOKUP('Données projet'!$B$10,Paramètres!$A$1:$I$89,3,0)*VLOOKUP('Données projet'!$B$10,Paramètres!$A$1:$I$89,5,0)</f>
        <v>69.92613333333334</v>
      </c>
      <c r="AK22" s="13">
        <f t="shared" si="35"/>
        <v>19.655112747639016</v>
      </c>
      <c r="AL22" s="20">
        <f t="shared" si="4"/>
        <v>156.02067025769352</v>
      </c>
      <c r="AM22" s="59">
        <f t="shared" si="5"/>
        <v>435.90955914658241</v>
      </c>
      <c r="AN22" s="59">
        <f ca="1">AVERAGE(OFFSET($AM$3,0,0,'Données projet'!$E$10+1,1))-AVERAGE(OFFSET($H$3,0,0,'Données projet'!$E$10+1,1))</f>
        <v>298.32148815673816</v>
      </c>
      <c r="AO22" s="59">
        <f t="shared" si="36"/>
        <v>303.51754260758827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2.7422716090613823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2.7422716090613823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5.5190909090909095</v>
      </c>
      <c r="BD22" s="12">
        <f>IF('Données projet'!$A$88&gt;35,BD21+BC22-BL21,IF(A22&lt;'Données projet'!$A$88,$BA$205^A22,IF(A22='Données projet'!$A$88,'Données projet'!$B$88,BD21+BC22-BL21)))</f>
        <v>63.10573563278416</v>
      </c>
      <c r="BE22" s="13">
        <f>BD22*VLOOKUP('Données projet'!$B$11,Paramètres!$A$1:$I$89,3,0)*VLOOKUP('Données projet'!$B$11,Paramètres!$A$1:$I$89,5,0)</f>
        <v>36.096480781952543</v>
      </c>
      <c r="BF22" s="13">
        <f t="shared" si="37"/>
        <v>10.957917273095294</v>
      </c>
      <c r="BG22" s="20">
        <f t="shared" si="7"/>
        <v>81.953076612541665</v>
      </c>
      <c r="BH22" s="59">
        <f t="shared" si="8"/>
        <v>361.84196550143054</v>
      </c>
      <c r="BI22" s="59">
        <f ca="1">AVERAGE(OFFSET($BH$3,0,0,'Données projet'!$E$11+1,1))-AVERAGE(OFFSET($H$3,0,0,'Données projet'!$E$11+1,1))</f>
        <v>287.9055604128643</v>
      </c>
      <c r="BJ22" s="59">
        <f t="shared" si="38"/>
        <v>197.74605993031139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5.128205128205126</v>
      </c>
      <c r="BY22" s="12">
        <f>IF('Données projet'!$A$114&gt;35,BY21+BX22-CG21,IF(A22&lt;'Données projet'!$A$114,$BV$205^A22,IF(A22='Données projet'!$A$114,'Données projet'!$B$114,BY21+BX22-CG21)))</f>
        <v>50.641025641025628</v>
      </c>
      <c r="BZ22" s="13">
        <f>BY22*VLOOKUP('Données projet'!$B$12,Paramètres!$A$1:$I$89,3,0)*VLOOKUP('Données projet'!$B$12,Paramètres!$A$1:$I$89,5,0)</f>
        <v>44.239999999999995</v>
      </c>
      <c r="CA22" s="13">
        <f t="shared" si="39"/>
        <v>13.1157854377925</v>
      </c>
      <c r="CB22" s="20">
        <f t="shared" si="10"/>
        <v>99.894659637488587</v>
      </c>
      <c r="CC22" s="59">
        <f t="shared" si="11"/>
        <v>379.78354852637744</v>
      </c>
      <c r="CD22" s="59">
        <f ca="1">AVERAGE(OFFSET($CC$3,0,0,'Données projet'!$E$12+1,1))-AVERAGE(OFFSET($H$3,0,0,'Données projet'!$E$12+1,1))</f>
        <v>201.78062426023638</v>
      </c>
      <c r="CE22" s="59">
        <f t="shared" si="40"/>
        <v>183.0364139873468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0.65520000000000012</v>
      </c>
      <c r="D23" s="11">
        <f t="shared" si="32"/>
        <v>0.3171757919863914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0.37530293725790553</v>
      </c>
      <c r="H23" s="67">
        <f t="shared" si="1"/>
        <v>258.36022117104301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5.8668181818181813</v>
      </c>
      <c r="N23" s="13">
        <f>IF('Données projet'!$A$36&gt;35,N22+M23-V22,IF(A23&lt;'Données projet'!$A$36,$K$205^A23,IF(A23='Données projet'!$A$36,'Données projet'!$B$36,N22+M23-V22)))</f>
        <v>82.972103429550899</v>
      </c>
      <c r="O23" s="13">
        <f>N23*VLOOKUP('Données projet'!$B$9,Paramètres!$A$1:$I$89,3,0)*VLOOKUP('Données projet'!$B$9,Paramètres!$A$1:$I$89,5,0)</f>
        <v>49.617317850871444</v>
      </c>
      <c r="P23" s="13">
        <f t="shared" si="33"/>
        <v>14.514886181018609</v>
      </c>
      <c r="Q23" s="20">
        <f t="shared" si="2"/>
        <v>111.69692202220851</v>
      </c>
      <c r="R23" s="59">
        <f t="shared" si="0"/>
        <v>392.80803313331967</v>
      </c>
      <c r="S23" s="59">
        <f ca="1">AVERAGE(OFFSET($R$3,0,0,'Données projet'!$E$9+1,1))-AVERAGE(OFFSET($H$3,0,0,'Données projet'!$E$9+1,1))</f>
        <v>346.2919953121168</v>
      </c>
      <c r="T23" s="59">
        <f t="shared" si="34"/>
        <v>255.63939678041237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17.686666666666667</v>
      </c>
      <c r="AI23" s="13">
        <f>IF('Données projet'!$A$62&gt;35,AI22+AH23-AQ22,IF(A23&lt;'Données projet'!$A$62,$AF$205^A23,IF(A23='Données projet'!$A$62,'Données projet'!$B$62,AI22+AH23-AQ22)))</f>
        <v>134.62</v>
      </c>
      <c r="AJ23" s="13">
        <f>AI23*VLOOKUP('Données projet'!$B$10,Paramètres!$A$1:$I$89,3,0)*VLOOKUP('Données projet'!$B$10,Paramètres!$A$1:$I$89,5,0)</f>
        <v>80.502760000000009</v>
      </c>
      <c r="AK23" s="13">
        <f t="shared" si="35"/>
        <v>22.260066705482632</v>
      </c>
      <c r="AL23" s="20">
        <f t="shared" si="4"/>
        <v>178.97858984538223</v>
      </c>
      <c r="AM23" s="59">
        <f t="shared" si="5"/>
        <v>460.0897009564934</v>
      </c>
      <c r="AN23" s="59">
        <f ca="1">AVERAGE(OFFSET($AM$3,0,0,'Données projet'!$E$10+1,1))-AVERAGE(OFFSET($H$3,0,0,'Données projet'!$E$10+1,1))</f>
        <v>298.32148815673816</v>
      </c>
      <c r="AO23" s="59">
        <f t="shared" si="36"/>
        <v>303.51754260758827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2.6672840477018025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2.6672840477018025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5.5190909090909095</v>
      </c>
      <c r="BD23" s="12">
        <f>IF('Données projet'!$A$88&gt;35,BD22+BC23-BL22,IF(A23&lt;'Données projet'!$A$88,$BA$205^A23,IF(A23='Données projet'!$A$88,'Données projet'!$B$88,BD22+BC23-BL22)))</f>
        <v>78.489090859141243</v>
      </c>
      <c r="BE23" s="13">
        <f>BD23*VLOOKUP('Données projet'!$B$11,Paramètres!$A$1:$I$89,3,0)*VLOOKUP('Données projet'!$B$11,Paramètres!$A$1:$I$89,5,0)</f>
        <v>44.895759971428795</v>
      </c>
      <c r="BF23" s="13">
        <f t="shared" si="37"/>
        <v>13.287420900957107</v>
      </c>
      <c r="BG23" s="20">
        <f t="shared" si="7"/>
        <v>101.33570668607211</v>
      </c>
      <c r="BH23" s="59">
        <f t="shared" si="8"/>
        <v>382.44681779718326</v>
      </c>
      <c r="BI23" s="59">
        <f ca="1">AVERAGE(OFFSET($BH$3,0,0,'Données projet'!$E$11+1,1))-AVERAGE(OFFSET($H$3,0,0,'Données projet'!$E$11+1,1))</f>
        <v>287.9055604128643</v>
      </c>
      <c r="BJ23" s="59">
        <f t="shared" si="38"/>
        <v>197.74605993031139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55.769230769230759</v>
      </c>
      <c r="BW23" s="12">
        <f>VLOOKUP(A23,'Données projet'!$A$113:$I$133,9,0)</f>
        <v>5.128205128205126</v>
      </c>
      <c r="BX23" s="12">
        <f t="array" ref="BX23">INDEX(BW:BW,MIN(IF(ISNUMBER(BW23:BW219),ROW(BW23:BW219),"")))</f>
        <v>5.128205128205126</v>
      </c>
      <c r="BY23" s="12">
        <f>IF('Données projet'!$A$114&gt;35,BY22+BX23-CG22,IF(A23&lt;'Données projet'!$A$114,$BV$205^A23,IF(A23='Données projet'!$A$114,'Données projet'!$B$114,BY22+BX23-CG22)))</f>
        <v>55.769230769230752</v>
      </c>
      <c r="BZ23" s="13">
        <f>BY23*VLOOKUP('Données projet'!$B$12,Paramètres!$A$1:$I$89,3,0)*VLOOKUP('Données projet'!$B$12,Paramètres!$A$1:$I$89,5,0)</f>
        <v>48.719999999999992</v>
      </c>
      <c r="CA23" s="13">
        <f t="shared" si="39"/>
        <v>14.282696808795901</v>
      </c>
      <c r="CB23" s="20">
        <f t="shared" si="10"/>
        <v>109.72969694198616</v>
      </c>
      <c r="CC23" s="59">
        <f t="shared" si="11"/>
        <v>390.84080805309731</v>
      </c>
      <c r="CD23" s="59">
        <f ca="1">AVERAGE(OFFSET($CC$3,0,0,'Données projet'!$E$12+1,1))-AVERAGE(OFFSET($H$3,0,0,'Données projet'!$E$12+1,1))</f>
        <v>201.78062426023638</v>
      </c>
      <c r="CE23" s="59">
        <f t="shared" si="40"/>
        <v>183.0364139873468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18.589743589743588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0.215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3.8446626361501948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3.8446626361501948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0.68796000000000013</v>
      </c>
      <c r="D24" s="11">
        <f t="shared" si="32"/>
        <v>0.33114858041398287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0.39334015384399351</v>
      </c>
      <c r="H24" s="67">
        <f t="shared" si="1"/>
        <v>258.44161411088771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5.8668181818181813</v>
      </c>
      <c r="N24" s="13">
        <f>IF('Données projet'!$A$36&gt;35,N23+M24-V23,IF(A24&lt;'Données projet'!$A$36,$K$205^A24,IF(A24='Données projet'!$A$36,'Données projet'!$B$36,N23+M24-V23)))</f>
        <v>103.48531001863087</v>
      </c>
      <c r="O24" s="13">
        <f>N24*VLOOKUP('Données projet'!$B$9,Paramètres!$A$1:$I$89,3,0)*VLOOKUP('Données projet'!$B$9,Paramètres!$A$1:$I$89,5,0)</f>
        <v>61.884215391141261</v>
      </c>
      <c r="P24" s="13">
        <f t="shared" si="33"/>
        <v>17.643797099482939</v>
      </c>
      <c r="Q24" s="20">
        <f t="shared" si="2"/>
        <v>138.51128842117049</v>
      </c>
      <c r="R24" s="59">
        <f t="shared" si="0"/>
        <v>420.84462175450381</v>
      </c>
      <c r="S24" s="59">
        <f ca="1">AVERAGE(OFFSET($R$3,0,0,'Données projet'!$E$9+1,1))-AVERAGE(OFFSET($H$3,0,0,'Données projet'!$E$9+1,1))</f>
        <v>346.2919953121168</v>
      </c>
      <c r="T24" s="59">
        <f t="shared" si="34"/>
        <v>255.63939678041237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17.686666666666667</v>
      </c>
      <c r="AI24" s="13">
        <f>IF('Données projet'!$A$62&gt;35,AI23+AH24-AQ23,IF(A24&lt;'Données projet'!$A$62,$AF$205^A24,IF(A24='Données projet'!$A$62,'Données projet'!$B$62,AI23+AH24-AQ23)))</f>
        <v>152.30666666666667</v>
      </c>
      <c r="AJ24" s="13">
        <f>AI24*VLOOKUP('Données projet'!$B$10,Paramètres!$A$1:$I$89,3,0)*VLOOKUP('Données projet'!$B$10,Paramètres!$A$1:$I$89,5,0)</f>
        <v>91.079386666666679</v>
      </c>
      <c r="AK24" s="13">
        <f t="shared" si="35"/>
        <v>24.825366166504242</v>
      </c>
      <c r="AL24" s="20">
        <f t="shared" si="4"/>
        <v>201.8674445177727</v>
      </c>
      <c r="AM24" s="59">
        <f t="shared" si="5"/>
        <v>484.20077785110601</v>
      </c>
      <c r="AN24" s="59">
        <f ca="1">AVERAGE(OFFSET($AM$3,0,0,'Données projet'!$E$10+1,1))-AVERAGE(OFFSET($H$3,0,0,'Données projet'!$E$10+1,1))</f>
        <v>298.32148815673816</v>
      </c>
      <c r="AO24" s="59">
        <f t="shared" si="36"/>
        <v>303.51754260758827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2.5943470251510248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2.5943470251510248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5.5190909090909095</v>
      </c>
      <c r="BD24" s="12">
        <f>IF('Données projet'!$A$88&gt;35,BD23+BC24-BL23,IF(A24&lt;'Données projet'!$A$88,$BA$205^A24,IF(A24='Données projet'!$A$88,'Données projet'!$B$88,BD23+BC24-BL23)))</f>
        <v>97.622463665474783</v>
      </c>
      <c r="BE24" s="13">
        <f>BD24*VLOOKUP('Données projet'!$B$11,Paramètres!$A$1:$I$89,3,0)*VLOOKUP('Données projet'!$B$11,Paramètres!$A$1:$I$89,5,0)</f>
        <v>55.840049216651579</v>
      </c>
      <c r="BF24" s="13">
        <f t="shared" si="37"/>
        <v>16.112145200501214</v>
      </c>
      <c r="BG24" s="20">
        <f t="shared" si="7"/>
        <v>125.31673860987443</v>
      </c>
      <c r="BH24" s="59">
        <f t="shared" si="8"/>
        <v>407.65007194320776</v>
      </c>
      <c r="BI24" s="59">
        <f ca="1">AVERAGE(OFFSET($BH$3,0,0,'Données projet'!$E$11+1,1))-AVERAGE(OFFSET($H$3,0,0,'Données projet'!$E$11+1,1))</f>
        <v>287.9055604128643</v>
      </c>
      <c r="BJ24" s="59">
        <f t="shared" si="38"/>
        <v>197.74605993031139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5.1282051282051295</v>
      </c>
      <c r="BY24" s="12">
        <f>IF('Données projet'!$A$114&gt;35,BY23+BX24-CG23,IF(A24&lt;'Données projet'!$A$114,$BV$205^A24,IF(A24='Données projet'!$A$114,'Données projet'!$B$114,BY23+BX24-CG23)))</f>
        <v>42.307692307692292</v>
      </c>
      <c r="BZ24" s="13">
        <f>BY24*VLOOKUP('Données projet'!$B$12,Paramètres!$A$1:$I$89,3,0)*VLOOKUP('Données projet'!$B$12,Paramètres!$A$1:$I$89,5,0)</f>
        <v>36.959999999999994</v>
      </c>
      <c r="CA24" s="13">
        <f t="shared" si="39"/>
        <v>11.189225514592351</v>
      </c>
      <c r="CB24" s="20">
        <f t="shared" si="10"/>
        <v>83.859901104581667</v>
      </c>
      <c r="CC24" s="59">
        <f t="shared" si="11"/>
        <v>366.19323443791495</v>
      </c>
      <c r="CD24" s="59">
        <f ca="1">AVERAGE(OFFSET($CC$3,0,0,'Données projet'!$E$12+1,1))-AVERAGE(OFFSET($H$3,0,0,'Données projet'!$E$12+1,1))</f>
        <v>201.78062426023638</v>
      </c>
      <c r="CE24" s="59">
        <f t="shared" si="40"/>
        <v>183.0364139873468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3.7395301341826466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3.7395301341826466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0.72072000000000014</v>
      </c>
      <c r="D25" s="11">
        <f t="shared" si="32"/>
        <v>0.34504410308838651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0.41134754856042993</v>
      </c>
      <c r="H25" s="67">
        <f t="shared" si="1"/>
        <v>258.52287247954564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129.07</v>
      </c>
      <c r="L25" s="12">
        <f>VLOOKUP(A25,'Données projet'!$A$35:$I$55,9,0)</f>
        <v>5.8668181818181813</v>
      </c>
      <c r="M25" s="12">
        <f t="array" ref="M25">INDEX(L:L,MIN(IF(ISNUMBER(L25:L221),ROW(L25:L221),"")))</f>
        <v>5.8668181818181813</v>
      </c>
      <c r="N25" s="13">
        <f>IF('Données projet'!$A$36&gt;35,N24+M25-V24,IF(A25&lt;'Données projet'!$A$36,$K$205^A25,IF(A25='Données projet'!$A$36,'Données projet'!$B$36,N24+M25-V24)))</f>
        <v>129.07</v>
      </c>
      <c r="O25" s="13">
        <f>N25*VLOOKUP('Données projet'!$B$9,Paramètres!$A$1:$I$89,3,0)*VLOOKUP('Données projet'!$B$9,Paramètres!$A$1:$I$89,5,0)</f>
        <v>77.183859999999996</v>
      </c>
      <c r="P25" s="13">
        <f t="shared" si="33"/>
        <v>21.447193743401183</v>
      </c>
      <c r="Q25" s="20">
        <f t="shared" si="2"/>
        <v>171.78241860309038</v>
      </c>
      <c r="R25" s="59">
        <f t="shared" si="0"/>
        <v>455.33797415864592</v>
      </c>
      <c r="S25" s="59">
        <f ca="1">AVERAGE(OFFSET($R$3,0,0,'Données projet'!$E$9+1,1))-AVERAGE(OFFSET($H$3,0,0,'Données projet'!$E$9+1,1))</f>
        <v>346.2919953121168</v>
      </c>
      <c r="T25" s="59">
        <f t="shared" si="34"/>
        <v>255.63939678041237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52.41</v>
      </c>
      <c r="W25" s="16">
        <f>IF(ISNA(VLOOKUP(A25,'Données projet'!$A$35:$I$55,5,0)),0%,VLOOKUP(A25,'Données projet'!$A$35:$I$55,5,0)*VLOOKUP('Données projet'!$B$9,Paramètres!$A$1:$I$89,7,0))</f>
        <v>4.5000000000000005E-2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1.8709242920789675</v>
      </c>
      <c r="AA25" s="21">
        <f>EXP(-LN(2)/25)*AA24+(1-EXP(-LN(2)/25))/(LN(2)/25)*Calculateur!V25*Calculateur!X25*VLOOKUP('Données projet'!$B$9,Paramètres!$A$1:$I$89,3,0)*0.475*44/12</f>
        <v>7.4542310010520341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9.3251552931310009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17.686666666666667</v>
      </c>
      <c r="AI25" s="13">
        <f>IF('Données projet'!$A$62&gt;35,AI24+AH25-AQ24,IF(A25&lt;'Données projet'!$A$62,$AF$205^A25,IF(A25='Données projet'!$A$62,'Données projet'!$B$62,AI24+AH25-AQ24)))</f>
        <v>169.99333333333334</v>
      </c>
      <c r="AJ25" s="13">
        <f>AI25*VLOOKUP('Données projet'!$B$10,Paramètres!$A$1:$I$89,3,0)*VLOOKUP('Données projet'!$B$10,Paramètres!$A$1:$I$89,5,0)</f>
        <v>101.65601333333333</v>
      </c>
      <c r="AK25" s="13">
        <f t="shared" si="35"/>
        <v>27.356141971554642</v>
      </c>
      <c r="AL25" s="20">
        <f t="shared" si="4"/>
        <v>224.6961704893466</v>
      </c>
      <c r="AM25" s="59">
        <f t="shared" si="5"/>
        <v>508.25172604490217</v>
      </c>
      <c r="AN25" s="59">
        <f ca="1">AVERAGE(OFFSET($AM$3,0,0,'Données projet'!$E$10+1,1))-AVERAGE(OFFSET($H$3,0,0,'Données projet'!$E$10+1,1))</f>
        <v>298.32148815673816</v>
      </c>
      <c r="AO25" s="59">
        <f t="shared" si="36"/>
        <v>303.51754260758827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2.5234044693174895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2.5234044693174895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121.42</v>
      </c>
      <c r="BB25" s="12">
        <f>VLOOKUP(A25,'Données projet'!$A$87:$I$107,9,0)</f>
        <v>5.5190909090909095</v>
      </c>
      <c r="BC25" s="12">
        <f t="array" ref="BC25">INDEX(BB:BB,MIN(IF(ISNUMBER(BB25:BB221),ROW(BB25:BB221),"")))</f>
        <v>5.5190909090909095</v>
      </c>
      <c r="BD25" s="12">
        <f>IF('Données projet'!$A$88&gt;35,BD24+BC25-BL24,IF(A25&lt;'Données projet'!$A$88,$BA$205^A25,IF(A25='Données projet'!$A$88,'Données projet'!$B$88,BD24+BC25-BL24)))</f>
        <v>121.42</v>
      </c>
      <c r="BE25" s="13">
        <f>BD25*VLOOKUP('Données projet'!$B$11,Paramètres!$A$1:$I$89,3,0)*VLOOKUP('Données projet'!$B$11,Paramètres!$A$1:$I$89,5,0)</f>
        <v>69.452240000000003</v>
      </c>
      <c r="BF25" s="13">
        <f t="shared" si="37"/>
        <v>19.537367326366169</v>
      </c>
      <c r="BG25" s="20">
        <f t="shared" si="7"/>
        <v>154.99023276008774</v>
      </c>
      <c r="BH25" s="59">
        <f t="shared" si="8"/>
        <v>438.54578831564328</v>
      </c>
      <c r="BI25" s="59">
        <f ca="1">AVERAGE(OFFSET($BH$3,0,0,'Données projet'!$E$11+1,1))-AVERAGE(OFFSET($H$3,0,0,'Données projet'!$E$11+1,1))</f>
        <v>287.9055604128643</v>
      </c>
      <c r="BJ25" s="59">
        <f t="shared" si="38"/>
        <v>197.74605993031139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50.38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0.45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17.134905121670343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17.134905121670343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5.1282051282051295</v>
      </c>
      <c r="BY25" s="12">
        <f>IF('Données projet'!$A$114&gt;35,BY24+BX25-CG24,IF(A25&lt;'Données projet'!$A$114,$BV$205^A25,IF(A25='Données projet'!$A$114,'Données projet'!$B$114,BY24+BX25-CG24)))</f>
        <v>47.435897435897424</v>
      </c>
      <c r="BZ25" s="13">
        <f>BY25*VLOOKUP('Données projet'!$B$12,Paramètres!$A$1:$I$89,3,0)*VLOOKUP('Données projet'!$B$12,Paramètres!$A$1:$I$89,5,0)</f>
        <v>41.439999999999991</v>
      </c>
      <c r="CA25" s="13">
        <f t="shared" si="39"/>
        <v>12.379529899388185</v>
      </c>
      <c r="CB25" s="20">
        <f t="shared" si="10"/>
        <v>93.735681241434392</v>
      </c>
      <c r="CC25" s="59">
        <f t="shared" si="11"/>
        <v>377.29123679698995</v>
      </c>
      <c r="CD25" s="59">
        <f ca="1">AVERAGE(OFFSET($CC$3,0,0,'Données projet'!$E$12+1,1))-AVERAGE(OFFSET($H$3,0,0,'Données projet'!$E$12+1,1))</f>
        <v>201.78062426023638</v>
      </c>
      <c r="CE25" s="59">
        <f t="shared" si="40"/>
        <v>183.0364139873468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3.6372724860100791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3.6372724860100791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0.75348000000000015</v>
      </c>
      <c r="D26" s="11">
        <f t="shared" si="32"/>
        <v>0.35886627329475507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0.42932663179797576</v>
      </c>
      <c r="H26" s="67">
        <f t="shared" si="1"/>
        <v>258.60400309265503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15.766000000000002</v>
      </c>
      <c r="N26" s="13">
        <f>IF('Données projet'!$A$36&gt;35,N25+M26-V25,IF(A26&lt;'Données projet'!$A$36,$K$205^A26,IF(A26='Données projet'!$A$36,'Données projet'!$B$36,N25+M26-V25)))</f>
        <v>92.425999999999988</v>
      </c>
      <c r="O26" s="13">
        <f>N26*VLOOKUP('Données projet'!$B$9,Paramètres!$A$1:$I$89,3,0)*VLOOKUP('Données projet'!$B$9,Paramètres!$A$1:$I$89,5,0)</f>
        <v>55.27074799999999</v>
      </c>
      <c r="P26" s="13">
        <f t="shared" si="33"/>
        <v>15.966912640281619</v>
      </c>
      <c r="Q26" s="20">
        <f t="shared" si="2"/>
        <v>124.07225894849046</v>
      </c>
      <c r="R26" s="59">
        <f t="shared" si="0"/>
        <v>408.85003672626823</v>
      </c>
      <c r="S26" s="59">
        <f ca="1">AVERAGE(OFFSET($R$3,0,0,'Données projet'!$E$9+1,1))-AVERAGE(OFFSET($H$3,0,0,'Données projet'!$E$9+1,1))</f>
        <v>346.2919953121168</v>
      </c>
      <c r="T26" s="59">
        <f t="shared" si="34"/>
        <v>255.63939678041237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1.8342366078624377</v>
      </c>
      <c r="AA26" s="21">
        <f>EXP(-LN(2)/25)*AA25+(1-EXP(-LN(2)/25))/(LN(2)/25)*Calculateur!V26*Calculateur!X26*VLOOKUP('Données projet'!$B$9,Paramètres!$A$1:$I$89,3,0)*0.475*44/12</f>
        <v>7.2503946623272943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9.0846312701897318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187.68</v>
      </c>
      <c r="AG26" s="12">
        <f>VLOOKUP(A26,'Données projet'!$A$61:$I$81,9,0)</f>
        <v>17.686666666666667</v>
      </c>
      <c r="AH26" s="12">
        <f t="array" ref="AH26">INDEX(AG:AG,MIN(IF(ISNUMBER(AG26:AG222),ROW(AG26:AG222),"")))</f>
        <v>17.686666666666667</v>
      </c>
      <c r="AI26" s="13">
        <f>IF('Données projet'!$A$62&gt;35,AI25+AH26-AQ25,IF(A26&lt;'Données projet'!$A$62,$AF$205^A26,IF(A26='Données projet'!$A$62,'Données projet'!$B$62,AI25+AH26-AQ25)))</f>
        <v>187.68</v>
      </c>
      <c r="AJ26" s="13">
        <f>AI26*VLOOKUP('Données projet'!$B$10,Paramètres!$A$1:$I$89,3,0)*VLOOKUP('Données projet'!$B$10,Paramètres!$A$1:$I$89,5,0)</f>
        <v>112.23264000000002</v>
      </c>
      <c r="AK26" s="13">
        <f t="shared" si="35"/>
        <v>29.85639523393861</v>
      </c>
      <c r="AL26" s="20">
        <f t="shared" si="4"/>
        <v>247.47173636577645</v>
      </c>
      <c r="AM26" s="59">
        <f t="shared" si="5"/>
        <v>532.24951414355428</v>
      </c>
      <c r="AN26" s="59">
        <f ca="1">AVERAGE(OFFSET($AM$3,0,0,'Données projet'!$E$10+1,1))-AVERAGE(OFFSET($H$3,0,0,'Données projet'!$E$10+1,1))</f>
        <v>298.32148815673816</v>
      </c>
      <c r="AO26" s="59">
        <f t="shared" si="36"/>
        <v>303.51754260758827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57.75</v>
      </c>
      <c r="AR26" s="16">
        <f>IF(ISNA(VLOOKUP(A26,'Données projet'!$A$61:$I$81,5,0)),0%,VLOOKUP(A26,'Données projet'!$A$61:$I$81,5,0)*VLOOKUP('Données projet'!$B$10,Paramètres!$A$1:$I$89,7,0))</f>
        <v>4.5000000000000005E-2</v>
      </c>
      <c r="AS26" s="16">
        <f>IF(ISNA(VLOOKUP(A26,'Données projet'!$A$61:$I$81,6,0)),0%,VLOOKUP(A26,'Données projet'!$A$61:$I$81,6,0)*VLOOKUP('Données projet'!$B$10,Paramètres!$A$1:$I$89,7,0))</f>
        <v>0.18000000000000002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2.0615508083869565</v>
      </c>
      <c r="AV26" s="21">
        <f>EXP(-LN(2)/25)*AV25+(1-EXP(-LN(2)/25))/(LN(2)/25)*Calculateur!AQ26*Calculateur!AS26*VLOOKUP('Données projet'!$B$10,Paramètres!$A$1:$I$89,3,0)*0.475*44/12</f>
        <v>10.668136630771512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12.729687439158468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11.041428571428574</v>
      </c>
      <c r="BD26" s="12">
        <f>IF('Données projet'!$A$88&gt;35,BD25+BC26-BL25,IF(A26&lt;'Données projet'!$A$88,$BA$205^A26,IF(A26='Données projet'!$A$88,'Données projet'!$B$88,BD25+BC26-BL25)))</f>
        <v>82.081428571428575</v>
      </c>
      <c r="BE26" s="13">
        <f>BD26*VLOOKUP('Données projet'!$B$11,Paramètres!$A$1:$I$89,3,0)*VLOOKUP('Données projet'!$B$11,Paramètres!$A$1:$I$89,5,0)</f>
        <v>46.950577142857149</v>
      </c>
      <c r="BF26" s="13">
        <f t="shared" si="37"/>
        <v>13.82337199310426</v>
      </c>
      <c r="BG26" s="20">
        <f t="shared" si="7"/>
        <v>105.84796141179943</v>
      </c>
      <c r="BH26" s="59">
        <f t="shared" si="8"/>
        <v>390.62573918957719</v>
      </c>
      <c r="BI26" s="59">
        <f ca="1">AVERAGE(OFFSET($BH$3,0,0,'Données projet'!$E$11+1,1))-AVERAGE(OFFSET($H$3,0,0,'Données projet'!$E$11+1,1))</f>
        <v>287.9055604128643</v>
      </c>
      <c r="BJ26" s="59">
        <f t="shared" si="38"/>
        <v>197.74605993031139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16.66635024003277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16.66635024003277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5.1282051282051295</v>
      </c>
      <c r="BY26" s="12">
        <f>IF('Données projet'!$A$114&gt;35,BY25+BX26-CG25,IF(A26&lt;'Données projet'!$A$114,$BV$205^A26,IF(A26='Données projet'!$A$114,'Données projet'!$B$114,BY25+BX26-CG25)))</f>
        <v>52.564102564102555</v>
      </c>
      <c r="BZ26" s="13">
        <f>BY26*VLOOKUP('Données projet'!$B$12,Paramètres!$A$1:$I$89,3,0)*VLOOKUP('Données projet'!$B$12,Paramètres!$A$1:$I$89,5,0)</f>
        <v>45.92</v>
      </c>
      <c r="CA26" s="13">
        <f t="shared" si="39"/>
        <v>13.554918962034838</v>
      </c>
      <c r="CB26" s="20">
        <f t="shared" si="10"/>
        <v>103.58548385887735</v>
      </c>
      <c r="CC26" s="59">
        <f t="shared" si="11"/>
        <v>388.36326163665512</v>
      </c>
      <c r="CD26" s="59">
        <f ca="1">AVERAGE(OFFSET($CC$3,0,0,'Données projet'!$E$12+1,1))-AVERAGE(OFFSET($H$3,0,0,'Données projet'!$E$12+1,1))</f>
        <v>201.78062426023638</v>
      </c>
      <c r="CE26" s="59">
        <f t="shared" si="40"/>
        <v>183.0364139873468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3.5378110786042867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3.5378110786042867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0.78624000000000016</v>
      </c>
      <c r="D27" s="11">
        <f t="shared" si="32"/>
        <v>0.37261864478940732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0.4472787751818767</v>
      </c>
      <c r="H27" s="67">
        <f t="shared" si="1"/>
        <v>258.68501213967488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15.766000000000002</v>
      </c>
      <c r="N27" s="13">
        <f>IF('Données projet'!$A$36&gt;35,N26+M27-V26,IF(A27&lt;'Données projet'!$A$36,$K$205^A27,IF(A27='Données projet'!$A$36,'Données projet'!$B$36,N26+M27-V26)))</f>
        <v>108.19199999999999</v>
      </c>
      <c r="O27" s="13">
        <f>N27*VLOOKUP('Données projet'!$B$9,Paramètres!$A$1:$I$89,3,0)*VLOOKUP('Données projet'!$B$9,Paramètres!$A$1:$I$89,5,0)</f>
        <v>64.698815999999994</v>
      </c>
      <c r="P27" s="13">
        <f t="shared" si="33"/>
        <v>18.351013925322782</v>
      </c>
      <c r="Q27" s="20">
        <f t="shared" si="2"/>
        <v>144.64512045327049</v>
      </c>
      <c r="R27" s="59">
        <f t="shared" si="0"/>
        <v>430.64512045327047</v>
      </c>
      <c r="S27" s="59">
        <f ca="1">AVERAGE(OFFSET($R$3,0,0,'Données projet'!$E$9+1,1))-AVERAGE(OFFSET($H$3,0,0,'Données projet'!$E$9+1,1))</f>
        <v>346.2919953121168</v>
      </c>
      <c r="T27" s="59">
        <f t="shared" si="34"/>
        <v>255.63939678041237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1.7982683467561162</v>
      </c>
      <c r="AA27" s="21">
        <f>EXP(-LN(2)/25)*AA26+(1-EXP(-LN(2)/25))/(LN(2)/25)*Calculateur!V27*Calculateur!X27*VLOOKUP('Données projet'!$B$9,Paramètres!$A$1:$I$89,3,0)*0.475*44/12</f>
        <v>7.05213223900427</v>
      </c>
      <c r="AB27" s="21">
        <f>EXP(-LN(2)/2)*AB26+(1-EXP(-LN(2)/2))/(LN(2)/2)*V27*Y27*VLOOKUP('Données projet'!$B$9,Paramètres!$A$1:$I$89,3,0)*0.475*44/12</f>
        <v>0</v>
      </c>
      <c r="AC27" s="22">
        <f t="shared" si="3"/>
        <v>8.8504005857603865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18.613333333333333</v>
      </c>
      <c r="AI27" s="13">
        <f>IF('Données projet'!$A$62&gt;35,AI26+AH27-AQ26,IF(A27&lt;'Données projet'!$A$62,$AF$205^A27,IF(A27='Données projet'!$A$62,'Données projet'!$B$62,AI26+AH27-AQ26)))</f>
        <v>148.54333333333335</v>
      </c>
      <c r="AJ27" s="13">
        <f>AI27*VLOOKUP('Données projet'!$B$10,Paramètres!$A$1:$I$89,3,0)*VLOOKUP('Données projet'!$B$10,Paramètres!$A$1:$I$89,5,0)</f>
        <v>88.828913333333347</v>
      </c>
      <c r="AK27" s="13">
        <f t="shared" si="35"/>
        <v>24.282572155728136</v>
      </c>
      <c r="AL27" s="20">
        <f t="shared" si="4"/>
        <v>197.00250389344876</v>
      </c>
      <c r="AM27" s="59">
        <f t="shared" si="5"/>
        <v>483.00250389344876</v>
      </c>
      <c r="AN27" s="59">
        <f ca="1">AVERAGE(OFFSET($AM$3,0,0,'Données projet'!$E$10+1,1))-AVERAGE(OFFSET($H$3,0,0,'Données projet'!$E$10+1,1))</f>
        <v>298.32148815673816</v>
      </c>
      <c r="AO27" s="59">
        <f t="shared" si="36"/>
        <v>303.51754260758827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2.0211250544563213</v>
      </c>
      <c r="AV27" s="21">
        <f>EXP(-LN(2)/25)*AV26+(1-EXP(-LN(2)/25))/(LN(2)/25)*Calculateur!AQ27*Calculateur!AS27*VLOOKUP('Données projet'!$B$10,Paramètres!$A$1:$I$89,3,0)*0.475*44/12</f>
        <v>10.376415873590142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12.397540928046464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11.041428571428574</v>
      </c>
      <c r="BD27" s="12">
        <f>IF('Données projet'!$A$88&gt;35,BD26+BC27-BL26,IF(A27&lt;'Données projet'!$A$88,$BA$205^A27,IF(A27='Données projet'!$A$88,'Données projet'!$B$88,BD26+BC27-BL26)))</f>
        <v>93.122857142857143</v>
      </c>
      <c r="BE27" s="13">
        <f>BD27*VLOOKUP('Données projet'!$B$11,Paramètres!$A$1:$I$89,3,0)*VLOOKUP('Données projet'!$B$11,Paramètres!$A$1:$I$89,5,0)</f>
        <v>53.266274285714289</v>
      </c>
      <c r="BF27" s="13">
        <f t="shared" si="37"/>
        <v>15.454157562712979</v>
      </c>
      <c r="BG27" s="20">
        <f t="shared" si="7"/>
        <v>119.68808546934416</v>
      </c>
      <c r="BH27" s="59">
        <f t="shared" si="8"/>
        <v>405.68808546934417</v>
      </c>
      <c r="BI27" s="59">
        <f ca="1">AVERAGE(OFFSET($BH$3,0,0,'Données projet'!$E$11+1,1))-AVERAGE(OFFSET($H$3,0,0,'Données projet'!$E$11+1,1))</f>
        <v>287.9055604128643</v>
      </c>
      <c r="BJ27" s="59">
        <f t="shared" si="38"/>
        <v>197.74605993031139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16.210608016273806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16.210608016273806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5.1282051282051295</v>
      </c>
      <c r="BY27" s="12">
        <f>IF('Données projet'!$A$114&gt;35,BY26+BX27-CG26,IF(A27&lt;'Données projet'!$A$114,$BV$205^A27,IF(A27='Données projet'!$A$114,'Données projet'!$B$114,BY26+BX27-CG26)))</f>
        <v>57.692307692307686</v>
      </c>
      <c r="BZ27" s="13">
        <f>BY27*VLOOKUP('Données projet'!$B$12,Paramètres!$A$1:$I$89,3,0)*VLOOKUP('Données projet'!$B$12,Paramètres!$A$1:$I$89,5,0)</f>
        <v>50.4</v>
      </c>
      <c r="CA27" s="13">
        <f t="shared" si="39"/>
        <v>14.717013453056426</v>
      </c>
      <c r="CB27" s="20">
        <f t="shared" si="10"/>
        <v>113.41213176407327</v>
      </c>
      <c r="CC27" s="59">
        <f t="shared" si="11"/>
        <v>399.41213176407325</v>
      </c>
      <c r="CD27" s="59">
        <f ca="1">AVERAGE(OFFSET($CC$3,0,0,'Données projet'!$E$12+1,1))-AVERAGE(OFFSET($H$3,0,0,'Données projet'!$E$12+1,1))</f>
        <v>201.78062426023638</v>
      </c>
      <c r="CE27" s="59">
        <f t="shared" si="40"/>
        <v>183.0364139873468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3.4410694486144537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3.4410694486144537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0.81900000000000017</v>
      </c>
      <c r="D28" s="11">
        <f t="shared" si="32"/>
        <v>0.38630445842754518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0.46520522956852634</v>
      </c>
      <c r="H28" s="67">
        <f t="shared" si="1"/>
        <v>258.76590526509466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15.766000000000002</v>
      </c>
      <c r="N28" s="13">
        <f>IF('Données projet'!$A$36&gt;35,N27+M28-V27,IF(A28&lt;'Données projet'!$A$36,$K$205^A28,IF(A28='Données projet'!$A$36,'Données projet'!$B$36,N27+M28-V27)))</f>
        <v>123.958</v>
      </c>
      <c r="O28" s="13">
        <f>N28*VLOOKUP('Données projet'!$B$9,Paramètres!$A$1:$I$89,3,0)*VLOOKUP('Données projet'!$B$9,Paramètres!$A$1:$I$89,5,0)</f>
        <v>74.126884000000004</v>
      </c>
      <c r="P28" s="13">
        <f t="shared" si="33"/>
        <v>20.694866668390631</v>
      </c>
      <c r="Q28" s="20">
        <f t="shared" si="2"/>
        <v>165.1478824141137</v>
      </c>
      <c r="R28" s="59">
        <f t="shared" si="0"/>
        <v>452.3701046363359</v>
      </c>
      <c r="S28" s="59">
        <f ca="1">AVERAGE(OFFSET($R$3,0,0,'Données projet'!$E$9+1,1))-AVERAGE(OFFSET($H$3,0,0,'Données projet'!$E$9+1,1))</f>
        <v>346.2919953121168</v>
      </c>
      <c r="T28" s="59">
        <f t="shared" si="34"/>
        <v>255.63939678041237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1.7630054013116168</v>
      </c>
      <c r="AA28" s="21">
        <f>EXP(-LN(2)/25)*AA27+(1-EXP(-LN(2)/25))/(LN(2)/25)*Calculateur!V28*Calculateur!X28*VLOOKUP('Données projet'!$B$9,Paramètres!$A$1:$I$89,3,0)*0.475*44/12</f>
        <v>6.8592913120731813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8.6222967133847987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18.613333333333333</v>
      </c>
      <c r="AI28" s="13">
        <f>IF('Données projet'!$A$62&gt;35,AI27+AH28-AQ27,IF(A28&lt;'Données projet'!$A$62,$AF$205^A28,IF(A28='Données projet'!$A$62,'Données projet'!$B$62,AI27+AH28-AQ27)))</f>
        <v>167.15666666666669</v>
      </c>
      <c r="AJ28" s="13">
        <f>AI28*VLOOKUP('Données projet'!$B$10,Paramètres!$A$1:$I$89,3,0)*VLOOKUP('Données projet'!$B$10,Paramètres!$A$1:$I$89,5,0)</f>
        <v>99.959686666666684</v>
      </c>
      <c r="AK28" s="13">
        <f t="shared" si="35"/>
        <v>26.952393227223038</v>
      </c>
      <c r="AL28" s="20">
        <f t="shared" si="4"/>
        <v>221.03853914852459</v>
      </c>
      <c r="AM28" s="59">
        <f t="shared" si="5"/>
        <v>508.26076137074682</v>
      </c>
      <c r="AN28" s="59">
        <f ca="1">AVERAGE(OFFSET($AM$3,0,0,'Données projet'!$E$10+1,1))-AVERAGE(OFFSET($H$3,0,0,'Données projet'!$E$10+1,1))</f>
        <v>298.32148815673816</v>
      </c>
      <c r="AO28" s="59">
        <f t="shared" si="36"/>
        <v>303.51754260758827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1.9814920249029906</v>
      </c>
      <c r="AV28" s="21">
        <f>EXP(-LN(2)/25)*AV27+(1-EXP(-LN(2)/25))/(LN(2)/25)*Calculateur!AQ28*Calculateur!AS28*VLOOKUP('Données projet'!$B$10,Paramètres!$A$1:$I$89,3,0)*0.475*44/12</f>
        <v>10.092672235854824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12.074164260757815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11.041428571428574</v>
      </c>
      <c r="BD28" s="12">
        <f>IF('Données projet'!$A$88&gt;35,BD27+BC28-BL27,IF(A28&lt;'Données projet'!$A$88,$BA$205^A28,IF(A28='Données projet'!$A$88,'Données projet'!$B$88,BD27+BC28-BL27)))</f>
        <v>104.16428571428571</v>
      </c>
      <c r="BE28" s="13">
        <f>BD28*VLOOKUP('Données projet'!$B$11,Paramètres!$A$1:$I$89,3,0)*VLOOKUP('Données projet'!$B$11,Paramètres!$A$1:$I$89,5,0)</f>
        <v>59.581971428571428</v>
      </c>
      <c r="BF28" s="13">
        <f t="shared" si="37"/>
        <v>17.062535306176482</v>
      </c>
      <c r="BG28" s="20">
        <f t="shared" si="7"/>
        <v>133.48918256301928</v>
      </c>
      <c r="BH28" s="59">
        <f t="shared" si="8"/>
        <v>420.71140478524148</v>
      </c>
      <c r="BI28" s="59">
        <f ca="1">AVERAGE(OFFSET($BH$3,0,0,'Données projet'!$E$11+1,1))-AVERAGE(OFFSET($H$3,0,0,'Données projet'!$E$11+1,1))</f>
        <v>287.9055604128643</v>
      </c>
      <c r="BJ28" s="59">
        <f t="shared" si="38"/>
        <v>197.74605993031139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15.767328087589974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15.767328087589974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62.820512820512818</v>
      </c>
      <c r="BW28" s="12">
        <f>VLOOKUP(A28,'Données projet'!$A$113:$I$133,9,0)</f>
        <v>5.1282051282051295</v>
      </c>
      <c r="BX28" s="12">
        <f t="array" ref="BX28">INDEX(BW:BW,MIN(IF(ISNUMBER(BW28:BW224),ROW(BW28:BW224),"")))</f>
        <v>5.1282051282051295</v>
      </c>
      <c r="BY28" s="12">
        <f>IF('Données projet'!$A$114&gt;35,BY27+BX28-CG27,IF(A28&lt;'Données projet'!$A$114,$BV$205^A28,IF(A28='Données projet'!$A$114,'Données projet'!$B$114,BY27+BX28-CG27)))</f>
        <v>62.820512820512818</v>
      </c>
      <c r="BZ28" s="13">
        <f>BY28*VLOOKUP('Données projet'!$B$12,Paramètres!$A$1:$I$89,3,0)*VLOOKUP('Données projet'!$B$12,Paramètres!$A$1:$I$89,5,0)</f>
        <v>54.88000000000001</v>
      </c>
      <c r="CA28" s="13">
        <f t="shared" si="39"/>
        <v>15.867129491049784</v>
      </c>
      <c r="CB28" s="20">
        <f t="shared" si="10"/>
        <v>123.2179171969117</v>
      </c>
      <c r="CC28" s="59">
        <f t="shared" si="11"/>
        <v>410.44013941913391</v>
      </c>
      <c r="CD28" s="59">
        <f ca="1">AVERAGE(OFFSET($CC$3,0,0,'Données projet'!$E$12+1,1))-AVERAGE(OFFSET($H$3,0,0,'Données projet'!$E$12+1,1))</f>
        <v>201.78062426023638</v>
      </c>
      <c r="CE28" s="59">
        <f t="shared" si="40"/>
        <v>183.0364139873468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12.179487179487179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0.215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5.8658901231307938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5.8658901231307938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0.85176000000000018</v>
      </c>
      <c r="D29" s="11">
        <f t="shared" si="32"/>
        <v>0.39992668112053403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0.48310714008160982</v>
      </c>
      <c r="H29" s="67">
        <f t="shared" si="1"/>
        <v>258.84668763628497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15.766000000000002</v>
      </c>
      <c r="N29" s="13">
        <f>IF('Données projet'!$A$36&gt;35,N28+M29-V28,IF(A29&lt;'Données projet'!$A$36,$K$205^A29,IF(A29='Données projet'!$A$36,'Données projet'!$B$36,N28+M29-V28)))</f>
        <v>139.72399999999999</v>
      </c>
      <c r="O29" s="13">
        <f>N29*VLOOKUP('Données projet'!$B$9,Paramètres!$A$1:$I$89,3,0)*VLOOKUP('Données projet'!$B$9,Paramètres!$A$1:$I$89,5,0)</f>
        <v>83.554952</v>
      </c>
      <c r="P29" s="13">
        <f t="shared" si="33"/>
        <v>23.004176736574664</v>
      </c>
      <c r="Q29" s="20">
        <f t="shared" si="2"/>
        <v>185.59048254953419</v>
      </c>
      <c r="R29" s="59">
        <f t="shared" si="0"/>
        <v>474.03492699397862</v>
      </c>
      <c r="S29" s="59">
        <f ca="1">AVERAGE(OFFSET($R$3,0,0,'Données projet'!$E$9+1,1))-AVERAGE(OFFSET($H$3,0,0,'Données projet'!$E$9+1,1))</f>
        <v>346.2919953121168</v>
      </c>
      <c r="T29" s="59">
        <f t="shared" si="34"/>
        <v>255.63939678041237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1.728433940719011</v>
      </c>
      <c r="AA29" s="21">
        <f>EXP(-LN(2)/25)*AA28+(1-EXP(-LN(2)/25))/(LN(2)/25)*Calculateur!V29*Calculateur!X29*VLOOKUP('Données projet'!$B$9,Paramètres!$A$1:$I$89,3,0)*0.475*44/12</f>
        <v>6.6717236304300869</v>
      </c>
      <c r="AB29" s="21">
        <f>EXP(-LN(2)/2)*AB28+(1-EXP(-LN(2)/2))/(LN(2)/2)*V29*Y29*VLOOKUP('Données projet'!$B$9,Paramètres!$A$1:$I$89,3,0)*0.475*44/12</f>
        <v>0</v>
      </c>
      <c r="AC29" s="22">
        <f t="shared" si="3"/>
        <v>8.4001575711490979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18.613333333333333</v>
      </c>
      <c r="AI29" s="13">
        <f>IF('Données projet'!$A$62&gt;35,AI28+AH29-AQ28,IF(A29&lt;'Données projet'!$A$62,$AF$205^A29,IF(A29='Données projet'!$A$62,'Données projet'!$B$62,AI28+AH29-AQ28)))</f>
        <v>185.77000000000004</v>
      </c>
      <c r="AJ29" s="13">
        <f>AI29*VLOOKUP('Données projet'!$B$10,Paramètres!$A$1:$I$89,3,0)*VLOOKUP('Données projet'!$B$10,Paramètres!$A$1:$I$89,5,0)</f>
        <v>111.09046000000004</v>
      </c>
      <c r="AK29" s="13">
        <f t="shared" si="35"/>
        <v>29.587757766677999</v>
      </c>
      <c r="AL29" s="20">
        <f t="shared" si="4"/>
        <v>245.01456261029759</v>
      </c>
      <c r="AM29" s="59">
        <f t="shared" si="5"/>
        <v>533.45900705474207</v>
      </c>
      <c r="AN29" s="59">
        <f ca="1">AVERAGE(OFFSET($AM$3,0,0,'Données projet'!$E$10+1,1))-AVERAGE(OFFSET($H$3,0,0,'Données projet'!$E$10+1,1))</f>
        <v>298.32148815673816</v>
      </c>
      <c r="AO29" s="59">
        <f t="shared" si="36"/>
        <v>303.51754260758827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1.9426361748854397</v>
      </c>
      <c r="AV29" s="21">
        <f>EXP(-LN(2)/25)*AV28+(1-EXP(-LN(2)/25))/(LN(2)/25)*Calculateur!AQ29*Calculateur!AS29*VLOOKUP('Données projet'!$B$10,Paramètres!$A$1:$I$89,3,0)*0.475*44/12</f>
        <v>9.8166875828148079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11.759323757700248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11.041428571428574</v>
      </c>
      <c r="BD29" s="12">
        <f>IF('Données projet'!$A$88&gt;35,BD28+BC29-BL28,IF(A29&lt;'Données projet'!$A$88,$BA$205^A29,IF(A29='Données projet'!$A$88,'Données projet'!$B$88,BD28+BC29-BL28)))</f>
        <v>115.20571428571428</v>
      </c>
      <c r="BE29" s="13">
        <f>BD29*VLOOKUP('Données projet'!$B$11,Paramètres!$A$1:$I$89,3,0)*VLOOKUP('Données projet'!$B$11,Paramètres!$A$1:$I$89,5,0)</f>
        <v>65.897668571428568</v>
      </c>
      <c r="BF29" s="13">
        <f t="shared" si="37"/>
        <v>18.651151114025541</v>
      </c>
      <c r="BG29" s="20">
        <f t="shared" si="7"/>
        <v>147.2558609521659</v>
      </c>
      <c r="BH29" s="59">
        <f t="shared" si="8"/>
        <v>435.70030539661036</v>
      </c>
      <c r="BI29" s="59">
        <f ca="1">AVERAGE(OFFSET($BH$3,0,0,'Données projet'!$E$11+1,1))-AVERAGE(OFFSET($H$3,0,0,'Données projet'!$E$11+1,1))</f>
        <v>287.9055604128643</v>
      </c>
      <c r="BJ29" s="59">
        <f t="shared" si="38"/>
        <v>197.74605993031139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15.336169671867077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15.336169671867077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5.1282051282051295</v>
      </c>
      <c r="BY29" s="12">
        <f>IF('Données projet'!$A$114&gt;35,BY28+BX29-CG28,IF(A29&lt;'Données projet'!$A$114,$BV$205^A29,IF(A29='Données projet'!$A$114,'Données projet'!$B$114,BY28+BX29-CG28)))</f>
        <v>55.769230769230759</v>
      </c>
      <c r="BZ29" s="13">
        <f>BY29*VLOOKUP('Données projet'!$B$12,Paramètres!$A$1:$I$89,3,0)*VLOOKUP('Données projet'!$B$12,Paramètres!$A$1:$I$89,5,0)</f>
        <v>48.72</v>
      </c>
      <c r="CA29" s="13">
        <f t="shared" si="39"/>
        <v>14.282696808795901</v>
      </c>
      <c r="CB29" s="20">
        <f t="shared" si="10"/>
        <v>109.72969694198621</v>
      </c>
      <c r="CC29" s="59">
        <f t="shared" si="11"/>
        <v>398.17414138643068</v>
      </c>
      <c r="CD29" s="59">
        <f ca="1">AVERAGE(OFFSET($CC$3,0,0,'Données projet'!$E$12+1,1))-AVERAGE(OFFSET($H$3,0,0,'Données projet'!$E$12+1,1))</f>
        <v>201.78062426023638</v>
      </c>
      <c r="CE29" s="59">
        <f t="shared" si="40"/>
        <v>183.0364139873468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5.7054870492400278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5.7054870492400278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0.88452000000000019</v>
      </c>
      <c r="D30" s="11">
        <f t="shared" si="32"/>
        <v>0.41348803863117756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0.50098555876992823</v>
      </c>
      <c r="H30" s="67">
        <f t="shared" si="1"/>
        <v>258.92736400061597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155.49</v>
      </c>
      <c r="L30" s="12">
        <f>VLOOKUP(A30,'Données projet'!$A$35:$I$55,9,0)</f>
        <v>15.766000000000002</v>
      </c>
      <c r="M30" s="12">
        <f t="array" ref="M30">INDEX(L:L,MIN(IF(ISNUMBER(L30:L226),ROW(L30:L226),"")))</f>
        <v>15.766000000000002</v>
      </c>
      <c r="N30" s="13">
        <f>IF('Données projet'!$A$36&gt;35,N29+M30-V29,IF(A30&lt;'Données projet'!$A$36,$K$205^A30,IF(A30='Données projet'!$A$36,'Données projet'!$B$36,N29+M30-V29)))</f>
        <v>155.48999999999998</v>
      </c>
      <c r="O30" s="13">
        <f>N30*VLOOKUP('Données projet'!$B$9,Paramètres!$A$1:$I$89,3,0)*VLOOKUP('Données projet'!$B$9,Paramètres!$A$1:$I$89,5,0)</f>
        <v>92.983019999999996</v>
      </c>
      <c r="P30" s="13">
        <f t="shared" si="33"/>
        <v>25.283286610692237</v>
      </c>
      <c r="Q30" s="20">
        <f t="shared" si="2"/>
        <v>205.98048401362226</v>
      </c>
      <c r="R30" s="59">
        <f t="shared" si="0"/>
        <v>495.64715068028897</v>
      </c>
      <c r="S30" s="59">
        <f ca="1">AVERAGE(OFFSET($R$3,0,0,'Données projet'!$E$9+1,1))-AVERAGE(OFFSET($H$3,0,0,'Données projet'!$E$9+1,1))</f>
        <v>346.2919953121168</v>
      </c>
      <c r="T30" s="59">
        <f t="shared" si="34"/>
        <v>255.63939678041237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37.840000000000003</v>
      </c>
      <c r="W30" s="16">
        <f>IF(ISNA(VLOOKUP(A30,'Données projet'!$A$35:$I$55,5,0)),0%,VLOOKUP(A30,'Données projet'!$A$35:$I$55,5,0)*VLOOKUP('Données projet'!$B$9,Paramètres!$A$1:$I$89,7,0))</f>
        <v>4.5000000000000005E-2</v>
      </c>
      <c r="X30" s="16">
        <f>IF(ISNA(VLOOKUP(A30,'Données projet'!$A$35:$I$55,6,0)),0%,VLOOKUP(A30,'Données projet'!$A$35:$I$55,6,0)*VLOOKUP('Données projet'!$B$9,Paramètres!$A$1:$I$89,7,0))</f>
        <v>0.18000000000000002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3.0453470303061421</v>
      </c>
      <c r="AA30" s="21">
        <f>EXP(-LN(2)/25)*AA29+(1-EXP(-LN(2)/25))/(LN(2)/25)*Calculateur!V30*Calculateur!X30*VLOOKUP('Données projet'!$B$9,Paramètres!$A$1:$I$89,3,0)*0.475*44/12</f>
        <v>11.871236935081372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14.916583965387513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18.613333333333333</v>
      </c>
      <c r="AI30" s="13">
        <f>IF('Données projet'!$A$62&gt;35,AI29+AH30-AQ29,IF(A30&lt;'Données projet'!$A$62,$AF$205^A30,IF(A30='Données projet'!$A$62,'Données projet'!$B$62,AI29+AH30-AQ29)))</f>
        <v>204.38333333333338</v>
      </c>
      <c r="AJ30" s="13">
        <f>AI30*VLOOKUP('Données projet'!$B$10,Paramètres!$A$1:$I$89,3,0)*VLOOKUP('Données projet'!$B$10,Paramètres!$A$1:$I$89,5,0)</f>
        <v>122.22123333333337</v>
      </c>
      <c r="AK30" s="13">
        <f t="shared" si="35"/>
        <v>32.192511187778997</v>
      </c>
      <c r="AL30" s="20">
        <f t="shared" si="4"/>
        <v>268.937271707604</v>
      </c>
      <c r="AM30" s="59">
        <f t="shared" si="5"/>
        <v>558.60393837427068</v>
      </c>
      <c r="AN30" s="59">
        <f ca="1">AVERAGE(OFFSET($AM$3,0,0,'Données projet'!$E$10+1,1))-AVERAGE(OFFSET($H$3,0,0,'Données projet'!$E$10+1,1))</f>
        <v>298.32148815673816</v>
      </c>
      <c r="AO30" s="59">
        <f t="shared" si="36"/>
        <v>303.51754260758827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1.9045422643870047</v>
      </c>
      <c r="AV30" s="21">
        <f>EXP(-LN(2)/25)*AV29+(1-EXP(-LN(2)/25))/(LN(2)/25)*Calculateur!AQ30*Calculateur!AS30*VLOOKUP('Données projet'!$B$10,Paramètres!$A$1:$I$89,3,0)*0.475*44/12</f>
        <v>9.5482497446255739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11.452792009012578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11.041428571428574</v>
      </c>
      <c r="BD30" s="12">
        <f>IF('Données projet'!$A$88&gt;35,BD29+BC30-BL29,IF(A30&lt;'Données projet'!$A$88,$BA$205^A30,IF(A30='Données projet'!$A$88,'Données projet'!$B$88,BD29+BC30-BL29)))</f>
        <v>126.24714285714285</v>
      </c>
      <c r="BE30" s="13">
        <f>BD30*VLOOKUP('Données projet'!$B$11,Paramètres!$A$1:$I$89,3,0)*VLOOKUP('Données projet'!$B$11,Paramètres!$A$1:$I$89,5,0)</f>
        <v>72.213365714285715</v>
      </c>
      <c r="BF30" s="13">
        <f t="shared" si="37"/>
        <v>20.222114485071764</v>
      </c>
      <c r="BG30" s="20">
        <f t="shared" si="7"/>
        <v>160.9917946805476</v>
      </c>
      <c r="BH30" s="59">
        <f t="shared" si="8"/>
        <v>450.65846134721426</v>
      </c>
      <c r="BI30" s="59">
        <f ca="1">AVERAGE(OFFSET($BH$3,0,0,'Données projet'!$E$11+1,1))-AVERAGE(OFFSET($H$3,0,0,'Données projet'!$E$11+1,1))</f>
        <v>287.9055604128643</v>
      </c>
      <c r="BJ30" s="59">
        <f t="shared" si="38"/>
        <v>197.74605993031139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14.91680130569576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14.91680130569576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5.1282051282051295</v>
      </c>
      <c r="BY30" s="12">
        <f>IF('Données projet'!$A$114&gt;35,BY29+BX30-CG29,IF(A30&lt;'Données projet'!$A$114,$BV$205^A30,IF(A30='Données projet'!$A$114,'Données projet'!$B$114,BY29+BX30-CG29)))</f>
        <v>60.897435897435891</v>
      </c>
      <c r="BZ30" s="13">
        <f>BY30*VLOOKUP('Données projet'!$B$12,Paramètres!$A$1:$I$89,3,0)*VLOOKUP('Données projet'!$B$12,Paramètres!$A$1:$I$89,5,0)</f>
        <v>53.2</v>
      </c>
      <c r="CA30" s="13">
        <f t="shared" si="39"/>
        <v>15.437166316247735</v>
      </c>
      <c r="CB30" s="20">
        <f t="shared" si="10"/>
        <v>119.54306466746482</v>
      </c>
      <c r="CC30" s="59">
        <f t="shared" si="11"/>
        <v>409.2097313341315</v>
      </c>
      <c r="CD30" s="59">
        <f ca="1">AVERAGE(OFFSET($CC$3,0,0,'Données projet'!$E$12+1,1))-AVERAGE(OFFSET($H$3,0,0,'Données projet'!$E$12+1,1))</f>
        <v>201.78062426023638</v>
      </c>
      <c r="CE30" s="59">
        <f t="shared" si="40"/>
        <v>183.0364139873468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5.5494702058400351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5.5494702058400351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0.91728000000000021</v>
      </c>
      <c r="D31" s="11">
        <f t="shared" si="32"/>
        <v>0.42699104337384963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0.51884145533727544</v>
      </c>
      <c r="H31" s="67">
        <f t="shared" si="1"/>
        <v>259.00793873387613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16.614999999999998</v>
      </c>
      <c r="N31" s="13">
        <f>IF('Données projet'!$A$36&gt;35,N30+M31-V30,IF(A31&lt;'Données projet'!$A$36,$K$205^A31,IF(A31='Données projet'!$A$36,'Données projet'!$B$36,N30+M31-V30)))</f>
        <v>134.26499999999999</v>
      </c>
      <c r="O31" s="13">
        <f>N31*VLOOKUP('Données projet'!$B$9,Paramètres!$A$1:$I$89,3,0)*VLOOKUP('Données projet'!$B$9,Paramètres!$A$1:$I$89,5,0)</f>
        <v>80.290469999999999</v>
      </c>
      <c r="P31" s="13">
        <f t="shared" si="33"/>
        <v>22.208190565938402</v>
      </c>
      <c r="Q31" s="20">
        <f t="shared" si="2"/>
        <v>178.51850048567601</v>
      </c>
      <c r="R31" s="59">
        <f t="shared" si="0"/>
        <v>469.4073893745649</v>
      </c>
      <c r="S31" s="59">
        <f ca="1">AVERAGE(OFFSET($R$3,0,0,'Données projet'!$E$9+1,1))-AVERAGE(OFFSET($H$3,0,0,'Données projet'!$E$9+1,1))</f>
        <v>346.2919953121168</v>
      </c>
      <c r="T31" s="59">
        <f t="shared" si="34"/>
        <v>255.63939678041237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2.9856296325201162</v>
      </c>
      <c r="AA31" s="21">
        <f>EXP(-LN(2)/25)*AA30+(1-EXP(-LN(2)/25))/(LN(2)/25)*Calculateur!V31*Calculateur!X31*VLOOKUP('Données projet'!$B$9,Paramètres!$A$1:$I$89,3,0)*0.475*44/12</f>
        <v>11.546617336810353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14.532246969330469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18.613333333333333</v>
      </c>
      <c r="AI31" s="13">
        <f>IF('Données projet'!$A$62&gt;35,AI30+AH31-AQ30,IF(A31&lt;'Données projet'!$A$62,$AF$205^A31,IF(A31='Données projet'!$A$62,'Données projet'!$B$62,AI30+AH31-AQ30)))</f>
        <v>222.99666666666673</v>
      </c>
      <c r="AJ31" s="13">
        <f>AI31*VLOOKUP('Données projet'!$B$10,Paramètres!$A$1:$I$89,3,0)*VLOOKUP('Données projet'!$B$10,Paramètres!$A$1:$I$89,5,0)</f>
        <v>133.35200666666671</v>
      </c>
      <c r="AK31" s="13">
        <f t="shared" si="35"/>
        <v>34.769758316414304</v>
      </c>
      <c r="AL31" s="20">
        <f t="shared" si="4"/>
        <v>292.81207401219939</v>
      </c>
      <c r="AM31" s="59">
        <f t="shared" si="5"/>
        <v>583.70096290108825</v>
      </c>
      <c r="AN31" s="59">
        <f ca="1">AVERAGE(OFFSET($AM$3,0,0,'Données projet'!$E$10+1,1))-AVERAGE(OFFSET($H$3,0,0,'Données projet'!$E$10+1,1))</f>
        <v>298.32148815673816</v>
      </c>
      <c r="AO31" s="59">
        <f t="shared" si="36"/>
        <v>303.51754260758827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1.8671953522384528</v>
      </c>
      <c r="AV31" s="21">
        <f>EXP(-LN(2)/25)*AV30+(1-EXP(-LN(2)/25))/(LN(2)/25)*Calculateur!AQ31*Calculateur!AS31*VLOOKUP('Données projet'!$B$10,Paramètres!$A$1:$I$89,3,0)*0.475*44/12</f>
        <v>9.2871523532381559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11.154347705476608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11.041428571428574</v>
      </c>
      <c r="BD31" s="12">
        <f>IF('Données projet'!$A$88&gt;35,BD30+BC31-BL30,IF(A31&lt;'Données projet'!$A$88,$BA$205^A31,IF(A31='Données projet'!$A$88,'Données projet'!$B$88,BD30+BC31-BL30)))</f>
        <v>137.28857142857143</v>
      </c>
      <c r="BE31" s="13">
        <f>BD31*VLOOKUP('Données projet'!$B$11,Paramètres!$A$1:$I$89,3,0)*VLOOKUP('Données projet'!$B$11,Paramètres!$A$1:$I$89,5,0)</f>
        <v>78.529062857142861</v>
      </c>
      <c r="BF31" s="13">
        <f t="shared" si="37"/>
        <v>21.777144825180152</v>
      </c>
      <c r="BG31" s="20">
        <f t="shared" si="7"/>
        <v>174.69997838004591</v>
      </c>
      <c r="BH31" s="59">
        <f t="shared" si="8"/>
        <v>465.58886726893479</v>
      </c>
      <c r="BI31" s="59">
        <f ca="1">AVERAGE(OFFSET($BH$3,0,0,'Données projet'!$E$11+1,1))-AVERAGE(OFFSET($H$3,0,0,'Données projet'!$E$11+1,1))</f>
        <v>287.9055604128643</v>
      </c>
      <c r="BJ31" s="59">
        <f t="shared" si="38"/>
        <v>197.74605993031139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14.508900589551022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14.508900589551022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5.1282051282051295</v>
      </c>
      <c r="BY31" s="12">
        <f>IF('Données projet'!$A$114&gt;35,BY30+BX31-CG30,IF(A31&lt;'Données projet'!$A$114,$BV$205^A31,IF(A31='Données projet'!$A$114,'Données projet'!$B$114,BY30+BX31-CG30)))</f>
        <v>66.025641025641022</v>
      </c>
      <c r="BZ31" s="13">
        <f>BY31*VLOOKUP('Données projet'!$B$12,Paramètres!$A$1:$I$89,3,0)*VLOOKUP('Données projet'!$B$12,Paramètres!$A$1:$I$89,5,0)</f>
        <v>57.680000000000007</v>
      </c>
      <c r="CA31" s="13">
        <f t="shared" si="39"/>
        <v>16.580360816013417</v>
      </c>
      <c r="CB31" s="20">
        <f t="shared" si="10"/>
        <v>129.33679508789001</v>
      </c>
      <c r="CC31" s="59">
        <f t="shared" si="11"/>
        <v>420.2256839767789</v>
      </c>
      <c r="CD31" s="59">
        <f ca="1">AVERAGE(OFFSET($CC$3,0,0,'Données projet'!$E$12+1,1))-AVERAGE(OFFSET($H$3,0,0,'Données projet'!$E$12+1,1))</f>
        <v>201.78062426023638</v>
      </c>
      <c r="CE31" s="59">
        <f t="shared" si="40"/>
        <v>183.0364139873468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5.3977196512273844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5.3977196512273844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0.95004000000000022</v>
      </c>
      <c r="D32" s="11">
        <f t="shared" si="32"/>
        <v>0.44043801813157796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0.5366757262963987</v>
      </c>
      <c r="H32" s="67">
        <f t="shared" si="1"/>
        <v>259.08841588157918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16.614999999999998</v>
      </c>
      <c r="N32" s="13">
        <f>IF('Données projet'!$A$36&gt;35,N31+M32-V31,IF(A32&lt;'Données projet'!$A$36,$K$205^A32,IF(A32='Données projet'!$A$36,'Données projet'!$B$36,N31+M32-V31)))</f>
        <v>150.88</v>
      </c>
      <c r="O32" s="13">
        <f>N32*VLOOKUP('Données projet'!$B$9,Paramètres!$A$1:$I$89,3,0)*VLOOKUP('Données projet'!$B$9,Paramètres!$A$1:$I$89,5,0)</f>
        <v>90.22623999999999</v>
      </c>
      <c r="P32" s="13">
        <f t="shared" si="33"/>
        <v>24.619780658757083</v>
      </c>
      <c r="Q32" s="20">
        <f t="shared" si="2"/>
        <v>200.02348598066854</v>
      </c>
      <c r="R32" s="59">
        <f t="shared" si="0"/>
        <v>492.13459709177971</v>
      </c>
      <c r="S32" s="59">
        <f ca="1">AVERAGE(OFFSET($R$3,0,0,'Données projet'!$E$9+1,1))-AVERAGE(OFFSET($H$3,0,0,'Données projet'!$E$9+1,1))</f>
        <v>346.2919953121168</v>
      </c>
      <c r="T32" s="59">
        <f t="shared" si="34"/>
        <v>255.63939678041237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2.9270832564806581</v>
      </c>
      <c r="AA32" s="21">
        <f>EXP(-LN(2)/25)*AA31+(1-EXP(-LN(2)/25))/(LN(2)/25)*Calculateur!V32*Calculateur!X32*VLOOKUP('Données projet'!$B$9,Paramètres!$A$1:$I$89,3,0)*0.475*44/12</f>
        <v>11.230874478525058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14.157957735005716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241.61</v>
      </c>
      <c r="AG32" s="12">
        <f>VLOOKUP(A32,'Données projet'!$A$61:$I$81,9,0)</f>
        <v>18.613333333333333</v>
      </c>
      <c r="AH32" s="12">
        <f t="array" ref="AH32">INDEX(AG:AG,MIN(IF(ISNUMBER(AG32:AG228),ROW(AG32:AG228),"")))</f>
        <v>18.613333333333333</v>
      </c>
      <c r="AI32" s="13">
        <f>IF('Données projet'!$A$62&gt;35,AI31+AH32-AQ31,IF(A32&lt;'Données projet'!$A$62,$AF$205^A32,IF(A32='Données projet'!$A$62,'Données projet'!$B$62,AI31+AH32-AQ31)))</f>
        <v>241.61000000000007</v>
      </c>
      <c r="AJ32" s="13">
        <f>AI32*VLOOKUP('Données projet'!$B$10,Paramètres!$A$1:$I$89,3,0)*VLOOKUP('Données projet'!$B$10,Paramètres!$A$1:$I$89,5,0)</f>
        <v>144.48278000000005</v>
      </c>
      <c r="AK32" s="13">
        <f t="shared" si="35"/>
        <v>37.322056105193219</v>
      </c>
      <c r="AL32" s="20">
        <f t="shared" si="4"/>
        <v>316.6434228832116</v>
      </c>
      <c r="AM32" s="59">
        <f t="shared" si="5"/>
        <v>608.75453399432274</v>
      </c>
      <c r="AN32" s="59">
        <f ca="1">AVERAGE(OFFSET($AM$3,0,0,'Données projet'!$E$10+1,1))-AVERAGE(OFFSET($H$3,0,0,'Données projet'!$E$10+1,1))</f>
        <v>298.32148815673816</v>
      </c>
      <c r="AO32" s="59">
        <f t="shared" si="36"/>
        <v>303.51754260758827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54.64</v>
      </c>
      <c r="AR32" s="16">
        <f>IF(ISNA(VLOOKUP(A32,'Données projet'!$A$61:$I$81,5,0)),0%,VLOOKUP(A32,'Données projet'!$A$61:$I$81,5,0)*VLOOKUP('Données projet'!$B$10,Paramètres!$A$1:$I$89,7,0))</f>
        <v>4.5000000000000005E-2</v>
      </c>
      <c r="AS32" s="16">
        <f>IF(ISNA(VLOOKUP(A32,'Données projet'!$A$61:$I$81,6,0)),0%,VLOOKUP(A32,'Données projet'!$A$61:$I$81,6,0)*VLOOKUP('Données projet'!$B$10,Paramètres!$A$1:$I$89,7,0))</f>
        <v>0.18000000000000002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3.7811112867125427</v>
      </c>
      <c r="AV32" s="21">
        <f>EXP(-LN(2)/25)*AV31+(1-EXP(-LN(2)/25))/(LN(2)/25)*Calculateur!AQ32*Calculateur!AS32*VLOOKUP('Données projet'!$B$10,Paramètres!$A$1:$I$89,3,0)*0.475*44/12</f>
        <v>16.804596742468132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20.585708029180672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148.33000000000001</v>
      </c>
      <c r="BB32" s="12">
        <f>VLOOKUP(A32,'Données projet'!$A$87:$I$107,9,0)</f>
        <v>11.041428571428574</v>
      </c>
      <c r="BC32" s="12">
        <f t="array" ref="BC32">INDEX(BB:BB,MIN(IF(ISNUMBER(BB32:BB228),ROW(BB32:BB228),"")))</f>
        <v>11.041428571428574</v>
      </c>
      <c r="BD32" s="12">
        <f>IF('Données projet'!$A$88&gt;35,BD31+BC32-BL31,IF(A32&lt;'Données projet'!$A$88,$BA$205^A32,IF(A32='Données projet'!$A$88,'Données projet'!$B$88,BD31+BC32-BL31)))</f>
        <v>148.33000000000001</v>
      </c>
      <c r="BE32" s="13">
        <f>BD32*VLOOKUP('Données projet'!$B$11,Paramètres!$A$1:$I$89,3,0)*VLOOKUP('Données projet'!$B$11,Paramètres!$A$1:$I$89,5,0)</f>
        <v>84.844760000000008</v>
      </c>
      <c r="BF32" s="13">
        <f t="shared" si="37"/>
        <v>23.317669232214776</v>
      </c>
      <c r="BG32" s="20">
        <f t="shared" si="7"/>
        <v>188.38289757944074</v>
      </c>
      <c r="BH32" s="59">
        <f t="shared" si="8"/>
        <v>480.49400869055188</v>
      </c>
      <c r="BI32" s="59">
        <f ca="1">AVERAGE(OFFSET($BH$3,0,0,'Données projet'!$E$11+1,1))-AVERAGE(OFFSET($H$3,0,0,'Données projet'!$E$11+1,1))</f>
        <v>287.9055604128643</v>
      </c>
      <c r="BJ32" s="59">
        <f t="shared" si="38"/>
        <v>197.74605993031139</v>
      </c>
      <c r="BK32" s="15">
        <f>IF(ISNA(VLOOKUP(A32,'Données projet'!$A$87:$I$107,3,0)),0,VLOOKUP(A32,'Données projet'!$A$87:$I$107,3,0))</f>
        <v>2</v>
      </c>
      <c r="BL32" s="15">
        <f>IF(ISNA(VLOOKUP(A32,'Données projet'!$A$87:$I$107,4,0)),0,VLOOKUP(A32,'Données projet'!$A$87:$I$107,4,0))</f>
        <v>31.13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0.45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24.699879157041806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24.699879157041806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5.1282051282051295</v>
      </c>
      <c r="BY32" s="12">
        <f>IF('Données projet'!$A$114&gt;35,BY31+BX32-CG31,IF(A32&lt;'Données projet'!$A$114,$BV$205^A32,IF(A32='Données projet'!$A$114,'Données projet'!$B$114,BY31+BX32-CG31)))</f>
        <v>71.153846153846146</v>
      </c>
      <c r="BZ32" s="13">
        <f>BY32*VLOOKUP('Données projet'!$B$12,Paramètres!$A$1:$I$89,3,0)*VLOOKUP('Données projet'!$B$12,Paramètres!$A$1:$I$89,5,0)</f>
        <v>62.160000000000004</v>
      </c>
      <c r="CA32" s="13">
        <f t="shared" si="39"/>
        <v>17.713255604040903</v>
      </c>
      <c r="CB32" s="20">
        <f t="shared" si="10"/>
        <v>139.11258684370458</v>
      </c>
      <c r="CC32" s="59">
        <f t="shared" si="11"/>
        <v>431.22369795481575</v>
      </c>
      <c r="CD32" s="59">
        <f ca="1">AVERAGE(OFFSET($CC$3,0,0,'Données projet'!$E$12+1,1))-AVERAGE(OFFSET($H$3,0,0,'Données projet'!$E$12+1,1))</f>
        <v>201.78062426023638</v>
      </c>
      <c r="CE32" s="59">
        <f t="shared" si="40"/>
        <v>183.0364139873468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5.2501187235108322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5.2501187235108322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0.98280000000000023</v>
      </c>
      <c r="D33" s="11">
        <f t="shared" si="32"/>
        <v>0.4538311164098987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0.55448920282487324</v>
      </c>
      <c r="H33" s="67">
        <f t="shared" si="1"/>
        <v>259.16879919441391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16.614999999999998</v>
      </c>
      <c r="N33" s="13">
        <f>IF('Données projet'!$A$36&gt;35,N32+M33-V32,IF(A33&lt;'Données projet'!$A$36,$K$205^A33,IF(A33='Données projet'!$A$36,'Données projet'!$B$36,N32+M33-V32)))</f>
        <v>167.495</v>
      </c>
      <c r="O33" s="13">
        <f>N33*VLOOKUP('Données projet'!$B$9,Paramètres!$A$1:$I$89,3,0)*VLOOKUP('Données projet'!$B$9,Paramètres!$A$1:$I$89,5,0)</f>
        <v>100.16201000000001</v>
      </c>
      <c r="P33" s="13">
        <f t="shared" si="33"/>
        <v>27.000590559708886</v>
      </c>
      <c r="Q33" s="20">
        <f t="shared" si="2"/>
        <v>221.47486264149299</v>
      </c>
      <c r="R33" s="59">
        <f t="shared" si="0"/>
        <v>514.80819597482628</v>
      </c>
      <c r="S33" s="59">
        <f ca="1">AVERAGE(OFFSET($R$3,0,0,'Données projet'!$E$9+1,1))-AVERAGE(OFFSET($H$3,0,0,'Données projet'!$E$9+1,1))</f>
        <v>346.2919953121168</v>
      </c>
      <c r="T33" s="59">
        <f t="shared" si="34"/>
        <v>255.63939678041237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2.8696849391655705</v>
      </c>
      <c r="AA33" s="21">
        <f>EXP(-LN(2)/25)*AA32+(1-EXP(-LN(2)/25))/(LN(2)/25)*Calculateur!V33*Calculateur!X33*VLOOKUP('Données projet'!$B$9,Paramètres!$A$1:$I$89,3,0)*0.475*44/12</f>
        <v>10.923765625303769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13.793450564469339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17.737142857142853</v>
      </c>
      <c r="AI33" s="13">
        <f>IF('Données projet'!$A$62&gt;35,AI32+AH33-AQ32,IF(A33&lt;'Données projet'!$A$62,$AF$205^A33,IF(A33='Données projet'!$A$62,'Données projet'!$B$62,AI32+AH33-AQ32)))</f>
        <v>204.70714285714291</v>
      </c>
      <c r="AJ33" s="13">
        <f>AI33*VLOOKUP('Données projet'!$B$10,Paramètres!$A$1:$I$89,3,0)*VLOOKUP('Données projet'!$B$10,Paramètres!$A$1:$I$89,5,0)</f>
        <v>122.41487142857147</v>
      </c>
      <c r="AK33" s="13">
        <f t="shared" si="35"/>
        <v>32.237573625209684</v>
      </c>
      <c r="AL33" s="20">
        <f t="shared" si="4"/>
        <v>269.35300846866886</v>
      </c>
      <c r="AM33" s="59">
        <f t="shared" si="5"/>
        <v>562.68634180200218</v>
      </c>
      <c r="AN33" s="59">
        <f ca="1">AVERAGE(OFFSET($AM$3,0,0,'Données projet'!$E$10+1,1))-AVERAGE(OFFSET($H$3,0,0,'Données projet'!$E$10+1,1))</f>
        <v>298.32148815673816</v>
      </c>
      <c r="AO33" s="59">
        <f t="shared" si="36"/>
        <v>303.51754260758827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3.7069660006302714</v>
      </c>
      <c r="AV33" s="21">
        <f>EXP(-LN(2)/25)*AV32+(1-EXP(-LN(2)/25))/(LN(2)/25)*Calculateur!AQ33*Calculateur!AS33*VLOOKUP('Données projet'!$B$10,Paramètres!$A$1:$I$89,3,0)*0.475*44/12</f>
        <v>16.345074160830006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20.052040161460276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11.13142857142857</v>
      </c>
      <c r="BD33" s="12">
        <f>IF('Données projet'!$A$88&gt;35,BD32+BC33-BL32,IF(A33&lt;'Données projet'!$A$88,$BA$205^A33,IF(A33='Données projet'!$A$88,'Données projet'!$B$88,BD32+BC33-BL32)))</f>
        <v>128.33142857142857</v>
      </c>
      <c r="BE33" s="13">
        <f>BD33*VLOOKUP('Données projet'!$B$11,Paramètres!$A$1:$I$89,3,0)*VLOOKUP('Données projet'!$B$11,Paramètres!$A$1:$I$89,5,0)</f>
        <v>73.405577142857155</v>
      </c>
      <c r="BF33" s="13">
        <f t="shared" si="37"/>
        <v>20.516830010095177</v>
      </c>
      <c r="BG33" s="20">
        <f t="shared" si="7"/>
        <v>163.58152579139198</v>
      </c>
      <c r="BH33" s="59">
        <f t="shared" si="8"/>
        <v>456.9148591247253</v>
      </c>
      <c r="BI33" s="59">
        <f ca="1">AVERAGE(OFFSET($BH$3,0,0,'Données projet'!$E$11+1,1))-AVERAGE(OFFSET($H$3,0,0,'Données projet'!$E$11+1,1))</f>
        <v>287.9055604128643</v>
      </c>
      <c r="BJ33" s="59">
        <f t="shared" si="38"/>
        <v>197.74605993031139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24.024459662582306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24.024459662582306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76.282051282051285</v>
      </c>
      <c r="BW33" s="12">
        <f>VLOOKUP(A33,'Données projet'!$A$113:$I$133,9,0)</f>
        <v>5.1282051282051295</v>
      </c>
      <c r="BX33" s="12">
        <f t="array" ref="BX33">INDEX(BW:BW,MIN(IF(ISNUMBER(BW33:BW229),ROW(BW33:BW229),"")))</f>
        <v>5.1282051282051295</v>
      </c>
      <c r="BY33" s="12">
        <f>IF('Données projet'!$A$114&gt;35,BY32+BX33-CG32,IF(A33&lt;'Données projet'!$A$114,$BV$205^A33,IF(A33='Données projet'!$A$114,'Données projet'!$B$114,BY32+BX33-CG32)))</f>
        <v>76.28205128205127</v>
      </c>
      <c r="BZ33" s="13">
        <f>BY33*VLOOKUP('Données projet'!$B$12,Paramètres!$A$1:$I$89,3,0)*VLOOKUP('Données projet'!$B$12,Paramètres!$A$1:$I$89,5,0)</f>
        <v>66.64</v>
      </c>
      <c r="CA33" s="13">
        <f t="shared" si="39"/>
        <v>18.836677424934397</v>
      </c>
      <c r="CB33" s="20">
        <f t="shared" si="10"/>
        <v>148.8718798484274</v>
      </c>
      <c r="CC33" s="59">
        <f t="shared" si="11"/>
        <v>442.20521318176071</v>
      </c>
      <c r="CD33" s="59">
        <f ca="1">AVERAGE(OFFSET($CC$3,0,0,'Données projet'!$E$12+1,1))-AVERAGE(OFFSET($H$3,0,0,'Données projet'!$E$12+1,1))</f>
        <v>201.78062426023638</v>
      </c>
      <c r="CE33" s="59">
        <f t="shared" si="40"/>
        <v>183.0364139873468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12.820512820512819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7.7580454241317156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7.7580454241317156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1.0155600000000002</v>
      </c>
      <c r="D34" s="11">
        <f t="shared" si="32"/>
        <v>0.46717234000062807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0.57228265754410224</v>
      </c>
      <c r="H34" s="67">
        <f t="shared" si="1"/>
        <v>259.24909215883446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16.614999999999998</v>
      </c>
      <c r="N34" s="13">
        <f>IF('Données projet'!$A$36&gt;35,N33+M34-V33,IF(A34&lt;'Données projet'!$A$36,$K$205^A34,IF(A34='Données projet'!$A$36,'Données projet'!$B$36,N33+M34-V33)))</f>
        <v>184.11</v>
      </c>
      <c r="O34" s="13">
        <f>N34*VLOOKUP('Données projet'!$B$9,Paramètres!$A$1:$I$89,3,0)*VLOOKUP('Données projet'!$B$9,Paramètres!$A$1:$I$89,5,0)</f>
        <v>110.09778000000001</v>
      </c>
      <c r="P34" s="13">
        <f t="shared" si="33"/>
        <v>29.354021111763256</v>
      </c>
      <c r="Q34" s="20">
        <f t="shared" si="2"/>
        <v>242.87855360298769</v>
      </c>
      <c r="R34" s="59">
        <f t="shared" si="0"/>
        <v>536.21188693632098</v>
      </c>
      <c r="S34" s="59">
        <f ca="1">AVERAGE(OFFSET($R$3,0,0,'Données projet'!$E$9+1,1))-AVERAGE(OFFSET($H$3,0,0,'Données projet'!$E$9+1,1))</f>
        <v>346.2919953121168</v>
      </c>
      <c r="T34" s="59">
        <f t="shared" si="34"/>
        <v>255.63939678041237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2.8134121678435156</v>
      </c>
      <c r="AA34" s="21">
        <f>EXP(-LN(2)/25)*AA33+(1-EXP(-LN(2)/25))/(LN(2)/25)*Calculateur!V34*Calculateur!X34*VLOOKUP('Données projet'!$B$9,Paramètres!$A$1:$I$89,3,0)*0.475*44/12</f>
        <v>10.62505467982397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13.438466847667485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17.737142857142853</v>
      </c>
      <c r="AI34" s="13">
        <f>IF('Données projet'!$A$62&gt;35,AI33+AH34-AQ33,IF(A34&lt;'Données projet'!$A$62,$AF$205^A34,IF(A34='Données projet'!$A$62,'Données projet'!$B$62,AI33+AH34-AQ33)))</f>
        <v>222.44428571428577</v>
      </c>
      <c r="AJ34" s="13">
        <f>AI34*VLOOKUP('Données projet'!$B$10,Paramètres!$A$1:$I$89,3,0)*VLOOKUP('Données projet'!$B$10,Paramètres!$A$1:$I$89,5,0)</f>
        <v>133.02168285714291</v>
      </c>
      <c r="AK34" s="13">
        <f t="shared" si="35"/>
        <v>34.693645048951552</v>
      </c>
      <c r="AL34" s="20">
        <f t="shared" si="4"/>
        <v>292.10419610311448</v>
      </c>
      <c r="AM34" s="59">
        <f t="shared" si="5"/>
        <v>585.43752943644779</v>
      </c>
      <c r="AN34" s="59">
        <f ca="1">AVERAGE(OFFSET($AM$3,0,0,'Données projet'!$E$10+1,1))-AVERAGE(OFFSET($H$3,0,0,'Données projet'!$E$10+1,1))</f>
        <v>298.32148815673816</v>
      </c>
      <c r="AO34" s="59">
        <f t="shared" si="36"/>
        <v>303.51754260758827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3.6342746583839145</v>
      </c>
      <c r="AV34" s="21">
        <f>EXP(-LN(2)/25)*AV33+(1-EXP(-LN(2)/25))/(LN(2)/25)*Calculateur!AQ34*Calculateur!AS34*VLOOKUP('Données projet'!$B$10,Paramètres!$A$1:$I$89,3,0)*0.475*44/12</f>
        <v>15.898117248352015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19.532391906735931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11.13142857142857</v>
      </c>
      <c r="BD34" s="12">
        <f>IF('Données projet'!$A$88&gt;35,BD33+BC34-BL33,IF(A34&lt;'Données projet'!$A$88,$BA$205^A34,IF(A34='Données projet'!$A$88,'Données projet'!$B$88,BD33+BC34-BL33)))</f>
        <v>139.46285714285713</v>
      </c>
      <c r="BE34" s="13">
        <f>BD34*VLOOKUP('Données projet'!$B$11,Paramètres!$A$1:$I$89,3,0)*VLOOKUP('Données projet'!$B$11,Paramètres!$A$1:$I$89,5,0)</f>
        <v>79.772754285714285</v>
      </c>
      <c r="BF34" s="13">
        <f t="shared" si="37"/>
        <v>22.081612174706297</v>
      </c>
      <c r="BG34" s="20">
        <f t="shared" si="7"/>
        <v>177.39635491856583</v>
      </c>
      <c r="BH34" s="59">
        <f t="shared" si="8"/>
        <v>470.72968825189912</v>
      </c>
      <c r="BI34" s="59">
        <f ca="1">AVERAGE(OFFSET($BH$3,0,0,'Données projet'!$E$11+1,1))-AVERAGE(OFFSET($H$3,0,0,'Données projet'!$E$11+1,1))</f>
        <v>287.9055604128643</v>
      </c>
      <c r="BJ34" s="59">
        <f t="shared" si="38"/>
        <v>197.74605993031139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23.367509549717568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23.367509549717568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4.6153846153846132</v>
      </c>
      <c r="BY34" s="12">
        <f>IF('Données projet'!$A$114&gt;35,BY33+BX34-CG33,IF(A34&lt;'Données projet'!$A$114,$BV$205^A34,IF(A34='Données projet'!$A$114,'Données projet'!$B$114,BY33+BX34-CG33)))</f>
        <v>68.076923076923066</v>
      </c>
      <c r="BZ34" s="13">
        <f>BY34*VLOOKUP('Données projet'!$B$12,Paramètres!$A$1:$I$89,3,0)*VLOOKUP('Données projet'!$B$12,Paramètres!$A$1:$I$89,5,0)</f>
        <v>59.472000000000001</v>
      </c>
      <c r="CA34" s="13">
        <f t="shared" si="39"/>
        <v>17.034705450773373</v>
      </c>
      <c r="CB34" s="20">
        <f t="shared" si="10"/>
        <v>133.24917866009699</v>
      </c>
      <c r="CC34" s="59">
        <f t="shared" si="11"/>
        <v>426.58251199343033</v>
      </c>
      <c r="CD34" s="59">
        <f ca="1">AVERAGE(OFFSET($CC$3,0,0,'Données projet'!$E$12+1,1))-AVERAGE(OFFSET($H$3,0,0,'Données projet'!$E$12+1,1))</f>
        <v>201.78062426023638</v>
      </c>
      <c r="CE34" s="59">
        <f t="shared" si="40"/>
        <v>183.0364139873468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7.545901264030956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7.545901264030956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1.0483200000000001</v>
      </c>
      <c r="D35" s="11">
        <f t="shared" si="32"/>
        <v>0.48046355421567916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0.59005681039903424</v>
      </c>
      <c r="H35" s="67">
        <f t="shared" si="1"/>
        <v>259.32929802359234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16.614999999999998</v>
      </c>
      <c r="N35" s="13">
        <f>IF('Données projet'!$A$36&gt;35,N34+M35-V34,IF(A35&lt;'Données projet'!$A$36,$K$205^A35,IF(A35='Données projet'!$A$36,'Données projet'!$B$36,N34+M35-V34)))</f>
        <v>200.72500000000002</v>
      </c>
      <c r="O35" s="13">
        <f>N35*VLOOKUP('Données projet'!$B$9,Paramètres!$A$1:$I$89,3,0)*VLOOKUP('Données projet'!$B$9,Paramètres!$A$1:$I$89,5,0)</f>
        <v>120.03355000000002</v>
      </c>
      <c r="P35" s="13">
        <f t="shared" si="33"/>
        <v>31.68282415335652</v>
      </c>
      <c r="Q35" s="20">
        <f t="shared" ref="Q35:Q66" si="53">(O35+P35)*0.475*44/12</f>
        <v>264.23935165042923</v>
      </c>
      <c r="R35" s="59">
        <f t="shared" si="0"/>
        <v>557.57268498376254</v>
      </c>
      <c r="S35" s="59">
        <f ca="1">AVERAGE(OFFSET($R$3,0,0,'Données projet'!$E$9+1,1))-AVERAGE(OFFSET($H$3,0,0,'Données projet'!$E$9+1,1))</f>
        <v>346.2919953121168</v>
      </c>
      <c r="T35" s="59">
        <f t="shared" si="34"/>
        <v>255.63939678041237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2.7582428712440845</v>
      </c>
      <c r="AA35" s="21">
        <f>EXP(-LN(2)/25)*AA34+(1-EXP(-LN(2)/25))/(LN(2)/25)*Calculateur!V35*Calculateur!X35*VLOOKUP('Données projet'!$B$9,Paramètres!$A$1:$I$89,3,0)*0.475*44/12</f>
        <v>10.334512000856842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13.092754872100926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17.737142857142853</v>
      </c>
      <c r="AI35" s="13">
        <f>IF('Données projet'!$A$62&gt;35,AI34+AH35-AQ34,IF(A35&lt;'Données projet'!$A$62,$AF$205^A35,IF(A35='Données projet'!$A$62,'Données projet'!$B$62,AI34+AH35-AQ34)))</f>
        <v>240.18142857142863</v>
      </c>
      <c r="AJ35" s="13">
        <f>AI35*VLOOKUP('Données projet'!$B$10,Paramètres!$A$1:$I$89,3,0)*VLOOKUP('Données projet'!$B$10,Paramètres!$A$1:$I$89,5,0)</f>
        <v>143.62849428571434</v>
      </c>
      <c r="AK35" s="13">
        <f t="shared" si="35"/>
        <v>37.127000660847131</v>
      </c>
      <c r="AL35" s="20">
        <f t="shared" si="4"/>
        <v>314.81582036526123</v>
      </c>
      <c r="AM35" s="59">
        <f t="shared" si="5"/>
        <v>608.14915369859455</v>
      </c>
      <c r="AN35" s="59">
        <f ca="1">AVERAGE(OFFSET($AM$3,0,0,'Données projet'!$E$10+1,1))-AVERAGE(OFFSET($H$3,0,0,'Données projet'!$E$10+1,1))</f>
        <v>298.32148815673816</v>
      </c>
      <c r="AO35" s="59">
        <f t="shared" si="36"/>
        <v>303.51754260758827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3.5630087490216678</v>
      </c>
      <c r="AV35" s="21">
        <f>EXP(-LN(2)/25)*AV34+(1-EXP(-LN(2)/25))/(LN(2)/25)*Calculateur!AQ35*Calculateur!AS35*VLOOKUP('Données projet'!$B$10,Paramètres!$A$1:$I$89,3,0)*0.475*44/12</f>
        <v>15.463382396150179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19.026391145171846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11.13142857142857</v>
      </c>
      <c r="BD35" s="12">
        <f>IF('Données projet'!$A$88&gt;35,BD34+BC35-BL34,IF(A35&lt;'Données projet'!$A$88,$BA$205^A35,IF(A35='Données projet'!$A$88,'Données projet'!$B$88,BD34+BC35-BL34)))</f>
        <v>150.59428571428569</v>
      </c>
      <c r="BE35" s="13">
        <f>BD35*VLOOKUP('Données projet'!$B$11,Paramètres!$A$1:$I$89,3,0)*VLOOKUP('Données projet'!$B$11,Paramètres!$A$1:$I$89,5,0)</f>
        <v>86.139931428571415</v>
      </c>
      <c r="BF35" s="13">
        <f t="shared" si="37"/>
        <v>23.631907619423899</v>
      </c>
      <c r="BG35" s="20">
        <f t="shared" si="7"/>
        <v>191.18595300859181</v>
      </c>
      <c r="BH35" s="59">
        <f t="shared" si="8"/>
        <v>484.51928634192512</v>
      </c>
      <c r="BI35" s="59">
        <f ca="1">AVERAGE(OFFSET($BH$3,0,0,'Données projet'!$E$11+1,1))-AVERAGE(OFFSET($H$3,0,0,'Données projet'!$E$11+1,1))</f>
        <v>287.9055604128643</v>
      </c>
      <c r="BJ35" s="59">
        <f t="shared" si="38"/>
        <v>197.74605993031139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22.72852377223662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22.72852377223662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4.6153846153846132</v>
      </c>
      <c r="BY35" s="12">
        <f>IF('Données projet'!$A$114&gt;35,BY34+BX35-CG34,IF(A35&lt;'Données projet'!$A$114,$BV$205^A35,IF(A35='Données projet'!$A$114,'Données projet'!$B$114,BY34+BX35-CG34)))</f>
        <v>72.692307692307679</v>
      </c>
      <c r="BZ35" s="13">
        <f>BY35*VLOOKUP('Données projet'!$B$12,Paramètres!$A$1:$I$89,3,0)*VLOOKUP('Données projet'!$B$12,Paramètres!$A$1:$I$89,5,0)</f>
        <v>63.503999999999998</v>
      </c>
      <c r="CA35" s="13">
        <f t="shared" si="39"/>
        <v>18.051242499399113</v>
      </c>
      <c r="CB35" s="20">
        <f t="shared" si="10"/>
        <v>142.0420473531201</v>
      </c>
      <c r="CC35" s="59">
        <f t="shared" si="11"/>
        <v>435.37538068645341</v>
      </c>
      <c r="CD35" s="59">
        <f ca="1">AVERAGE(OFFSET($CC$3,0,0,'Données projet'!$E$12+1,1))-AVERAGE(OFFSET($H$3,0,0,'Données projet'!$E$12+1,1))</f>
        <v>201.78062426023638</v>
      </c>
      <c r="CE35" s="59">
        <f t="shared" si="40"/>
        <v>183.0364139873468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7.3395581971443287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7.3395581971443287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1.08108</v>
      </c>
      <c r="D36" s="11">
        <f t="shared" si="32"/>
        <v>0.49370650116315684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0.60781233378227106</v>
      </c>
      <c r="H36" s="67">
        <f t="shared" si="1"/>
        <v>259.40941982285921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217.34</v>
      </c>
      <c r="L36" s="12">
        <f>VLOOKUP(A36,'Données projet'!$A$35:$I$55,9,0)</f>
        <v>16.614999999999998</v>
      </c>
      <c r="M36" s="12">
        <f t="array" ref="M36">INDEX(L:L,MIN(IF(ISNUMBER(L36:L232),ROW(L36:L232),"")))</f>
        <v>16.614999999999998</v>
      </c>
      <c r="N36" s="13">
        <f>IF('Données projet'!$A$36&gt;35,N35+M36-V35,IF(A36&lt;'Données projet'!$A$36,$K$205^A36,IF(A36='Données projet'!$A$36,'Données projet'!$B$36,N35+M36-V35)))</f>
        <v>217.34000000000003</v>
      </c>
      <c r="O36" s="13">
        <f>N36*VLOOKUP('Données projet'!$B$9,Paramètres!$A$1:$I$89,3,0)*VLOOKUP('Données projet'!$B$9,Paramètres!$A$1:$I$89,5,0)</f>
        <v>129.96932000000001</v>
      </c>
      <c r="P36" s="13">
        <f t="shared" si="33"/>
        <v>33.989269987755954</v>
      </c>
      <c r="Q36" s="20">
        <f t="shared" si="53"/>
        <v>285.56121089534162</v>
      </c>
      <c r="R36" s="59">
        <f t="shared" si="0"/>
        <v>578.89454422867493</v>
      </c>
      <c r="S36" s="59">
        <f ca="1">AVERAGE(OFFSET($R$3,0,0,'Données projet'!$E$9+1,1))-AVERAGE(OFFSET($H$3,0,0,'Données projet'!$E$9+1,1))</f>
        <v>346.2919953121168</v>
      </c>
      <c r="T36" s="59">
        <f t="shared" si="34"/>
        <v>255.63939678041237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50.41</v>
      </c>
      <c r="W36" s="16">
        <f>IF(ISNA(VLOOKUP(A36,'Données projet'!$A$35:$I$55,5,0)),0%,VLOOKUP(A36,'Données projet'!$A$35:$I$55,5,0)*VLOOKUP('Données projet'!$B$9,Paramètres!$A$1:$I$89,7,0))</f>
        <v>9.0000000000000011E-2</v>
      </c>
      <c r="X36" s="16">
        <f>IF(ISNA(VLOOKUP(A36,'Données projet'!$A$35:$I$55,6,0)),0%,VLOOKUP(A36,'Données projet'!$A$35:$I$55,6,0)*VLOOKUP('Données projet'!$B$9,Paramètres!$A$1:$I$89,7,0))</f>
        <v>0.22500000000000001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6.3032125970754436</v>
      </c>
      <c r="AA36" s="21">
        <f>EXP(-LN(2)/25)*AA35+(1-EXP(-LN(2)/25))/(LN(2)/25)*Calculateur!V36*Calculateur!X36*VLOOKUP('Données projet'!$B$9,Paramètres!$A$1:$I$89,3,0)*0.475*44/12</f>
        <v>19.014130043435429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25.317342640510873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17.737142857142853</v>
      </c>
      <c r="AI36" s="13">
        <f>IF('Données projet'!$A$62&gt;35,AI35+AH36-AQ35,IF(A36&lt;'Données projet'!$A$62,$AF$205^A36,IF(A36='Données projet'!$A$62,'Données projet'!$B$62,AI35+AH36-AQ35)))</f>
        <v>257.91857142857145</v>
      </c>
      <c r="AJ36" s="13">
        <f>AI36*VLOOKUP('Données projet'!$B$10,Paramètres!$A$1:$I$89,3,0)*VLOOKUP('Données projet'!$B$10,Paramètres!$A$1:$I$89,5,0)</f>
        <v>154.23530571428574</v>
      </c>
      <c r="AK36" s="13">
        <f t="shared" si="35"/>
        <v>39.539508761330566</v>
      </c>
      <c r="AL36" s="20">
        <f t="shared" si="4"/>
        <v>337.49113521169841</v>
      </c>
      <c r="AM36" s="59">
        <f t="shared" si="5"/>
        <v>630.82446854503178</v>
      </c>
      <c r="AN36" s="59">
        <f ca="1">AVERAGE(OFFSET($AM$3,0,0,'Données projet'!$E$10+1,1))-AVERAGE(OFFSET($H$3,0,0,'Données projet'!$E$10+1,1))</f>
        <v>298.32148815673816</v>
      </c>
      <c r="AO36" s="59">
        <f t="shared" si="36"/>
        <v>303.51754260758827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3.4931403206741019</v>
      </c>
      <c r="AV36" s="21">
        <f>EXP(-LN(2)/25)*AV35+(1-EXP(-LN(2)/25))/(LN(2)/25)*Calculateur!AQ36*Calculateur!AS36*VLOOKUP('Données projet'!$B$10,Paramètres!$A$1:$I$89,3,0)*0.475*44/12</f>
        <v>15.040535391343514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18.533675712017615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11.13142857142857</v>
      </c>
      <c r="BD36" s="12">
        <f>IF('Données projet'!$A$88&gt;35,BD35+BC36-BL35,IF(A36&lt;'Données projet'!$A$88,$BA$205^A36,IF(A36='Données projet'!$A$88,'Données projet'!$B$88,BD35+BC36-BL35)))</f>
        <v>161.72571428571425</v>
      </c>
      <c r="BE36" s="13">
        <f>BD36*VLOOKUP('Données projet'!$B$11,Paramètres!$A$1:$I$89,3,0)*VLOOKUP('Données projet'!$B$11,Paramètres!$A$1:$I$89,5,0)</f>
        <v>92.50710857142856</v>
      </c>
      <c r="BF36" s="13">
        <f t="shared" si="37"/>
        <v>25.168908921476302</v>
      </c>
      <c r="BG36" s="20">
        <f t="shared" si="7"/>
        <v>204.95239713347596</v>
      </c>
      <c r="BH36" s="59">
        <f t="shared" si="8"/>
        <v>498.28573046680924</v>
      </c>
      <c r="BI36" s="59">
        <f ca="1">AVERAGE(OFFSET($BH$3,0,0,'Données projet'!$E$11+1,1))-AVERAGE(OFFSET($H$3,0,0,'Données projet'!$E$11+1,1))</f>
        <v>287.9055604128643</v>
      </c>
      <c r="BJ36" s="59">
        <f t="shared" si="38"/>
        <v>197.74605993031139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22.107011094443692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22.107011094443692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4.6153846153846132</v>
      </c>
      <c r="BY36" s="12">
        <f>IF('Données projet'!$A$114&gt;35,BY35+BX36-CG35,IF(A36&lt;'Données projet'!$A$114,$BV$205^A36,IF(A36='Données projet'!$A$114,'Données projet'!$B$114,BY35+BX36-CG35)))</f>
        <v>77.307692307692292</v>
      </c>
      <c r="BZ36" s="13">
        <f>BY36*VLOOKUP('Données projet'!$B$12,Paramètres!$A$1:$I$89,3,0)*VLOOKUP('Données projet'!$B$12,Paramètres!$A$1:$I$89,5,0)</f>
        <v>67.536000000000001</v>
      </c>
      <c r="CA36" s="13">
        <f t="shared" si="39"/>
        <v>19.060289237119235</v>
      </c>
      <c r="CB36" s="20">
        <f t="shared" si="10"/>
        <v>150.82187042131599</v>
      </c>
      <c r="CC36" s="59">
        <f t="shared" si="11"/>
        <v>444.15520375464928</v>
      </c>
      <c r="CD36" s="59">
        <f ca="1">AVERAGE(OFFSET($CC$3,0,0,'Données projet'!$E$12+1,1))-AVERAGE(OFFSET($H$3,0,0,'Données projet'!$E$12+1,1))</f>
        <v>201.78062426023638</v>
      </c>
      <c r="CE36" s="59">
        <f t="shared" si="40"/>
        <v>183.0364139873468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7.1388575922728261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7.1388575922728261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1.1138399999999999</v>
      </c>
      <c r="D37" s="11">
        <f t="shared" si="32"/>
        <v>0.50690281136901694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0.62554985701962063</v>
      </c>
      <c r="H37" s="67">
        <f t="shared" si="1"/>
        <v>259.48946039646773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16.701250000000002</v>
      </c>
      <c r="N37" s="13">
        <f>IF('Données projet'!$A$36&gt;35,N36+M37-V36,IF(A37&lt;'Données projet'!$A$36,$K$205^A37,IF(A37='Données projet'!$A$36,'Données projet'!$B$36,N36+M37-V36)))</f>
        <v>183.63125000000005</v>
      </c>
      <c r="O37" s="13">
        <f>N37*VLOOKUP('Données projet'!$B$9,Paramètres!$A$1:$I$89,3,0)*VLOOKUP('Données projet'!$B$9,Paramètres!$A$1:$I$89,5,0)</f>
        <v>109.81148750000004</v>
      </c>
      <c r="P37" s="13">
        <f t="shared" si="33"/>
        <v>29.286565124423376</v>
      </c>
      <c r="Q37" s="20">
        <f t="shared" si="53"/>
        <v>242.26244165420408</v>
      </c>
      <c r="R37" s="59">
        <f t="shared" si="0"/>
        <v>535.59577498753742</v>
      </c>
      <c r="S37" s="59">
        <f ca="1">AVERAGE(OFFSET($R$3,0,0,'Données projet'!$E$9+1,1))-AVERAGE(OFFSET($H$3,0,0,'Données projet'!$E$9+1,1))</f>
        <v>346.2919953121168</v>
      </c>
      <c r="T37" s="59">
        <f t="shared" si="34"/>
        <v>255.63939678041237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6.1796104426268572</v>
      </c>
      <c r="AA37" s="21">
        <f>EXP(-LN(2)/25)*AA36+(1-EXP(-LN(2)/25))/(LN(2)/25)*Calculateur!V37*Calculateur!X37*VLOOKUP('Données projet'!$B$9,Paramètres!$A$1:$I$89,3,0)*0.475*44/12</f>
        <v>18.494187657488045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24.673798100114901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17.737142857142853</v>
      </c>
      <c r="AI37" s="13">
        <f>IF('Données projet'!$A$62&gt;35,AI36+AH37-AQ36,IF(A37&lt;'Données projet'!$A$62,$AF$205^A37,IF(A37='Données projet'!$A$62,'Données projet'!$B$62,AI36+AH37-AQ36)))</f>
        <v>275.65571428571428</v>
      </c>
      <c r="AJ37" s="13">
        <f>AI37*VLOOKUP('Données projet'!$B$10,Paramètres!$A$1:$I$89,3,0)*VLOOKUP('Données projet'!$B$10,Paramètres!$A$1:$I$89,5,0)</f>
        <v>164.84211714285715</v>
      </c>
      <c r="AK37" s="13">
        <f t="shared" si="35"/>
        <v>41.932766136496305</v>
      </c>
      <c r="AL37" s="20">
        <f t="shared" si="4"/>
        <v>360.13292171154058</v>
      </c>
      <c r="AM37" s="59">
        <f t="shared" si="5"/>
        <v>653.46625504487383</v>
      </c>
      <c r="AN37" s="59">
        <f ca="1">AVERAGE(OFFSET($AM$3,0,0,'Données projet'!$E$10+1,1))-AVERAGE(OFFSET($H$3,0,0,'Données projet'!$E$10+1,1))</f>
        <v>298.32148815673816</v>
      </c>
      <c r="AO37" s="59">
        <f t="shared" si="36"/>
        <v>303.51754260758827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3.4246419695908985</v>
      </c>
      <c r="AV37" s="21">
        <f>EXP(-LN(2)/25)*AV36+(1-EXP(-LN(2)/25))/(LN(2)/25)*Calculateur!AQ37*Calculateur!AS37*VLOOKUP('Données projet'!$B$10,Paramètres!$A$1:$I$89,3,0)*0.475*44/12</f>
        <v>14.629251160119844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18.053893129710744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11.13142857142857</v>
      </c>
      <c r="BD37" s="12">
        <f>IF('Données projet'!$A$88&gt;35,BD36+BC37-BL36,IF(A37&lt;'Données projet'!$A$88,$BA$205^A37,IF(A37='Données projet'!$A$88,'Données projet'!$B$88,BD36+BC37-BL36)))</f>
        <v>172.8571428571428</v>
      </c>
      <c r="BE37" s="13">
        <f>BD37*VLOOKUP('Données projet'!$B$11,Paramètres!$A$1:$I$89,3,0)*VLOOKUP('Données projet'!$B$11,Paramètres!$A$1:$I$89,5,0)</f>
        <v>98.874285714285691</v>
      </c>
      <c r="BF37" s="13">
        <f t="shared" si="37"/>
        <v>26.693635196313497</v>
      </c>
      <c r="BG37" s="20">
        <f t="shared" si="7"/>
        <v>218.69746225262691</v>
      </c>
      <c r="BH37" s="59">
        <f t="shared" si="8"/>
        <v>512.03079558596028</v>
      </c>
      <c r="BI37" s="59">
        <f ca="1">AVERAGE(OFFSET($BH$3,0,0,'Données projet'!$E$11+1,1))-AVERAGE(OFFSET($H$3,0,0,'Données projet'!$E$11+1,1))</f>
        <v>287.9055604128643</v>
      </c>
      <c r="BJ37" s="59">
        <f t="shared" si="38"/>
        <v>197.74605993031139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21.50249371350894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21.50249371350894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4.6153846153846132</v>
      </c>
      <c r="BY37" s="12">
        <f>IF('Données projet'!$A$114&gt;35,BY36+BX37-CG36,IF(A37&lt;'Données projet'!$A$114,$BV$205^A37,IF(A37='Données projet'!$A$114,'Données projet'!$B$114,BY36+BX37-CG36)))</f>
        <v>81.923076923076906</v>
      </c>
      <c r="BZ37" s="13">
        <f>BY37*VLOOKUP('Données projet'!$B$12,Paramètres!$A$1:$I$89,3,0)*VLOOKUP('Données projet'!$B$12,Paramètres!$A$1:$I$89,5,0)</f>
        <v>71.567999999999998</v>
      </c>
      <c r="CA37" s="13">
        <f t="shared" si="39"/>
        <v>20.062343777240766</v>
      </c>
      <c r="CB37" s="20">
        <f t="shared" si="10"/>
        <v>159.58951541202768</v>
      </c>
      <c r="CC37" s="59">
        <f t="shared" si="11"/>
        <v>452.92284874536097</v>
      </c>
      <c r="CD37" s="59">
        <f ca="1">AVERAGE(OFFSET($CC$3,0,0,'Données projet'!$E$12+1,1))-AVERAGE(OFFSET($H$3,0,0,'Données projet'!$E$12+1,1))</f>
        <v>201.78062426023638</v>
      </c>
      <c r="CE37" s="59">
        <f t="shared" si="40"/>
        <v>183.0364139873468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6.9436451559959211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6.9436451559959211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1.1465999999999998</v>
      </c>
      <c r="D38" s="11">
        <f t="shared" si="32"/>
        <v>0.52005401399304951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0.64326997031310684</v>
      </c>
      <c r="H38" s="67">
        <f t="shared" si="1"/>
        <v>259.56942240770456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16.701250000000002</v>
      </c>
      <c r="N38" s="13">
        <f>IF('Données projet'!$A$36&gt;35,N37+M38-V37,IF(A38&lt;'Données projet'!$A$36,$K$205^A38,IF(A38='Données projet'!$A$36,'Données projet'!$B$36,N37+M38-V37)))</f>
        <v>200.33250000000004</v>
      </c>
      <c r="O38" s="13">
        <f>N38*VLOOKUP('Données projet'!$B$9,Paramètres!$A$1:$I$89,3,0)*VLOOKUP('Données projet'!$B$9,Paramètres!$A$1:$I$89,5,0)</f>
        <v>119.79883500000003</v>
      </c>
      <c r="P38" s="13">
        <f t="shared" si="33"/>
        <v>31.628076280921128</v>
      </c>
      <c r="Q38" s="20">
        <f t="shared" si="53"/>
        <v>263.73520381427102</v>
      </c>
      <c r="R38" s="59">
        <f t="shared" si="0"/>
        <v>557.06853714760427</v>
      </c>
      <c r="S38" s="59">
        <f ca="1">AVERAGE(OFFSET($R$3,0,0,'Données projet'!$E$9+1,1))-AVERAGE(OFFSET($H$3,0,0,'Données projet'!$E$9+1,1))</f>
        <v>346.2919953121168</v>
      </c>
      <c r="T38" s="59">
        <f t="shared" si="34"/>
        <v>255.63939678041237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6.0584320510371379</v>
      </c>
      <c r="AA38" s="21">
        <f>EXP(-LN(2)/25)*AA37+(1-EXP(-LN(2)/25))/(LN(2)/25)*Calculateur!V38*Calculateur!X38*VLOOKUP('Données projet'!$B$9,Paramètres!$A$1:$I$89,3,0)*0.475*44/12</f>
        <v>17.988463123426975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24.046895174464112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17.737142857142853</v>
      </c>
      <c r="AI38" s="13">
        <f>IF('Données projet'!$A$62&gt;35,AI37+AH38-AQ37,IF(A38&lt;'Données projet'!$A$62,$AF$205^A38,IF(A38='Données projet'!$A$62,'Données projet'!$B$62,AI37+AH38-AQ37)))</f>
        <v>293.39285714285711</v>
      </c>
      <c r="AJ38" s="13">
        <f>AI38*VLOOKUP('Données projet'!$B$10,Paramètres!$A$1:$I$89,3,0)*VLOOKUP('Données projet'!$B$10,Paramètres!$A$1:$I$89,5,0)</f>
        <v>175.44892857142858</v>
      </c>
      <c r="AK38" s="13">
        <f t="shared" si="35"/>
        <v>44.308152462369684</v>
      </c>
      <c r="AL38" s="20">
        <f t="shared" si="4"/>
        <v>382.7435828005319</v>
      </c>
      <c r="AM38" s="59">
        <f t="shared" si="5"/>
        <v>676.07691613386521</v>
      </c>
      <c r="AN38" s="59">
        <f ca="1">AVERAGE(OFFSET($AM$3,0,0,'Données projet'!$E$10+1,1))-AVERAGE(OFFSET($H$3,0,0,'Données projet'!$E$10+1,1))</f>
        <v>298.32148815673816</v>
      </c>
      <c r="AO38" s="59">
        <f t="shared" si="36"/>
        <v>303.51754260758827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3.3574868293925682</v>
      </c>
      <c r="AV38" s="21">
        <f>EXP(-LN(2)/25)*AV37+(1-EXP(-LN(2)/25))/(LN(2)/25)*Calculateur!AQ38*Calculateur!AS38*VLOOKUP('Données projet'!$B$10,Paramètres!$A$1:$I$89,3,0)*0.475*44/12</f>
        <v>14.229213517827484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17.586700347220052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11.13142857142857</v>
      </c>
      <c r="BD38" s="12">
        <f>IF('Données projet'!$A$88&gt;35,BD37+BC38-BL37,IF(A38&lt;'Données projet'!$A$88,$BA$205^A38,IF(A38='Données projet'!$A$88,'Données projet'!$B$88,BD37+BC38-BL37)))</f>
        <v>183.98857142857136</v>
      </c>
      <c r="BE38" s="13">
        <f>BD38*VLOOKUP('Données projet'!$B$11,Paramètres!$A$1:$I$89,3,0)*VLOOKUP('Données projet'!$B$11,Paramètres!$A$1:$I$89,5,0)</f>
        <v>105.24146285714282</v>
      </c>
      <c r="BF38" s="13">
        <f t="shared" si="37"/>
        <v>28.206966882592692</v>
      </c>
      <c r="BG38" s="20">
        <f t="shared" si="7"/>
        <v>232.422681796706</v>
      </c>
      <c r="BH38" s="59">
        <f t="shared" si="8"/>
        <v>525.75601513003926</v>
      </c>
      <c r="BI38" s="59">
        <f ca="1">AVERAGE(OFFSET($BH$3,0,0,'Données projet'!$E$11+1,1))-AVERAGE(OFFSET($H$3,0,0,'Données projet'!$E$11+1,1))</f>
        <v>287.9055604128643</v>
      </c>
      <c r="BJ38" s="59">
        <f t="shared" si="38"/>
        <v>197.74605993031139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20.91450689214604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20.91450689214604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86.538461538461533</v>
      </c>
      <c r="BW38" s="12">
        <f>VLOOKUP(A38,'Données projet'!$A$113:$I$133,9,0)</f>
        <v>4.6153846153846132</v>
      </c>
      <c r="BX38" s="12">
        <f t="array" ref="BX38">INDEX(BW:BW,MIN(IF(ISNUMBER(BW38:BW234),ROW(BW38:BW234),"")))</f>
        <v>4.6153846153846132</v>
      </c>
      <c r="BY38" s="12">
        <f>IF('Données projet'!$A$114&gt;35,BY37+BX38-CG37,IF(A38&lt;'Données projet'!$A$114,$BV$205^A38,IF(A38='Données projet'!$A$114,'Données projet'!$B$114,BY37+BX38-CG37)))</f>
        <v>86.538461538461519</v>
      </c>
      <c r="BZ38" s="13">
        <f>BY38*VLOOKUP('Données projet'!$B$12,Paramètres!$A$1:$I$89,3,0)*VLOOKUP('Données projet'!$B$12,Paramètres!$A$1:$I$89,5,0)</f>
        <v>75.599999999999994</v>
      </c>
      <c r="CA38" s="13">
        <f t="shared" si="39"/>
        <v>21.057844937632133</v>
      </c>
      <c r="CB38" s="20">
        <f t="shared" si="10"/>
        <v>168.34574659970926</v>
      </c>
      <c r="CC38" s="59">
        <f t="shared" si="11"/>
        <v>461.67907993304254</v>
      </c>
      <c r="CD38" s="59">
        <f ca="1">AVERAGE(OFFSET($CC$3,0,0,'Données projet'!$E$12+1,1))-AVERAGE(OFFSET($H$3,0,0,'Données projet'!$E$12+1,1))</f>
        <v>201.78062426023638</v>
      </c>
      <c r="CE38" s="59">
        <f t="shared" si="40"/>
        <v>183.0364139873468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12.820512820512819</v>
      </c>
      <c r="CH38" s="16">
        <f>IF(ISNA(VLOOKUP(A38,'Données projet'!$A$113:$I$133,5,0)),0%,VLOOKUP(A38,'Données projet'!$A$113:$I$133,5,0)*VLOOKUP('Données projet'!$B$12,Paramètres!$A$1:$I$89,7,0))</f>
        <v>0.25800000000000001</v>
      </c>
      <c r="CI38" s="16">
        <f>IF(ISNA(VLOOKUP(A38,'Données projet'!$A$113:$I$133,6,0)),0%,VLOOKUP(A38,'Données projet'!$A$113:$I$133,6,0)*VLOOKUP('Données projet'!$B$12,Paramètres!$A$1:$I$89,7,0))</f>
        <v>8.6000000000000007E-2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3.194367208698413</v>
      </c>
      <c r="CL38" s="21">
        <f>EXP(-LN(2)/25)*CL37+(1-EXP(-LN(2)/25))/(LN(2)/25)*Calculateur!CG38*Calculateur!CI38*VLOOKUP('Données projet'!$B$12,Paramètres!$A$1:$I$89,3,0)*0.475*44/12</f>
        <v>7.8143674033375961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11.008734612036008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1.1793599999999997</v>
      </c>
      <c r="D39" s="11">
        <f t="shared" si="32"/>
        <v>0.53316154584450659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0.66097322822068671</v>
      </c>
      <c r="H39" s="67">
        <f t="shared" si="1"/>
        <v>259.64930835901254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16.701250000000002</v>
      </c>
      <c r="N39" s="13">
        <f>IF('Données projet'!$A$36&gt;35,N38+M39-V38,IF(A39&lt;'Données projet'!$A$36,$K$205^A39,IF(A39='Données projet'!$A$36,'Données projet'!$B$36,N38+M39-V38)))</f>
        <v>217.03375000000005</v>
      </c>
      <c r="O39" s="13">
        <f>N39*VLOOKUP('Données projet'!$B$9,Paramètres!$A$1:$I$89,3,0)*VLOOKUP('Données projet'!$B$9,Paramètres!$A$1:$I$89,5,0)</f>
        <v>129.78618250000005</v>
      </c>
      <c r="P39" s="13">
        <f t="shared" si="33"/>
        <v>33.946947653586037</v>
      </c>
      <c r="Q39" s="20">
        <f t="shared" si="53"/>
        <v>285.1685350174958</v>
      </c>
      <c r="R39" s="59">
        <f t="shared" si="0"/>
        <v>578.50186835082911</v>
      </c>
      <c r="S39" s="59">
        <f ca="1">AVERAGE(OFFSET($R$3,0,0,'Données projet'!$E$9+1,1))-AVERAGE(OFFSET($H$3,0,0,'Données projet'!$E$9+1,1))</f>
        <v>346.2919953121168</v>
      </c>
      <c r="T39" s="59">
        <f t="shared" si="34"/>
        <v>255.63939678041237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5.9396298937949723</v>
      </c>
      <c r="AA39" s="21">
        <f>EXP(-LN(2)/25)*AA38+(1-EXP(-LN(2)/25))/(LN(2)/25)*Calculateur!V39*Calculateur!X39*VLOOKUP('Données projet'!$B$9,Paramètres!$A$1:$I$89,3,0)*0.475*44/12</f>
        <v>17.496567653344702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23.436197547139674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311.13</v>
      </c>
      <c r="AG39" s="12">
        <f>VLOOKUP(A39,'Données projet'!$A$61:$I$81,9,0)</f>
        <v>17.737142857142853</v>
      </c>
      <c r="AH39" s="12">
        <f t="array" ref="AH39">INDEX(AG:AG,MIN(IF(ISNUMBER(AG39:AG235),ROW(AG39:AG235),"")))</f>
        <v>17.737142857142853</v>
      </c>
      <c r="AI39" s="13">
        <f>IF('Données projet'!$A$62&gt;35,AI38+AH39-AQ38,IF(A39&lt;'Données projet'!$A$62,$AF$205^A39,IF(A39='Données projet'!$A$62,'Données projet'!$B$62,AI38+AH39-AQ38)))</f>
        <v>311.12999999999994</v>
      </c>
      <c r="AJ39" s="13">
        <f>AI39*VLOOKUP('Données projet'!$B$10,Paramètres!$A$1:$I$89,3,0)*VLOOKUP('Données projet'!$B$10,Paramètres!$A$1:$I$89,5,0)</f>
        <v>186.05573999999996</v>
      </c>
      <c r="AK39" s="13">
        <f t="shared" si="35"/>
        <v>46.66687117215772</v>
      </c>
      <c r="AL39" s="20">
        <f t="shared" si="4"/>
        <v>405.32521445817457</v>
      </c>
      <c r="AM39" s="59">
        <f t="shared" si="5"/>
        <v>698.65854779150789</v>
      </c>
      <c r="AN39" s="59">
        <f ca="1">AVERAGE(OFFSET($AM$3,0,0,'Données projet'!$E$10+1,1))-AVERAGE(OFFSET($H$3,0,0,'Données projet'!$E$10+1,1))</f>
        <v>298.32148815673816</v>
      </c>
      <c r="AO39" s="59">
        <f t="shared" si="36"/>
        <v>303.51754260758827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76.069999999999993</v>
      </c>
      <c r="AR39" s="16">
        <f>IF(ISNA(VLOOKUP(A39,'Données projet'!$A$61:$I$81,5,0)),0%,VLOOKUP(A39,'Données projet'!$A$61:$I$81,5,0)*VLOOKUP('Données projet'!$B$10,Paramètres!$A$1:$I$89,7,0))</f>
        <v>9.0000000000000011E-2</v>
      </c>
      <c r="AS39" s="16">
        <f>IF(ISNA(VLOOKUP(A39,'Données projet'!$A$61:$I$81,6,0)),0%,VLOOKUP(A39,'Données projet'!$A$61:$I$81,6,0)*VLOOKUP('Données projet'!$B$10,Paramètres!$A$1:$I$89,7,0))</f>
        <v>0.22500000000000001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8.7227193828358196</v>
      </c>
      <c r="AV39" s="21">
        <f>EXP(-LN(2)/25)*AV38+(1-EXP(-LN(2)/25))/(LN(2)/25)*Calculateur!AQ39*Calculateur!AS39*VLOOKUP('Données projet'!$B$10,Paramètres!$A$1:$I$89,3,0)*0.475*44/12</f>
        <v>27.364331493588807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36.087050876424627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195.12</v>
      </c>
      <c r="BB39" s="12">
        <f>VLOOKUP(A39,'Données projet'!$A$87:$I$107,9,0)</f>
        <v>11.13142857142857</v>
      </c>
      <c r="BC39" s="12">
        <f t="array" ref="BC39">INDEX(BB:BB,MIN(IF(ISNUMBER(BB39:BB235),ROW(BB39:BB235),"")))</f>
        <v>11.13142857142857</v>
      </c>
      <c r="BD39" s="12">
        <f>IF('Données projet'!$A$88&gt;35,BD38+BC39-BL38,IF(A39&lt;'Données projet'!$A$88,$BA$205^A39,IF(A39='Données projet'!$A$88,'Données projet'!$B$88,BD38+BC39-BL38)))</f>
        <v>195.11999999999992</v>
      </c>
      <c r="BE39" s="13">
        <f>BD39*VLOOKUP('Données projet'!$B$11,Paramètres!$A$1:$I$89,3,0)*VLOOKUP('Données projet'!$B$11,Paramètres!$A$1:$I$89,5,0)</f>
        <v>111.60863999999995</v>
      </c>
      <c r="BF39" s="13">
        <f t="shared" si="37"/>
        <v>29.709671865345815</v>
      </c>
      <c r="BG39" s="20">
        <f t="shared" si="7"/>
        <v>246.12939316547718</v>
      </c>
      <c r="BH39" s="59">
        <f t="shared" si="8"/>
        <v>539.46272649881053</v>
      </c>
      <c r="BI39" s="59">
        <f ca="1">AVERAGE(OFFSET($BH$3,0,0,'Données projet'!$E$11+1,1))-AVERAGE(OFFSET($H$3,0,0,'Données projet'!$E$11+1,1))</f>
        <v>287.9055604128643</v>
      </c>
      <c r="BJ39" s="59">
        <f t="shared" si="38"/>
        <v>197.74605993031139</v>
      </c>
      <c r="BK39" s="15">
        <f>IF(ISNA(VLOOKUP(A39,'Données projet'!$A$87:$I$107,3,0)),0,VLOOKUP(A39,'Données projet'!$A$87:$I$107,3,0))</f>
        <v>3</v>
      </c>
      <c r="BL39" s="15">
        <f>IF(ISNA(VLOOKUP(A39,'Données projet'!$A$87:$I$107,4,0)),0,VLOOKUP(A39,'Données projet'!$A$87:$I$107,4,0))</f>
        <v>41.46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0.45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34.443693606186358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34.443693606186358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4.4871794871794863</v>
      </c>
      <c r="BY39" s="12">
        <f>IF('Données projet'!$A$114&gt;35,BY38+BX39-CG38,IF(A39&lt;'Données projet'!$A$114,$BV$205^A39,IF(A39='Données projet'!$A$114,'Données projet'!$B$114,BY38+BX39-CG38)))</f>
        <v>78.20512820512819</v>
      </c>
      <c r="BZ39" s="13">
        <f>BY39*VLOOKUP('Données projet'!$B$12,Paramètres!$A$1:$I$89,3,0)*VLOOKUP('Données projet'!$B$12,Paramètres!$A$1:$I$89,5,0)</f>
        <v>68.319999999999993</v>
      </c>
      <c r="CA39" s="13">
        <f t="shared" si="39"/>
        <v>19.255666339544923</v>
      </c>
      <c r="CB39" s="20">
        <f t="shared" si="10"/>
        <v>152.52761887470737</v>
      </c>
      <c r="CC39" s="59">
        <f t="shared" si="11"/>
        <v>445.86095220804066</v>
      </c>
      <c r="CD39" s="59">
        <f ca="1">AVERAGE(OFFSET($CC$3,0,0,'Données projet'!$E$12+1,1))-AVERAGE(OFFSET($H$3,0,0,'Données projet'!$E$12+1,1))</f>
        <v>201.78062426023638</v>
      </c>
      <c r="CE39" s="59">
        <f t="shared" si="40"/>
        <v>183.0364139873468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3.1317276161074488</v>
      </c>
      <c r="CL39" s="21">
        <f>EXP(-LN(2)/25)*CL38+(1-EXP(-LN(2)/25))/(LN(2)/25)*Calculateur!CG39*Calculateur!CI39*VLOOKUP('Données projet'!$B$12,Paramètres!$A$1:$I$89,3,0)*0.475*44/12</f>
        <v>7.6006831157536077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10.732410731861057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1.2121199999999996</v>
      </c>
      <c r="D40" s="11">
        <f t="shared" si="32"/>
        <v>0.54622675936783049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0.67866015273846081</v>
      </c>
      <c r="H40" s="67">
        <f t="shared" si="1"/>
        <v>259.72912060589897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16.701250000000002</v>
      </c>
      <c r="N40" s="13">
        <f>IF('Données projet'!$A$36&gt;35,N39+M40-V39,IF(A40&lt;'Données projet'!$A$36,$K$205^A40,IF(A40='Données projet'!$A$36,'Données projet'!$B$36,N39+M40-V39)))</f>
        <v>233.73500000000007</v>
      </c>
      <c r="O40" s="13">
        <f>N40*VLOOKUP('Données projet'!$B$9,Paramètres!$A$1:$I$89,3,0)*VLOOKUP('Données projet'!$B$9,Paramètres!$A$1:$I$89,5,0)</f>
        <v>139.77353000000005</v>
      </c>
      <c r="P40" s="13">
        <f t="shared" si="33"/>
        <v>36.245119510821418</v>
      </c>
      <c r="Q40" s="20">
        <f t="shared" si="53"/>
        <v>306.56581456468069</v>
      </c>
      <c r="R40" s="59">
        <f t="shared" si="0"/>
        <v>599.89914789801401</v>
      </c>
      <c r="S40" s="59">
        <f ca="1">AVERAGE(OFFSET($R$3,0,0,'Données projet'!$E$9+1,1))-AVERAGE(OFFSET($H$3,0,0,'Données projet'!$E$9+1,1))</f>
        <v>346.2919953121168</v>
      </c>
      <c r="T40" s="59">
        <f t="shared" si="34"/>
        <v>255.63939678041237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5.8231573743941647</v>
      </c>
      <c r="AA40" s="21">
        <f>EXP(-LN(2)/25)*AA39+(1-EXP(-LN(2)/25))/(LN(2)/25)*Calculateur!V40*Calculateur!X40*VLOOKUP('Données projet'!$B$9,Paramètres!$A$1:$I$89,3,0)*0.475*44/12</f>
        <v>17.018123090759488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22.841280465153652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16.536250000000003</v>
      </c>
      <c r="AI40" s="13">
        <f>IF('Données projet'!$A$62&gt;35,AI39+AH40-AQ39,IF(A40&lt;'Données projet'!$A$62,$AF$205^A40,IF(A40='Données projet'!$A$62,'Données projet'!$B$62,AI39+AH40-AQ39)))</f>
        <v>251.59624999999994</v>
      </c>
      <c r="AJ40" s="13">
        <f>AI40*VLOOKUP('Données projet'!$B$10,Paramètres!$A$1:$I$89,3,0)*VLOOKUP('Données projet'!$B$10,Paramètres!$A$1:$I$89,5,0)</f>
        <v>150.45455749999999</v>
      </c>
      <c r="AK40" s="13">
        <f t="shared" si="35"/>
        <v>38.681867245543785</v>
      </c>
      <c r="AL40" s="20">
        <f t="shared" si="4"/>
        <v>329.4126064318221</v>
      </c>
      <c r="AM40" s="59">
        <f t="shared" si="5"/>
        <v>622.74593976515541</v>
      </c>
      <c r="AN40" s="59">
        <f ca="1">AVERAGE(OFFSET($AM$3,0,0,'Données projet'!$E$10+1,1))-AVERAGE(OFFSET($H$3,0,0,'Données projet'!$E$10+1,1))</f>
        <v>298.32148815673816</v>
      </c>
      <c r="AO40" s="59">
        <f t="shared" si="36"/>
        <v>303.51754260758827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8.551672176071893</v>
      </c>
      <c r="AV40" s="21">
        <f>EXP(-LN(2)/25)*AV39+(1-EXP(-LN(2)/25))/(LN(2)/25)*Calculateur!AQ40*Calculateur!AS40*VLOOKUP('Données projet'!$B$10,Paramètres!$A$1:$I$89,3,0)*0.475*44/12</f>
        <v>26.616052409868971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35.16772458594086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10.578749999999999</v>
      </c>
      <c r="BD40" s="12">
        <f>IF('Données projet'!$A$88&gt;35,BD39+BC40-BL39,IF(A40&lt;'Données projet'!$A$88,$BA$205^A40,IF(A40='Données projet'!$A$88,'Données projet'!$B$88,BD39+BC40-BL39)))</f>
        <v>164.2387499999999</v>
      </c>
      <c r="BE40" s="13">
        <f>BD40*VLOOKUP('Données projet'!$B$11,Paramètres!$A$1:$I$89,3,0)*VLOOKUP('Données projet'!$B$11,Paramètres!$A$1:$I$89,5,0)</f>
        <v>93.944564999999955</v>
      </c>
      <c r="BF40" s="13">
        <f t="shared" si="37"/>
        <v>25.514171091979271</v>
      </c>
      <c r="BG40" s="20">
        <f t="shared" si="7"/>
        <v>208.05729869353047</v>
      </c>
      <c r="BH40" s="59">
        <f t="shared" si="8"/>
        <v>501.39063202686378</v>
      </c>
      <c r="BI40" s="59">
        <f ca="1">AVERAGE(OFFSET($BH$3,0,0,'Données projet'!$E$11+1,1))-AVERAGE(OFFSET($H$3,0,0,'Données projet'!$E$11+1,1))</f>
        <v>287.9055604128643</v>
      </c>
      <c r="BJ40" s="59">
        <f t="shared" si="38"/>
        <v>197.74605993031139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33.501828993210069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33.501828993210069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4.4871794871794863</v>
      </c>
      <c r="BY40" s="12">
        <f>IF('Données projet'!$A$114&gt;35,BY39+BX40-CG39,IF(A40&lt;'Données projet'!$A$114,$BV$205^A40,IF(A40='Données projet'!$A$114,'Données projet'!$B$114,BY39+BX40-CG39)))</f>
        <v>82.692307692307679</v>
      </c>
      <c r="BZ40" s="13">
        <f>BY40*VLOOKUP('Données projet'!$B$12,Paramètres!$A$1:$I$89,3,0)*VLOOKUP('Données projet'!$B$12,Paramètres!$A$1:$I$89,5,0)</f>
        <v>72.239999999999995</v>
      </c>
      <c r="CA40" s="13">
        <f t="shared" si="39"/>
        <v>20.228704652038434</v>
      </c>
      <c r="CB40" s="20">
        <f t="shared" si="10"/>
        <v>161.04966060230026</v>
      </c>
      <c r="CC40" s="59">
        <f t="shared" si="11"/>
        <v>454.38299393563358</v>
      </c>
      <c r="CD40" s="59">
        <f ca="1">AVERAGE(OFFSET($CC$3,0,0,'Données projet'!$E$12+1,1))-AVERAGE(OFFSET($H$3,0,0,'Données projet'!$E$12+1,1))</f>
        <v>201.78062426023638</v>
      </c>
      <c r="CE40" s="59">
        <f t="shared" si="40"/>
        <v>183.0364139873468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3.0703163477208144</v>
      </c>
      <c r="CL40" s="21">
        <f>EXP(-LN(2)/25)*CL39+(1-EXP(-LN(2)/25))/(LN(2)/25)*Calculateur!CG40*Calculateur!CI40*VLOOKUP('Données projet'!$B$12,Paramètres!$A$1:$I$89,3,0)*0.475*44/12</f>
        <v>7.3928420362507721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10.463158383971587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1.2448799999999995</v>
      </c>
      <c r="D41" s="11">
        <f t="shared" si="32"/>
        <v>0.55925092974078117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0.69633123604030134</v>
      </c>
      <c r="H41" s="67">
        <f t="shared" si="1"/>
        <v>259.80886136929854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16.701250000000002</v>
      </c>
      <c r="N41" s="13">
        <f>IF('Données projet'!$A$36&gt;35,N40+M41-V40,IF(A41&lt;'Données projet'!$A$36,$K$205^A41,IF(A41='Données projet'!$A$36,'Données projet'!$B$36,N40+M41-V40)))</f>
        <v>250.43625000000009</v>
      </c>
      <c r="O41" s="13">
        <f>N41*VLOOKUP('Données projet'!$B$9,Paramètres!$A$1:$I$89,3,0)*VLOOKUP('Données projet'!$B$9,Paramètres!$A$1:$I$89,5,0)</f>
        <v>149.76087750000008</v>
      </c>
      <c r="P41" s="13">
        <f t="shared" si="33"/>
        <v>38.524239129902824</v>
      </c>
      <c r="Q41" s="20">
        <f t="shared" si="53"/>
        <v>327.9299114637476</v>
      </c>
      <c r="R41" s="59">
        <f t="shared" si="0"/>
        <v>621.26324479708092</v>
      </c>
      <c r="S41" s="59">
        <f ca="1">AVERAGE(OFFSET($R$3,0,0,'Données projet'!$E$9+1,1))-AVERAGE(OFFSET($H$3,0,0,'Données projet'!$E$9+1,1))</f>
        <v>346.2919953121168</v>
      </c>
      <c r="T41" s="59">
        <f t="shared" si="34"/>
        <v>255.63939678041237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5.7089688100575851</v>
      </c>
      <c r="AA41" s="21">
        <f>EXP(-LN(2)/25)*AA40+(1-EXP(-LN(2)/25))/(LN(2)/25)*Calculateur!V41*Calculateur!X41*VLOOKUP('Données projet'!$B$9,Paramètres!$A$1:$I$89,3,0)*0.475*44/12</f>
        <v>16.552761619898472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22.261730429956057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16.536250000000003</v>
      </c>
      <c r="AI41" s="13">
        <f>IF('Données projet'!$A$62&gt;35,AI40+AH41-AQ40,IF(A41&lt;'Données projet'!$A$62,$AF$205^A41,IF(A41='Données projet'!$A$62,'Données projet'!$B$62,AI40+AH41-AQ40)))</f>
        <v>268.13249999999994</v>
      </c>
      <c r="AJ41" s="13">
        <f>AI41*VLOOKUP('Données projet'!$B$10,Paramètres!$A$1:$I$89,3,0)*VLOOKUP('Données projet'!$B$10,Paramètres!$A$1:$I$89,5,0)</f>
        <v>160.34323499999996</v>
      </c>
      <c r="AK41" s="13">
        <f t="shared" si="35"/>
        <v>40.919923361013716</v>
      </c>
      <c r="AL41" s="20">
        <f t="shared" si="4"/>
        <v>350.53333414543209</v>
      </c>
      <c r="AM41" s="59">
        <f t="shared" si="5"/>
        <v>643.86666747876541</v>
      </c>
      <c r="AN41" s="59">
        <f ca="1">AVERAGE(OFFSET($AM$3,0,0,'Données projet'!$E$10+1,1))-AVERAGE(OFFSET($H$3,0,0,'Données projet'!$E$10+1,1))</f>
        <v>298.32148815673816</v>
      </c>
      <c r="AO41" s="59">
        <f t="shared" si="36"/>
        <v>303.51754260758827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8.3839791007041136</v>
      </c>
      <c r="AV41" s="21">
        <f>EXP(-LN(2)/25)*AV40+(1-EXP(-LN(2)/25))/(LN(2)/25)*Calculateur!AQ41*Calculateur!AS41*VLOOKUP('Données projet'!$B$10,Paramètres!$A$1:$I$89,3,0)*0.475*44/12</f>
        <v>25.88823505704374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34.272214157747854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10.578749999999999</v>
      </c>
      <c r="BD41" s="12">
        <f>IF('Données projet'!$A$88&gt;35,BD40+BC41-BL40,IF(A41&lt;'Données projet'!$A$88,$BA$205^A41,IF(A41='Données projet'!$A$88,'Données projet'!$B$88,BD40+BC41-BL40)))</f>
        <v>174.81749999999988</v>
      </c>
      <c r="BE41" s="13">
        <f>BD41*VLOOKUP('Données projet'!$B$11,Paramètres!$A$1:$I$89,3,0)*VLOOKUP('Données projet'!$B$11,Paramètres!$A$1:$I$89,5,0)</f>
        <v>99.995609999999942</v>
      </c>
      <c r="BF41" s="13">
        <f t="shared" si="37"/>
        <v>26.960951688715411</v>
      </c>
      <c r="BG41" s="20">
        <f t="shared" si="7"/>
        <v>221.11601160784588</v>
      </c>
      <c r="BH41" s="59">
        <f t="shared" si="8"/>
        <v>514.44934494117922</v>
      </c>
      <c r="BI41" s="59">
        <f ca="1">AVERAGE(OFFSET($BH$3,0,0,'Données projet'!$E$11+1,1))-AVERAGE(OFFSET($H$3,0,0,'Données projet'!$E$11+1,1))</f>
        <v>287.9055604128643</v>
      </c>
      <c r="BJ41" s="59">
        <f t="shared" si="38"/>
        <v>197.74605993031139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32.585719717606125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32.585719717606125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4.4871794871794863</v>
      </c>
      <c r="BY41" s="12">
        <f>IF('Données projet'!$A$114&gt;35,BY40+BX41-CG40,IF(A41&lt;'Données projet'!$A$114,$BV$205^A41,IF(A41='Données projet'!$A$114,'Données projet'!$B$114,BY40+BX41-CG40)))</f>
        <v>87.179487179487168</v>
      </c>
      <c r="BZ41" s="13">
        <f>BY41*VLOOKUP('Données projet'!$B$12,Paramètres!$A$1:$I$89,3,0)*VLOOKUP('Données projet'!$B$12,Paramètres!$A$1:$I$89,5,0)</f>
        <v>76.16</v>
      </c>
      <c r="CA41" s="13">
        <f t="shared" si="39"/>
        <v>21.195613176537421</v>
      </c>
      <c r="CB41" s="20">
        <f t="shared" si="10"/>
        <v>169.56102628246933</v>
      </c>
      <c r="CC41" s="59">
        <f t="shared" si="11"/>
        <v>462.89435961580261</v>
      </c>
      <c r="CD41" s="59">
        <f ca="1">AVERAGE(OFFSET($CC$3,0,0,'Données projet'!$E$12+1,1))-AVERAGE(OFFSET($H$3,0,0,'Données projet'!$E$12+1,1))</f>
        <v>201.78062426023638</v>
      </c>
      <c r="CE41" s="59">
        <f t="shared" si="40"/>
        <v>183.0364139873468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3.010109316850067</v>
      </c>
      <c r="CL41" s="21">
        <f>EXP(-LN(2)/25)*CL40+(1-EXP(-LN(2)/25))/(LN(2)/25)*Calculateur!CG41*Calculateur!CI41*VLOOKUP('Données projet'!$B$12,Paramètres!$A$1:$I$89,3,0)*0.475*44/12</f>
        <v>7.1906843819968289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10.200793698846896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1.2776399999999994</v>
      </c>
      <c r="D42" s="11">
        <f t="shared" si="32"/>
        <v>0.57223526120437562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0.71398694292098686</v>
      </c>
      <c r="H42" s="67">
        <f t="shared" si="1"/>
        <v>259.88853274659766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16.701250000000002</v>
      </c>
      <c r="N42" s="13">
        <f>IF('Données projet'!$A$36&gt;35,N41+M42-V41,IF(A42&lt;'Données projet'!$A$36,$K$205^A42,IF(A42='Données projet'!$A$36,'Données projet'!$B$36,N41+M42-V41)))</f>
        <v>267.1375000000001</v>
      </c>
      <c r="O42" s="13">
        <f>N42*VLOOKUP('Données projet'!$B$9,Paramètres!$A$1:$I$89,3,0)*VLOOKUP('Données projet'!$B$9,Paramètres!$A$1:$I$89,5,0)</f>
        <v>159.74822500000008</v>
      </c>
      <c r="P42" s="13">
        <f t="shared" si="33"/>
        <v>40.785721648734771</v>
      </c>
      <c r="Q42" s="20">
        <f t="shared" si="53"/>
        <v>349.26329041321316</v>
      </c>
      <c r="R42" s="59">
        <f t="shared" si="0"/>
        <v>642.59662374654647</v>
      </c>
      <c r="S42" s="59">
        <f ca="1">AVERAGE(OFFSET($R$3,0,0,'Données projet'!$E$9+1,1))-AVERAGE(OFFSET($H$3,0,0,'Données projet'!$E$9+1,1))</f>
        <v>346.2919953121168</v>
      </c>
      <c r="T42" s="59">
        <f t="shared" si="34"/>
        <v>255.63939678041237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5.5970194138194982</v>
      </c>
      <c r="AA42" s="21">
        <f>EXP(-LN(2)/25)*AA41+(1-EXP(-LN(2)/25))/(LN(2)/25)*Calculateur!V42*Calculateur!X42*VLOOKUP('Données projet'!$B$9,Paramètres!$A$1:$I$89,3,0)*0.475*44/12</f>
        <v>16.100125482930448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21.697144896749947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16.536250000000003</v>
      </c>
      <c r="AI42" s="13">
        <f>IF('Données projet'!$A$62&gt;35,AI41+AH42-AQ41,IF(A42&lt;'Données projet'!$A$62,$AF$205^A42,IF(A42='Données projet'!$A$62,'Données projet'!$B$62,AI41+AH42-AQ41)))</f>
        <v>284.66874999999993</v>
      </c>
      <c r="AJ42" s="13">
        <f>AI42*VLOOKUP('Données projet'!$B$10,Paramètres!$A$1:$I$89,3,0)*VLOOKUP('Données projet'!$B$10,Paramètres!$A$1:$I$89,5,0)</f>
        <v>170.23191249999999</v>
      </c>
      <c r="AK42" s="13">
        <f t="shared" si="35"/>
        <v>43.141960148805921</v>
      </c>
      <c r="AL42" s="20">
        <f t="shared" si="4"/>
        <v>371.62616153000363</v>
      </c>
      <c r="AM42" s="59">
        <f t="shared" si="5"/>
        <v>664.95949486333689</v>
      </c>
      <c r="AN42" s="59">
        <f ca="1">AVERAGE(OFFSET($AM$3,0,0,'Données projet'!$E$10+1,1))-AVERAGE(OFFSET($H$3,0,0,'Données projet'!$E$10+1,1))</f>
        <v>298.32148815673816</v>
      </c>
      <c r="AO42" s="59">
        <f t="shared" si="36"/>
        <v>303.51754260758827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8.2195743842616196</v>
      </c>
      <c r="AV42" s="21">
        <f>EXP(-LN(2)/25)*AV41+(1-EXP(-LN(2)/25))/(LN(2)/25)*Calculateur!AQ42*Calculateur!AS42*VLOOKUP('Données projet'!$B$10,Paramètres!$A$1:$I$89,3,0)*0.475*44/12</f>
        <v>25.180319908005767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33.39989429226739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10.578749999999999</v>
      </c>
      <c r="BD42" s="12">
        <f>IF('Données projet'!$A$88&gt;35,BD41+BC42-BL41,IF(A42&lt;'Données projet'!$A$88,$BA$205^A42,IF(A42='Données projet'!$A$88,'Données projet'!$B$88,BD41+BC42-BL41)))</f>
        <v>185.3962499999999</v>
      </c>
      <c r="BE42" s="13">
        <f>BD42*VLOOKUP('Données projet'!$B$11,Paramètres!$A$1:$I$89,3,0)*VLOOKUP('Données projet'!$B$11,Paramètres!$A$1:$I$89,5,0)</f>
        <v>106.04665499999994</v>
      </c>
      <c r="BF42" s="13">
        <f t="shared" si="37"/>
        <v>28.397570820878183</v>
      </c>
      <c r="BG42" s="20">
        <f t="shared" si="7"/>
        <v>234.15702663802938</v>
      </c>
      <c r="BH42" s="59">
        <f t="shared" si="8"/>
        <v>527.49035997136275</v>
      </c>
      <c r="BI42" s="59">
        <f ca="1">AVERAGE(OFFSET($BH$3,0,0,'Données projet'!$E$11+1,1))-AVERAGE(OFFSET($H$3,0,0,'Données projet'!$E$11+1,1))</f>
        <v>287.9055604128643</v>
      </c>
      <c r="BJ42" s="59">
        <f t="shared" si="38"/>
        <v>197.74605993031139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31.694661498319661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31.694661498319661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4.4871794871794863</v>
      </c>
      <c r="BY42" s="12">
        <f>IF('Données projet'!$A$114&gt;35,BY41+BX42-CG41,IF(A42&lt;'Données projet'!$A$114,$BV$205^A42,IF(A42='Données projet'!$A$114,'Données projet'!$B$114,BY41+BX42-CG41)))</f>
        <v>91.666666666666657</v>
      </c>
      <c r="BZ42" s="13">
        <f>BY42*VLOOKUP('Données projet'!$B$12,Paramètres!$A$1:$I$89,3,0)*VLOOKUP('Données projet'!$B$12,Paramètres!$A$1:$I$89,5,0)</f>
        <v>80.080000000000013</v>
      </c>
      <c r="CA42" s="13">
        <f t="shared" si="39"/>
        <v>22.156743406564654</v>
      </c>
      <c r="CB42" s="20">
        <f t="shared" si="10"/>
        <v>178.06232809976677</v>
      </c>
      <c r="CC42" s="59">
        <f t="shared" si="11"/>
        <v>471.39566143310009</v>
      </c>
      <c r="CD42" s="59">
        <f ca="1">AVERAGE(OFFSET($CC$3,0,0,'Données projet'!$E$12+1,1))-AVERAGE(OFFSET($H$3,0,0,'Données projet'!$E$12+1,1))</f>
        <v>201.78062426023638</v>
      </c>
      <c r="CE42" s="59">
        <f t="shared" si="40"/>
        <v>183.0364139873468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2.9510829091320319</v>
      </c>
      <c r="CL42" s="21">
        <f>EXP(-LN(2)/25)*CL41+(1-EXP(-LN(2)/25))/(LN(2)/25)*Calculateur!CG42*Calculateur!CI42*VLOOKUP('Données projet'!$B$12,Paramètres!$A$1:$I$89,3,0)*0.475*44/12</f>
        <v>6.9940547394294681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9.9451376485615004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1.3103999999999993</v>
      </c>
      <c r="D43" s="11">
        <f t="shared" si="32"/>
        <v>0.5851808927253338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0.73162771298170759</v>
      </c>
      <c r="H43" s="67">
        <f t="shared" si="1"/>
        <v>259.96813672149665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16.701250000000002</v>
      </c>
      <c r="N43" s="13">
        <f>IF('Données projet'!$A$36&gt;35,N42+M43-V42,IF(A43&lt;'Données projet'!$A$36,$K$205^A43,IF(A43='Données projet'!$A$36,'Données projet'!$B$36,N42+M43-V42)))</f>
        <v>283.83875000000012</v>
      </c>
      <c r="O43" s="13">
        <f>N43*VLOOKUP('Données projet'!$B$9,Paramètres!$A$1:$I$89,3,0)*VLOOKUP('Données projet'!$B$9,Paramètres!$A$1:$I$89,5,0)</f>
        <v>169.73557250000007</v>
      </c>
      <c r="P43" s="13">
        <f t="shared" si="33"/>
        <v>43.030795257249402</v>
      </c>
      <c r="Q43" s="20">
        <f t="shared" si="53"/>
        <v>370.56809051054279</v>
      </c>
      <c r="R43" s="59">
        <f t="shared" si="0"/>
        <v>663.90142384387605</v>
      </c>
      <c r="S43" s="59">
        <f ca="1">AVERAGE(OFFSET($R$3,0,0,'Données projet'!$E$9+1,1))-AVERAGE(OFFSET($H$3,0,0,'Données projet'!$E$9+1,1))</f>
        <v>346.2919953121168</v>
      </c>
      <c r="T43" s="59">
        <f t="shared" si="34"/>
        <v>255.63939678041237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5.4872652769592509</v>
      </c>
      <c r="AA43" s="21">
        <f>EXP(-LN(2)/25)*AA42+(1-EXP(-LN(2)/25))/(LN(2)/25)*Calculateur!V43*Calculateur!X43*VLOOKUP('Données projet'!$B$9,Paramètres!$A$1:$I$89,3,0)*0.475*44/12</f>
        <v>15.659866704930913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21.147131981890162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16.536250000000003</v>
      </c>
      <c r="AI43" s="13">
        <f>IF('Données projet'!$A$62&gt;35,AI42+AH43-AQ42,IF(A43&lt;'Données projet'!$A$62,$AF$205^A43,IF(A43='Données projet'!$A$62,'Données projet'!$B$62,AI42+AH43-AQ42)))</f>
        <v>301.20499999999993</v>
      </c>
      <c r="AJ43" s="13">
        <f>AI43*VLOOKUP('Données projet'!$B$10,Paramètres!$A$1:$I$89,3,0)*VLOOKUP('Données projet'!$B$10,Paramètres!$A$1:$I$89,5,0)</f>
        <v>180.12058999999999</v>
      </c>
      <c r="AK43" s="13">
        <f t="shared" si="35"/>
        <v>45.349014174000445</v>
      </c>
      <c r="AL43" s="20">
        <f t="shared" si="4"/>
        <v>392.69289393638411</v>
      </c>
      <c r="AM43" s="59">
        <f t="shared" si="5"/>
        <v>686.02622726971742</v>
      </c>
      <c r="AN43" s="59">
        <f ca="1">AVERAGE(OFFSET($AM$3,0,0,'Données projet'!$E$10+1,1))-AVERAGE(OFFSET($H$3,0,0,'Données projet'!$E$10+1,1))</f>
        <v>298.32148815673816</v>
      </c>
      <c r="AO43" s="59">
        <f t="shared" si="36"/>
        <v>303.51754260758827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8.0583935440315866</v>
      </c>
      <c r="AV43" s="21">
        <f>EXP(-LN(2)/25)*AV42+(1-EXP(-LN(2)/25))/(LN(2)/25)*Calculateur!AQ43*Calculateur!AS43*VLOOKUP('Données projet'!$B$10,Paramètres!$A$1:$I$89,3,0)*0.475*44/12</f>
        <v>24.491762735945876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32.550156279977465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10.578749999999999</v>
      </c>
      <c r="BD43" s="12">
        <f>IF('Données projet'!$A$88&gt;35,BD42+BC43-BL42,IF(A43&lt;'Données projet'!$A$88,$BA$205^A43,IF(A43='Données projet'!$A$88,'Données projet'!$B$88,BD42+BC43-BL42)))</f>
        <v>195.97499999999991</v>
      </c>
      <c r="BE43" s="13">
        <f>BD43*VLOOKUP('Données projet'!$B$11,Paramètres!$A$1:$I$89,3,0)*VLOOKUP('Données projet'!$B$11,Paramètres!$A$1:$I$89,5,0)</f>
        <v>112.09769999999995</v>
      </c>
      <c r="BF43" s="13">
        <f t="shared" si="37"/>
        <v>29.824674369942432</v>
      </c>
      <c r="BG43" s="20">
        <f t="shared" si="7"/>
        <v>247.18146869431629</v>
      </c>
      <c r="BH43" s="59">
        <f t="shared" si="8"/>
        <v>540.51480202764958</v>
      </c>
      <c r="BI43" s="59">
        <f ca="1">AVERAGE(OFFSET($BH$3,0,0,'Données projet'!$E$11+1,1))-AVERAGE(OFFSET($H$3,0,0,'Données projet'!$E$11+1,1))</f>
        <v>287.9055604128643</v>
      </c>
      <c r="BJ43" s="59">
        <f t="shared" si="38"/>
        <v>197.74605993031139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30.827969312898301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30.827969312898301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96.153846153846146</v>
      </c>
      <c r="BW43" s="12">
        <f>VLOOKUP(A43,'Données projet'!$A$113:$I$133,9,0)</f>
        <v>4.4871794871794863</v>
      </c>
      <c r="BX43" s="12">
        <f t="array" ref="BX43">INDEX(BW:BW,MIN(IF(ISNUMBER(BW43:BW239),ROW(BW43:BW239),"")))</f>
        <v>4.4871794871794863</v>
      </c>
      <c r="BY43" s="12">
        <f>IF('Données projet'!$A$114&gt;35,BY42+BX43-CG42,IF(A43&lt;'Données projet'!$A$114,$BV$205^A43,IF(A43='Données projet'!$A$114,'Données projet'!$B$114,BY42+BX43-CG42)))</f>
        <v>96.153846153846146</v>
      </c>
      <c r="BZ43" s="13">
        <f>BY43*VLOOKUP('Données projet'!$B$12,Paramètres!$A$1:$I$89,3,0)*VLOOKUP('Données projet'!$B$12,Paramètres!$A$1:$I$89,5,0)</f>
        <v>84</v>
      </c>
      <c r="CA43" s="13">
        <f t="shared" si="39"/>
        <v>23.112410479560449</v>
      </c>
      <c r="CB43" s="20">
        <f t="shared" si="10"/>
        <v>186.55411491856776</v>
      </c>
      <c r="CC43" s="59">
        <f t="shared" si="11"/>
        <v>479.88744825190111</v>
      </c>
      <c r="CD43" s="59">
        <f ca="1">AVERAGE(OFFSET($CC$3,0,0,'Données projet'!$E$12+1,1))-AVERAGE(OFFSET($H$3,0,0,'Données projet'!$E$12+1,1))</f>
        <v>201.78062426023638</v>
      </c>
      <c r="CE43" s="59">
        <f t="shared" si="40"/>
        <v>183.0364139873468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12.820512820512819</v>
      </c>
      <c r="CH43" s="16">
        <f>IF(ISNA(VLOOKUP(A43,'Données projet'!$A$113:$I$133,5,0)),0%,VLOOKUP(A43,'Données projet'!$A$113:$I$133,5,0)*VLOOKUP('Données projet'!$B$12,Paramètres!$A$1:$I$89,7,0))</f>
        <v>0.25800000000000001</v>
      </c>
      <c r="CI43" s="16">
        <f>IF(ISNA(VLOOKUP(A43,'Données projet'!$A$113:$I$133,6,0)),0%,VLOOKUP(A43,'Données projet'!$A$113:$I$133,6,0)*VLOOKUP('Données projet'!$B$12,Paramètres!$A$1:$I$89,7,0))</f>
        <v>8.6000000000000007E-2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6.0875811819652066</v>
      </c>
      <c r="CL43" s="21">
        <f>EXP(-LN(2)/25)*CL42+(1-EXP(-LN(2)/25))/(LN(2)/25)*Calculateur!CG43*Calculateur!CI43*VLOOKUP('Données projet'!$B$12,Paramètres!$A$1:$I$89,3,0)*0.475*44/12</f>
        <v>7.8633985340612282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13.950979716026435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1.3431599999999992</v>
      </c>
      <c r="D44" s="11">
        <f t="shared" si="32"/>
        <v>0.59808890307634088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0.74925396259086818</v>
      </c>
      <c r="H44" s="67">
        <f t="shared" si="1"/>
        <v>260.04767517285796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300.54000000000002</v>
      </c>
      <c r="L44" s="12">
        <f>VLOOKUP(A44,'Données projet'!$A$35:$I$55,9,0)</f>
        <v>16.701250000000002</v>
      </c>
      <c r="M44" s="12">
        <f t="array" ref="M44">INDEX(L:L,MIN(IF(ISNUMBER(L44:L240),ROW(L44:L240),"")))</f>
        <v>16.701250000000002</v>
      </c>
      <c r="N44" s="13">
        <f>IF('Données projet'!$A$36&gt;35,N43+M44-V43,IF(A44&lt;'Données projet'!$A$36,$K$205^A44,IF(A44='Données projet'!$A$36,'Données projet'!$B$36,N43+M44-V43)))</f>
        <v>300.54000000000013</v>
      </c>
      <c r="O44" s="13">
        <f>N44*VLOOKUP('Données projet'!$B$9,Paramètres!$A$1:$I$89,3,0)*VLOOKUP('Données projet'!$B$9,Paramètres!$A$1:$I$89,5,0)</f>
        <v>179.72292000000007</v>
      </c>
      <c r="P44" s="13">
        <f t="shared" si="33"/>
        <v>45.260535445550182</v>
      </c>
      <c r="Q44" s="20">
        <f t="shared" si="53"/>
        <v>391.84618490100002</v>
      </c>
      <c r="R44" s="59">
        <f t="shared" si="0"/>
        <v>685.17951823433327</v>
      </c>
      <c r="S44" s="59">
        <f ca="1">AVERAGE(OFFSET($R$3,0,0,'Données projet'!$E$9+1,1))-AVERAGE(OFFSET($H$3,0,0,'Données projet'!$E$9+1,1))</f>
        <v>346.2919953121168</v>
      </c>
      <c r="T44" s="59">
        <f t="shared" si="34"/>
        <v>255.63939678041237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72.13</v>
      </c>
      <c r="W44" s="16">
        <f>IF(ISNA(VLOOKUP(A44,'Données projet'!$A$35:$I$55,5,0)),0%,VLOOKUP(A44,'Données projet'!$A$35:$I$55,5,0)*VLOOKUP('Données projet'!$B$9,Paramètres!$A$1:$I$89,7,0))</f>
        <v>9.0000000000000011E-2</v>
      </c>
      <c r="X44" s="16">
        <f>IF(ISNA(VLOOKUP(A44,'Données projet'!$A$35:$I$55,6,0)),0%,VLOOKUP(A44,'Données projet'!$A$35:$I$55,6,0)*VLOOKUP('Données projet'!$B$9,Paramètres!$A$1:$I$89,7,0))</f>
        <v>0.22500000000000001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10.529435120054785</v>
      </c>
      <c r="AA44" s="21">
        <f>EXP(-LN(2)/25)*AA43+(1-EXP(-LN(2)/25))/(LN(2)/25)*Calculateur!V44*Calculateur!X44*VLOOKUP('Données projet'!$B$9,Paramètres!$A$1:$I$89,3,0)*0.475*44/12</f>
        <v>28.055384712884944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38.584819832939729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16.536250000000003</v>
      </c>
      <c r="AI44" s="13">
        <f>IF('Données projet'!$A$62&gt;35,AI43+AH44-AQ43,IF(A44&lt;'Données projet'!$A$62,$AF$205^A44,IF(A44='Données projet'!$A$62,'Données projet'!$B$62,AI43+AH44-AQ43)))</f>
        <v>317.74124999999992</v>
      </c>
      <c r="AJ44" s="13">
        <f>AI44*VLOOKUP('Données projet'!$B$10,Paramètres!$A$1:$I$89,3,0)*VLOOKUP('Données projet'!$B$10,Paramètres!$A$1:$I$89,5,0)</f>
        <v>190.00926749999999</v>
      </c>
      <c r="AK44" s="13">
        <f t="shared" si="35"/>
        <v>47.542001758079778</v>
      </c>
      <c r="AL44" s="20">
        <f t="shared" si="4"/>
        <v>413.73512729115561</v>
      </c>
      <c r="AM44" s="59">
        <f t="shared" si="5"/>
        <v>707.06846062448892</v>
      </c>
      <c r="AN44" s="59">
        <f ca="1">AVERAGE(OFFSET($AM$3,0,0,'Données projet'!$E$10+1,1))-AVERAGE(OFFSET($H$3,0,0,'Données projet'!$E$10+1,1))</f>
        <v>298.32148815673816</v>
      </c>
      <c r="AO44" s="59">
        <f t="shared" si="36"/>
        <v>303.51754260758827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7.9003733617678602</v>
      </c>
      <c r="AV44" s="21">
        <f>EXP(-LN(2)/25)*AV43+(1-EXP(-LN(2)/25))/(LN(2)/25)*Calculateur!AQ44*Calculateur!AS44*VLOOKUP('Données projet'!$B$10,Paramètres!$A$1:$I$89,3,0)*0.475*44/12</f>
        <v>23.82203419596561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31.722407557733469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10.578749999999999</v>
      </c>
      <c r="BD44" s="12">
        <f>IF('Données projet'!$A$88&gt;35,BD43+BC44-BL43,IF(A44&lt;'Données projet'!$A$88,$BA$205^A44,IF(A44='Données projet'!$A$88,'Données projet'!$B$88,BD43+BC44-BL43)))</f>
        <v>206.55374999999992</v>
      </c>
      <c r="BE44" s="13">
        <f>BD44*VLOOKUP('Données projet'!$B$11,Paramètres!$A$1:$I$89,3,0)*VLOOKUP('Données projet'!$B$11,Paramètres!$A$1:$I$89,5,0)</f>
        <v>118.14874499999995</v>
      </c>
      <c r="BF44" s="13">
        <f t="shared" si="37"/>
        <v>31.2428345497046</v>
      </c>
      <c r="BG44" s="20">
        <f t="shared" si="7"/>
        <v>260.19033438240206</v>
      </c>
      <c r="BH44" s="59">
        <f t="shared" si="8"/>
        <v>553.52366771573543</v>
      </c>
      <c r="BI44" s="59">
        <f ca="1">AVERAGE(OFFSET($BH$3,0,0,'Données projet'!$E$11+1,1))-AVERAGE(OFFSET($H$3,0,0,'Données projet'!$E$11+1,1))</f>
        <v>287.9055604128643</v>
      </c>
      <c r="BJ44" s="59">
        <f t="shared" si="38"/>
        <v>197.74605993031139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29.984976870864649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29.984976870864649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4.1025641025641022</v>
      </c>
      <c r="BY44" s="12">
        <f>IF('Données projet'!$A$114&gt;35,BY43+BX44-CG43,IF(A44&lt;'Données projet'!$A$114,$BV$205^A44,IF(A44='Données projet'!$A$114,'Données projet'!$B$114,BY43+BX44-CG43)))</f>
        <v>87.435897435897431</v>
      </c>
      <c r="BZ44" s="13">
        <f>BY44*VLOOKUP('Données projet'!$B$12,Paramètres!$A$1:$I$89,3,0)*VLOOKUP('Données projet'!$B$12,Paramètres!$A$1:$I$89,5,0)</f>
        <v>76.384000000000015</v>
      </c>
      <c r="CA44" s="13">
        <f t="shared" si="39"/>
        <v>21.250687416058835</v>
      </c>
      <c r="CB44" s="20">
        <f t="shared" si="10"/>
        <v>170.04708058296916</v>
      </c>
      <c r="CC44" s="59">
        <f t="shared" si="11"/>
        <v>463.38041391630247</v>
      </c>
      <c r="CD44" s="59">
        <f ca="1">AVERAGE(OFFSET($CC$3,0,0,'Données projet'!$E$12+1,1))-AVERAGE(OFFSET($H$3,0,0,'Données projet'!$E$12+1,1))</f>
        <v>201.78062426023638</v>
      </c>
      <c r="CE44" s="59">
        <f t="shared" si="40"/>
        <v>183.0364139873468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5.9682074280447557</v>
      </c>
      <c r="CL44" s="21">
        <f>EXP(-LN(2)/25)*CL43+(1-EXP(-LN(2)/25))/(LN(2)/25)*Calculateur!CG44*Calculateur!CI44*VLOOKUP('Données projet'!$B$12,Paramètres!$A$1:$I$89,3,0)*0.475*44/12</f>
        <v>7.6483734876291667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13.616580915673921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1.3759199999999991</v>
      </c>
      <c r="D45" s="11">
        <f t="shared" si="32"/>
        <v>0.61096031540671858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0.76686608664820699</v>
      </c>
      <c r="H45" s="67">
        <f t="shared" si="1"/>
        <v>260.12714988266674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15.725555555555552</v>
      </c>
      <c r="N45" s="13">
        <f>IF('Données projet'!$A$36&gt;35,N44+M45-V44,IF(A45&lt;'Données projet'!$A$36,$K$205^A45,IF(A45='Données projet'!$A$36,'Données projet'!$B$36,N44+M45-V44)))</f>
        <v>244.1355555555557</v>
      </c>
      <c r="O45" s="13">
        <f>N45*VLOOKUP('Données projet'!$B$9,Paramètres!$A$1:$I$89,3,0)*VLOOKUP('Données projet'!$B$9,Paramètres!$A$1:$I$89,5,0)</f>
        <v>145.99306222222231</v>
      </c>
      <c r="P45" s="13">
        <f t="shared" si="33"/>
        <v>37.666564668799332</v>
      </c>
      <c r="Q45" s="20">
        <f t="shared" si="53"/>
        <v>319.87385016852937</v>
      </c>
      <c r="R45" s="59">
        <f t="shared" si="0"/>
        <v>613.20718350186269</v>
      </c>
      <c r="S45" s="59">
        <f ca="1">AVERAGE(OFFSET($R$3,0,0,'Données projet'!$E$9+1,1))-AVERAGE(OFFSET($H$3,0,0,'Données projet'!$E$9+1,1))</f>
        <v>346.2919953121168</v>
      </c>
      <c r="T45" s="59">
        <f t="shared" si="34"/>
        <v>255.63939678041237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10.322959319671783</v>
      </c>
      <c r="AA45" s="21">
        <f>EXP(-LN(2)/25)*AA44+(1-EXP(-LN(2)/25))/(LN(2)/25)*Calculateur!V45*Calculateur!X45*VLOOKUP('Données projet'!$B$9,Paramètres!$A$1:$I$89,3,0)*0.475*44/12</f>
        <v>27.288208742542544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37.611168062214325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16.536250000000003</v>
      </c>
      <c r="AI45" s="13">
        <f>IF('Données projet'!$A$62&gt;35,AI44+AH45-AQ44,IF(A45&lt;'Données projet'!$A$62,$AF$205^A45,IF(A45='Données projet'!$A$62,'Données projet'!$B$62,AI44+AH45-AQ44)))</f>
        <v>334.27749999999992</v>
      </c>
      <c r="AJ45" s="13">
        <f>AI45*VLOOKUP('Données projet'!$B$10,Paramètres!$A$1:$I$89,3,0)*VLOOKUP('Données projet'!$B$10,Paramètres!$A$1:$I$89,5,0)</f>
        <v>199.89794499999996</v>
      </c>
      <c r="AK45" s="13">
        <f t="shared" si="35"/>
        <v>49.721738459069584</v>
      </c>
      <c r="AL45" s="20">
        <f t="shared" si="4"/>
        <v>434.75428202454617</v>
      </c>
      <c r="AM45" s="59">
        <f t="shared" si="5"/>
        <v>728.08761535787949</v>
      </c>
      <c r="AN45" s="59">
        <f ca="1">AVERAGE(OFFSET($AM$3,0,0,'Données projet'!$E$10+1,1))-AVERAGE(OFFSET($H$3,0,0,'Données projet'!$E$10+1,1))</f>
        <v>298.32148815673816</v>
      </c>
      <c r="AO45" s="59">
        <f t="shared" si="36"/>
        <v>303.51754260758827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7.7454518588955308</v>
      </c>
      <c r="AV45" s="21">
        <f>EXP(-LN(2)/25)*AV44+(1-EXP(-LN(2)/25))/(LN(2)/25)*Calculateur!AQ45*Calculateur!AS45*VLOOKUP('Données projet'!$B$10,Paramètres!$A$1:$I$89,3,0)*0.475*44/12</f>
        <v>23.170619418130599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30.916071277026131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10.578749999999999</v>
      </c>
      <c r="BD45" s="12">
        <f>IF('Données projet'!$A$88&gt;35,BD44+BC45-BL44,IF(A45&lt;'Données projet'!$A$88,$BA$205^A45,IF(A45='Données projet'!$A$88,'Données projet'!$B$88,BD44+BC45-BL44)))</f>
        <v>217.13249999999994</v>
      </c>
      <c r="BE45" s="13">
        <f>BD45*VLOOKUP('Données projet'!$B$11,Paramètres!$A$1:$I$89,3,0)*VLOOKUP('Données projet'!$B$11,Paramètres!$A$1:$I$89,5,0)</f>
        <v>124.19978999999998</v>
      </c>
      <c r="BF45" s="13">
        <f t="shared" si="37"/>
        <v>32.65256165089037</v>
      </c>
      <c r="BG45" s="20">
        <f t="shared" si="7"/>
        <v>273.18451245863395</v>
      </c>
      <c r="BH45" s="59">
        <f t="shared" si="8"/>
        <v>566.51784579196726</v>
      </c>
      <c r="BI45" s="59">
        <f ca="1">AVERAGE(OFFSET($BH$3,0,0,'Données projet'!$E$11+1,1))-AVERAGE(OFFSET($H$3,0,0,'Données projet'!$E$11+1,1))</f>
        <v>287.9055604128643</v>
      </c>
      <c r="BJ45" s="59">
        <f t="shared" si="38"/>
        <v>197.74605993031139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29.165036101489452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29.165036101489452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4.1025641025641022</v>
      </c>
      <c r="BY45" s="12">
        <f>IF('Données projet'!$A$114&gt;35,BY44+BX45-CG44,IF(A45&lt;'Données projet'!$A$114,$BV$205^A45,IF(A45='Données projet'!$A$114,'Données projet'!$B$114,BY44+BX45-CG44)))</f>
        <v>91.538461538461533</v>
      </c>
      <c r="BZ45" s="13">
        <f>BY45*VLOOKUP('Données projet'!$B$12,Paramètres!$A$1:$I$89,3,0)*VLOOKUP('Données projet'!$B$12,Paramètres!$A$1:$I$89,5,0)</f>
        <v>79.968000000000004</v>
      </c>
      <c r="CA45" s="13">
        <f t="shared" si="39"/>
        <v>22.12935978012921</v>
      </c>
      <c r="CB45" s="20">
        <f t="shared" si="10"/>
        <v>177.81956828372503</v>
      </c>
      <c r="CC45" s="59">
        <f t="shared" si="11"/>
        <v>471.15290161705832</v>
      </c>
      <c r="CD45" s="59">
        <f ca="1">AVERAGE(OFFSET($CC$3,0,0,'Données projet'!$E$12+1,1))-AVERAGE(OFFSET($H$3,0,0,'Données projet'!$E$12+1,1))</f>
        <v>201.78062426023638</v>
      </c>
      <c r="CE45" s="59">
        <f t="shared" si="40"/>
        <v>183.0364139873468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5.8511745206278842</v>
      </c>
      <c r="CL45" s="21">
        <f>EXP(-LN(2)/25)*CL44+(1-EXP(-LN(2)/25))/(LN(2)/25)*Calculateur!CG45*Calculateur!CI45*VLOOKUP('Données projet'!$B$12,Paramètres!$A$1:$I$89,3,0)*0.475*44/12</f>
        <v>7.4392283123994662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13.29040283302735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1.408679999999999</v>
      </c>
      <c r="D46" s="11">
        <f t="shared" si="32"/>
        <v>0.62379610136553343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0.78446446017617044</v>
      </c>
      <c r="H46" s="67">
        <f t="shared" si="1"/>
        <v>260.20656254321165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15.725555555555552</v>
      </c>
      <c r="N46" s="13">
        <f>IF('Données projet'!$A$36&gt;35,N45+M46-V45,IF(A46&lt;'Données projet'!$A$36,$K$205^A46,IF(A46='Données projet'!$A$36,'Données projet'!$B$36,N45+M46-V45)))</f>
        <v>259.86111111111126</v>
      </c>
      <c r="O46" s="13">
        <f>N46*VLOOKUP('Données projet'!$B$9,Paramètres!$A$1:$I$89,3,0)*VLOOKUP('Données projet'!$B$9,Paramètres!$A$1:$I$89,5,0)</f>
        <v>155.39694444444453</v>
      </c>
      <c r="P46" s="13">
        <f t="shared" si="33"/>
        <v>39.802526102363792</v>
      </c>
      <c r="Q46" s="20">
        <f t="shared" si="53"/>
        <v>339.97241120235782</v>
      </c>
      <c r="R46" s="59">
        <f t="shared" si="0"/>
        <v>633.30574453569113</v>
      </c>
      <c r="S46" s="59">
        <f ca="1">AVERAGE(OFFSET($R$3,0,0,'Données projet'!$E$9+1,1))-AVERAGE(OFFSET($H$3,0,0,'Données projet'!$E$9+1,1))</f>
        <v>346.2919953121168</v>
      </c>
      <c r="T46" s="59">
        <f t="shared" si="34"/>
        <v>255.63939678041237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10.120532383796489</v>
      </c>
      <c r="AA46" s="21">
        <f>EXP(-LN(2)/25)*AA45+(1-EXP(-LN(2)/25))/(LN(2)/25)*Calculateur!V46*Calculateur!X46*VLOOKUP('Données projet'!$B$9,Paramètres!$A$1:$I$89,3,0)*0.475*44/12</f>
        <v>26.542011239453188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36.662543623249675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16.536250000000003</v>
      </c>
      <c r="AI46" s="13">
        <f>IF('Données projet'!$A$62&gt;35,AI45+AH46-AQ45,IF(A46&lt;'Données projet'!$A$62,$AF$205^A46,IF(A46='Données projet'!$A$62,'Données projet'!$B$62,AI45+AH46-AQ45)))</f>
        <v>350.81374999999991</v>
      </c>
      <c r="AJ46" s="13">
        <f>AI46*VLOOKUP('Données projet'!$B$10,Paramètres!$A$1:$I$89,3,0)*VLOOKUP('Données projet'!$B$10,Paramètres!$A$1:$I$89,5,0)</f>
        <v>209.78662249999996</v>
      </c>
      <c r="AK46" s="13">
        <f t="shared" si="35"/>
        <v>51.888954587591464</v>
      </c>
      <c r="AL46" s="20">
        <f t="shared" si="4"/>
        <v>455.75163009422175</v>
      </c>
      <c r="AM46" s="59">
        <f t="shared" si="5"/>
        <v>749.08496342755507</v>
      </c>
      <c r="AN46" s="59">
        <f ca="1">AVERAGE(OFFSET($AM$3,0,0,'Données projet'!$E$10+1,1))-AVERAGE(OFFSET($H$3,0,0,'Données projet'!$E$10+1,1))</f>
        <v>298.32148815673816</v>
      </c>
      <c r="AO46" s="59">
        <f t="shared" si="36"/>
        <v>303.51754260758827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7.5935682722017415</v>
      </c>
      <c r="AV46" s="21">
        <f>EXP(-LN(2)/25)*AV45+(1-EXP(-LN(2)/25))/(LN(2)/25)*Calculateur!AQ46*Calculateur!AS46*VLOOKUP('Données projet'!$B$10,Paramètres!$A$1:$I$89,3,0)*0.475*44/12</f>
        <v>22.537017611651901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30.130585883853641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10.578749999999999</v>
      </c>
      <c r="BD46" s="12">
        <f>IF('Données projet'!$A$88&gt;35,BD45+BC46-BL45,IF(A46&lt;'Données projet'!$A$88,$BA$205^A46,IF(A46='Données projet'!$A$88,'Données projet'!$B$88,BD45+BC46-BL45)))</f>
        <v>227.71124999999995</v>
      </c>
      <c r="BE46" s="13">
        <f>BD46*VLOOKUP('Données projet'!$B$11,Paramètres!$A$1:$I$89,3,0)*VLOOKUP('Données projet'!$B$11,Paramètres!$A$1:$I$89,5,0)</f>
        <v>130.250835</v>
      </c>
      <c r="BF46" s="13">
        <f t="shared" si="37"/>
        <v>34.054313432025531</v>
      </c>
      <c r="BG46" s="20">
        <f t="shared" si="7"/>
        <v>286.16480018577778</v>
      </c>
      <c r="BH46" s="59">
        <f t="shared" si="8"/>
        <v>579.49813351911109</v>
      </c>
      <c r="BI46" s="59">
        <f ca="1">AVERAGE(OFFSET($BH$3,0,0,'Données projet'!$E$11+1,1))-AVERAGE(OFFSET($H$3,0,0,'Données projet'!$E$11+1,1))</f>
        <v>287.9055604128643</v>
      </c>
      <c r="BJ46" s="59">
        <f t="shared" si="38"/>
        <v>197.74605993031139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28.367516655571631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28.367516655571631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4.1025641025641022</v>
      </c>
      <c r="BY46" s="12">
        <f>IF('Données projet'!$A$114&gt;35,BY45+BX46-CG45,IF(A46&lt;'Données projet'!$A$114,$BV$205^A46,IF(A46='Données projet'!$A$114,'Données projet'!$B$114,BY45+BX46-CG45)))</f>
        <v>95.641025641025635</v>
      </c>
      <c r="BZ46" s="13">
        <f>BY46*VLOOKUP('Données projet'!$B$12,Paramètres!$A$1:$I$89,3,0)*VLOOKUP('Données projet'!$B$12,Paramètres!$A$1:$I$89,5,0)</f>
        <v>83.552000000000007</v>
      </c>
      <c r="CA46" s="13">
        <f t="shared" si="39"/>
        <v>23.003458599323775</v>
      </c>
      <c r="CB46" s="20">
        <f t="shared" si="10"/>
        <v>185.58409039382227</v>
      </c>
      <c r="CC46" s="59">
        <f t="shared" si="11"/>
        <v>478.91742372715555</v>
      </c>
      <c r="CD46" s="59">
        <f ca="1">AVERAGE(OFFSET($CC$3,0,0,'Données projet'!$E$12+1,1))-AVERAGE(OFFSET($H$3,0,0,'Données projet'!$E$12+1,1))</f>
        <v>201.78062426023638</v>
      </c>
      <c r="CE46" s="59">
        <f t="shared" si="40"/>
        <v>183.0364139873468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5.7364365571424329</v>
      </c>
      <c r="CL46" s="21">
        <f>EXP(-LN(2)/25)*CL45+(1-EXP(-LN(2)/25))/(LN(2)/25)*Calculateur!CG46*Calculateur!CI46*VLOOKUP('Données projet'!$B$12,Paramètres!$A$1:$I$89,3,0)*0.475*44/12</f>
        <v>7.2358022229848888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12.972238780127322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1.4414399999999989</v>
      </c>
      <c r="D47" s="11">
        <f t="shared" si="32"/>
        <v>0.63659718483035177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0.80204943975908283</v>
      </c>
      <c r="H47" s="67">
        <f t="shared" si="1"/>
        <v>260.28591476357957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15.725555555555552</v>
      </c>
      <c r="N47" s="13">
        <f>IF('Données projet'!$A$36&gt;35,N46+M47-V46,IF(A47&lt;'Données projet'!$A$36,$K$205^A47,IF(A47='Données projet'!$A$36,'Données projet'!$B$36,N46+M47-V46)))</f>
        <v>275.58666666666682</v>
      </c>
      <c r="O47" s="13">
        <f>N47*VLOOKUP('Données projet'!$B$9,Paramètres!$A$1:$I$89,3,0)*VLOOKUP('Données projet'!$B$9,Paramètres!$A$1:$I$89,5,0)</f>
        <v>164.80082666666678</v>
      </c>
      <c r="P47" s="13">
        <f t="shared" si="33"/>
        <v>41.923485083367801</v>
      </c>
      <c r="Q47" s="20">
        <f t="shared" si="53"/>
        <v>360.04484296464358</v>
      </c>
      <c r="R47" s="59">
        <f t="shared" si="0"/>
        <v>653.37817629797689</v>
      </c>
      <c r="S47" s="59">
        <f ca="1">AVERAGE(OFFSET($R$3,0,0,'Données projet'!$E$9+1,1))-AVERAGE(OFFSET($H$3,0,0,'Données projet'!$E$9+1,1))</f>
        <v>346.2919953121168</v>
      </c>
      <c r="T47" s="59">
        <f t="shared" si="34"/>
        <v>255.63939678041237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9.9220749166654691</v>
      </c>
      <c r="AA47" s="21">
        <f>EXP(-LN(2)/25)*AA46+(1-EXP(-LN(2)/25))/(LN(2)/25)*Calculateur!V47*Calculateur!X47*VLOOKUP('Données projet'!$B$9,Paramètres!$A$1:$I$89,3,0)*0.475*44/12</f>
        <v>25.816218546326631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35.738293462992104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367.35</v>
      </c>
      <c r="AG47" s="12">
        <f>VLOOKUP(A47,'Données projet'!$A$61:$I$81,9,0)</f>
        <v>16.536250000000003</v>
      </c>
      <c r="AH47" s="12">
        <f t="array" ref="AH47">INDEX(AG:AG,MIN(IF(ISNUMBER(AG47:AG243),ROW(AG47:AG243),"")))</f>
        <v>16.536250000000003</v>
      </c>
      <c r="AI47" s="13">
        <f>IF('Données projet'!$A$62&gt;35,AI46+AH47-AQ46,IF(A47&lt;'Données projet'!$A$62,$AF$205^A47,IF(A47='Données projet'!$A$62,'Données projet'!$B$62,AI46+AH47-AQ46)))</f>
        <v>367.34999999999991</v>
      </c>
      <c r="AJ47" s="13">
        <f>AI47*VLOOKUP('Données projet'!$B$10,Paramètres!$A$1:$I$89,3,0)*VLOOKUP('Données projet'!$B$10,Paramètres!$A$1:$I$89,5,0)</f>
        <v>219.67529999999996</v>
      </c>
      <c r="AK47" s="13">
        <f t="shared" si="35"/>
        <v>54.044307714561441</v>
      </c>
      <c r="AL47" s="20">
        <f t="shared" si="4"/>
        <v>476.72831676952774</v>
      </c>
      <c r="AM47" s="59">
        <f t="shared" si="5"/>
        <v>770.06165010286099</v>
      </c>
      <c r="AN47" s="59">
        <f ca="1">AVERAGE(OFFSET($AM$3,0,0,'Données projet'!$E$10+1,1))-AVERAGE(OFFSET($H$3,0,0,'Données projet'!$E$10+1,1))</f>
        <v>298.32148815673816</v>
      </c>
      <c r="AO47" s="59">
        <f t="shared" si="36"/>
        <v>303.51754260758827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77.91</v>
      </c>
      <c r="AR47" s="16">
        <f>IF(ISNA(VLOOKUP(A47,'Données projet'!$A$61:$I$81,5,0)),0%,VLOOKUP(A47,'Données projet'!$A$61:$I$81,5,0)*VLOOKUP('Données projet'!$B$10,Paramètres!$A$1:$I$89,7,0))</f>
        <v>9.0000000000000011E-2</v>
      </c>
      <c r="AS47" s="16">
        <f>IF(ISNA(VLOOKUP(A47,'Données projet'!$A$61:$I$81,6,0)),0%,VLOOKUP(A47,'Données projet'!$A$61:$I$81,6,0)*VLOOKUP('Données projet'!$B$10,Paramètres!$A$1:$I$89,7,0))</f>
        <v>0.22500000000000001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13.007101938450891</v>
      </c>
      <c r="AV47" s="21">
        <f>EXP(-LN(2)/25)*AV46+(1-EXP(-LN(2)/25))/(LN(2)/25)*Calculateur!AQ47*Calculateur!AS47*VLOOKUP('Données projet'!$B$10,Paramètres!$A$1:$I$89,3,0)*0.475*44/12</f>
        <v>35.772085347415455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48.779187285866342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238.29</v>
      </c>
      <c r="BB47" s="12">
        <f>VLOOKUP(A47,'Données projet'!$A$87:$I$107,9,0)</f>
        <v>10.578749999999999</v>
      </c>
      <c r="BC47" s="12">
        <f t="array" ref="BC47">INDEX(BB:BB,MIN(IF(ISNUMBER(BB47:BB243),ROW(BB47:BB243),"")))</f>
        <v>10.578749999999999</v>
      </c>
      <c r="BD47" s="12">
        <f>IF('Données projet'!$A$88&gt;35,BD46+BC47-BL46,IF(A47&lt;'Données projet'!$A$88,$BA$205^A47,IF(A47='Données projet'!$A$88,'Données projet'!$B$88,BD46+BC47-BL46)))</f>
        <v>238.28999999999996</v>
      </c>
      <c r="BE47" s="13">
        <f>BD47*VLOOKUP('Données projet'!$B$11,Paramètres!$A$1:$I$89,3,0)*VLOOKUP('Données projet'!$B$11,Paramètres!$A$1:$I$89,5,0)</f>
        <v>136.30187999999998</v>
      </c>
      <c r="BF47" s="13">
        <f t="shared" si="37"/>
        <v>35.448502715845386</v>
      </c>
      <c r="BG47" s="20">
        <f t="shared" si="7"/>
        <v>299.13191656343071</v>
      </c>
      <c r="BH47" s="59">
        <f t="shared" si="8"/>
        <v>592.46524989676402</v>
      </c>
      <c r="BI47" s="59">
        <f ca="1">AVERAGE(OFFSET($BH$3,0,0,'Données projet'!$E$11+1,1))-AVERAGE(OFFSET($H$3,0,0,'Données projet'!$E$11+1,1))</f>
        <v>287.9055604128643</v>
      </c>
      <c r="BJ47" s="59">
        <f t="shared" si="38"/>
        <v>197.74605993031139</v>
      </c>
      <c r="BK47" s="15">
        <f>IF(ISNA(VLOOKUP(A47,'Données projet'!$A$87:$I$107,3,0)),0,VLOOKUP(A47,'Données projet'!$A$87:$I$107,3,0))</f>
        <v>4</v>
      </c>
      <c r="BL47" s="15">
        <f>IF(ISNA(VLOOKUP(A47,'Données projet'!$A$87:$I$107,4,0)),0,VLOOKUP(A47,'Données projet'!$A$87:$I$107,4,0))</f>
        <v>42.43</v>
      </c>
      <c r="BM47" s="16">
        <f>IF(ISNA(VLOOKUP(A47,'Données projet'!$A$87:$I$107,5,0)),0%,VLOOKUP(A47,'Données projet'!$A$87:$I$107,5,0)*VLOOKUP('Données projet'!$B$11,Paramètres!$A$1:$I$89,7,0))</f>
        <v>0.22500000000000001</v>
      </c>
      <c r="BN47" s="16">
        <f>IF(ISNA(VLOOKUP(A47,'Données projet'!$A$87:$I$107,6,0)),0%,VLOOKUP(A47,'Données projet'!$A$87:$I$107,6,0)*VLOOKUP('Données projet'!$B$11,Paramètres!$A$1:$I$89,7,0))</f>
        <v>0.22500000000000001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7.244024910961369</v>
      </c>
      <c r="BQ47" s="21">
        <f>EXP(-LN(2)/25)*BQ46+(1-EXP(-LN(2)/25))/(LN(2)/25)*Calculateur!BL47*Calculateur!BN47*VLOOKUP('Données projet'!$B$11,Paramètres!$A$1:$I$89,3,0)*0.475*44/12</f>
        <v>34.807307845539192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42.051332756500564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4.1025641025641022</v>
      </c>
      <c r="BY47" s="12">
        <f>IF('Données projet'!$A$114&gt;35,BY46+BX47-CG46,IF(A47&lt;'Données projet'!$A$114,$BV$205^A47,IF(A47='Données projet'!$A$114,'Données projet'!$B$114,BY46+BX47-CG46)))</f>
        <v>99.743589743589737</v>
      </c>
      <c r="BZ47" s="13">
        <f>BY47*VLOOKUP('Données projet'!$B$12,Paramètres!$A$1:$I$89,3,0)*VLOOKUP('Données projet'!$B$12,Paramètres!$A$1:$I$89,5,0)</f>
        <v>87.13600000000001</v>
      </c>
      <c r="CA47" s="13">
        <f t="shared" si="39"/>
        <v>23.873202484658083</v>
      </c>
      <c r="CB47" s="20">
        <f t="shared" si="10"/>
        <v>193.34102766077947</v>
      </c>
      <c r="CC47" s="59">
        <f t="shared" si="11"/>
        <v>486.67436099411282</v>
      </c>
      <c r="CD47" s="59">
        <f ca="1">AVERAGE(OFFSET($CC$3,0,0,'Données projet'!$E$12+1,1))-AVERAGE(OFFSET($H$3,0,0,'Données projet'!$E$12+1,1))</f>
        <v>201.78062426023638</v>
      </c>
      <c r="CE47" s="59">
        <f t="shared" si="40"/>
        <v>183.0364139873468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5.6239485351376839</v>
      </c>
      <c r="CL47" s="21">
        <f>EXP(-LN(2)/25)*CL46+(1-EXP(-LN(2)/25))/(LN(2)/25)*Calculateur!CG47*Calculateur!CI47*VLOOKUP('Données projet'!$B$12,Paramètres!$A$1:$I$89,3,0)*0.475*44/12</f>
        <v>7.0379388306830659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12.66188736582075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1.4741999999999988</v>
      </c>
      <c r="D48" s="11">
        <f t="shared" si="32"/>
        <v>0.64936444528746295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0.81962136484779247</v>
      </c>
      <c r="H48" s="67">
        <f t="shared" si="1"/>
        <v>260.36520807554234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15.725555555555552</v>
      </c>
      <c r="N48" s="13">
        <f>IF('Données projet'!$A$36&gt;35,N47+M48-V47,IF(A48&lt;'Données projet'!$A$36,$K$205^A48,IF(A48='Données projet'!$A$36,'Données projet'!$B$36,N47+M48-V47)))</f>
        <v>291.31222222222237</v>
      </c>
      <c r="O48" s="13">
        <f>N48*VLOOKUP('Données projet'!$B$9,Paramètres!$A$1:$I$89,3,0)*VLOOKUP('Données projet'!$B$9,Paramètres!$A$1:$I$89,5,0)</f>
        <v>174.204708888889</v>
      </c>
      <c r="P48" s="13">
        <f t="shared" si="33"/>
        <v>44.030395226989455</v>
      </c>
      <c r="Q48" s="20">
        <f t="shared" si="53"/>
        <v>380.09280633515499</v>
      </c>
      <c r="R48" s="59">
        <f t="shared" si="0"/>
        <v>673.4261396684883</v>
      </c>
      <c r="S48" s="59">
        <f ca="1">AVERAGE(OFFSET($R$3,0,0,'Données projet'!$E$9+1,1))-AVERAGE(OFFSET($H$3,0,0,'Données projet'!$E$9+1,1))</f>
        <v>346.2919953121168</v>
      </c>
      <c r="T48" s="59">
        <f t="shared" si="34"/>
        <v>255.63939678041237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9.7275090794177856</v>
      </c>
      <c r="AA48" s="21">
        <f>EXP(-LN(2)/25)*AA47+(1-EXP(-LN(2)/25))/(LN(2)/25)*Calculateur!V48*Calculateur!X48*VLOOKUP('Données projet'!$B$9,Paramètres!$A$1:$I$89,3,0)*0.475*44/12</f>
        <v>25.110272692561399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34.837781771979181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14.64374999999999</v>
      </c>
      <c r="AI48" s="13">
        <f>IF('Données projet'!$A$62&gt;35,AI47+AH48-AQ47,IF(A48&lt;'Données projet'!$A$62,$AF$205^A48,IF(A48='Données projet'!$A$62,'Données projet'!$B$62,AI47+AH48-AQ47)))</f>
        <v>304.0837499999999</v>
      </c>
      <c r="AJ48" s="13">
        <f>AI48*VLOOKUP('Données projet'!$B$10,Paramètres!$A$1:$I$89,3,0)*VLOOKUP('Données projet'!$B$10,Paramètres!$A$1:$I$89,5,0)</f>
        <v>181.84208249999998</v>
      </c>
      <c r="AK48" s="13">
        <f t="shared" si="35"/>
        <v>45.731772411922861</v>
      </c>
      <c r="AL48" s="20">
        <f t="shared" si="4"/>
        <v>396.35779730493226</v>
      </c>
      <c r="AM48" s="59">
        <f t="shared" si="5"/>
        <v>689.69113063826558</v>
      </c>
      <c r="AN48" s="59">
        <f ca="1">AVERAGE(OFFSET($AM$3,0,0,'Données projet'!$E$10+1,1))-AVERAGE(OFFSET($H$3,0,0,'Données projet'!$E$10+1,1))</f>
        <v>298.32148815673816</v>
      </c>
      <c r="AO48" s="59">
        <f t="shared" si="36"/>
        <v>303.51754260758827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12.752040602986678</v>
      </c>
      <c r="AV48" s="21">
        <f>EXP(-LN(2)/25)*AV47+(1-EXP(-LN(2)/25))/(LN(2)/25)*Calculateur!AQ48*Calculateur!AS48*VLOOKUP('Données projet'!$B$10,Paramètres!$A$1:$I$89,3,0)*0.475*44/12</f>
        <v>34.793895792418169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47.545936395404851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9.6675000000000004</v>
      </c>
      <c r="BD48" s="12">
        <f>IF('Données projet'!$A$88&gt;35,BD47+BC48-BL47,IF(A48&lt;'Données projet'!$A$88,$BA$205^A48,IF(A48='Données projet'!$A$88,'Données projet'!$B$88,BD47+BC48-BL47)))</f>
        <v>205.52749999999995</v>
      </c>
      <c r="BE48" s="13">
        <f>BD48*VLOOKUP('Données projet'!$B$11,Paramètres!$A$1:$I$89,3,0)*VLOOKUP('Données projet'!$B$11,Paramètres!$A$1:$I$89,5,0)</f>
        <v>117.56172999999997</v>
      </c>
      <c r="BF48" s="13">
        <f t="shared" si="37"/>
        <v>31.105635210765659</v>
      </c>
      <c r="BG48" s="20">
        <f t="shared" si="7"/>
        <v>258.92899440875016</v>
      </c>
      <c r="BH48" s="59">
        <f t="shared" si="8"/>
        <v>552.26232774208347</v>
      </c>
      <c r="BI48" s="59">
        <f ca="1">AVERAGE(OFFSET($BH$3,0,0,'Données projet'!$E$11+1,1))-AVERAGE(OFFSET($H$3,0,0,'Données projet'!$E$11+1,1))</f>
        <v>287.9055604128643</v>
      </c>
      <c r="BJ48" s="59">
        <f t="shared" si="38"/>
        <v>197.74605993031139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7.1019740008763295</v>
      </c>
      <c r="BQ48" s="21">
        <f>EXP(-LN(2)/25)*BQ47+(1-EXP(-LN(2)/25))/(LN(2)/25)*Calculateur!BL48*Calculateur!BN48*VLOOKUP('Données projet'!$B$11,Paramètres!$A$1:$I$89,3,0)*0.475*44/12</f>
        <v>33.855500182066159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40.957474182942491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103.84615384615384</v>
      </c>
      <c r="BW48" s="12">
        <f>VLOOKUP(A48,'Données projet'!$A$113:$I$133,9,0)</f>
        <v>4.1025641025641022</v>
      </c>
      <c r="BX48" s="12">
        <f t="array" ref="BX48">INDEX(BW:BW,MIN(IF(ISNUMBER(BW48:BW244),ROW(BW48:BW244),"")))</f>
        <v>4.1025641025641022</v>
      </c>
      <c r="BY48" s="12">
        <f>IF('Données projet'!$A$114&gt;35,BY47+BX48-CG47,IF(A48&lt;'Données projet'!$A$114,$BV$205^A48,IF(A48='Données projet'!$A$114,'Données projet'!$B$114,BY47+BX48-CG47)))</f>
        <v>103.84615384615384</v>
      </c>
      <c r="BZ48" s="13">
        <f>BY48*VLOOKUP('Données projet'!$B$12,Paramètres!$A$1:$I$89,3,0)*VLOOKUP('Données projet'!$B$12,Paramètres!$A$1:$I$89,5,0)</f>
        <v>90.72</v>
      </c>
      <c r="CA48" s="13">
        <f t="shared" si="39"/>
        <v>24.738791046142097</v>
      </c>
      <c r="CB48" s="20">
        <f t="shared" si="10"/>
        <v>201.0907277386975</v>
      </c>
      <c r="CC48" s="59">
        <f t="shared" si="11"/>
        <v>494.42406107203078</v>
      </c>
      <c r="CD48" s="59">
        <f ca="1">AVERAGE(OFFSET($CC$3,0,0,'Données projet'!$E$12+1,1))-AVERAGE(OFFSET($H$3,0,0,'Données projet'!$E$12+1,1))</f>
        <v>201.78062426023638</v>
      </c>
      <c r="CE48" s="59">
        <f t="shared" si="40"/>
        <v>183.0364139873468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12.179487179487179</v>
      </c>
      <c r="CH48" s="16">
        <f>IF(ISNA(VLOOKUP(A48,'Données projet'!$A$113:$I$133,5,0)),0%,VLOOKUP(A48,'Données projet'!$A$113:$I$133,5,0)*VLOOKUP('Données projet'!$B$12,Paramètres!$A$1:$I$89,7,0))</f>
        <v>0.25800000000000001</v>
      </c>
      <c r="CI48" s="16">
        <f>IF(ISNA(VLOOKUP(A48,'Données projet'!$A$113:$I$133,6,0)),0%,VLOOKUP(A48,'Données projet'!$A$113:$I$133,6,0)*VLOOKUP('Données projet'!$B$12,Paramètres!$A$1:$I$89,7,0))</f>
        <v>0.129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8.5483151828970207</v>
      </c>
      <c r="CL48" s="21">
        <f>EXP(-LN(2)/25)*CL47+(1-EXP(-LN(2)/25))/(LN(2)/25)*Calculateur!CG48*Calculateur!CI48*VLOOKUP('Données projet'!$B$12,Paramètres!$A$1:$I$89,3,0)*0.475*44/12</f>
        <v>8.3568361629769274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16.905151345873946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1.5069599999999987</v>
      </c>
      <c r="D49" s="11">
        <f t="shared" si="32"/>
        <v>0.66209872090316568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0.83718055894508103</v>
      </c>
      <c r="H49" s="67">
        <f t="shared" si="1"/>
        <v>260.44444393890637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15.725555555555552</v>
      </c>
      <c r="N49" s="13">
        <f>IF('Données projet'!$A$36&gt;35,N48+M49-V48,IF(A49&lt;'Données projet'!$A$36,$K$205^A49,IF(A49='Données projet'!$A$36,'Données projet'!$B$36,N48+M49-V48)))</f>
        <v>307.03777777777793</v>
      </c>
      <c r="O49" s="13">
        <f>N49*VLOOKUP('Données projet'!$B$9,Paramètres!$A$1:$I$89,3,0)*VLOOKUP('Données projet'!$B$9,Paramètres!$A$1:$I$89,5,0)</f>
        <v>183.60859111111122</v>
      </c>
      <c r="P49" s="13">
        <f t="shared" si="33"/>
        <v>46.124101377958297</v>
      </c>
      <c r="Q49" s="20">
        <f t="shared" si="53"/>
        <v>400.11777275179605</v>
      </c>
      <c r="R49" s="59">
        <f t="shared" si="0"/>
        <v>693.45110608512937</v>
      </c>
      <c r="S49" s="59">
        <f ca="1">AVERAGE(OFFSET($R$3,0,0,'Données projet'!$E$9+1,1))-AVERAGE(OFFSET($H$3,0,0,'Données projet'!$E$9+1,1))</f>
        <v>346.2919953121168</v>
      </c>
      <c r="T49" s="59">
        <f t="shared" si="34"/>
        <v>255.63939678041237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9.5367585595650866</v>
      </c>
      <c r="AA49" s="21">
        <f>EXP(-LN(2)/25)*AA48+(1-EXP(-LN(2)/25))/(LN(2)/25)*Calculateur!V49*Calculateur!X49*VLOOKUP('Données projet'!$B$9,Paramètres!$A$1:$I$89,3,0)*0.475*44/12</f>
        <v>24.423630965291455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33.960389524856538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14.64374999999999</v>
      </c>
      <c r="AI49" s="13">
        <f>IF('Données projet'!$A$62&gt;35,AI48+AH49-AQ48,IF(A49&lt;'Données projet'!$A$62,$AF$205^A49,IF(A49='Données projet'!$A$62,'Données projet'!$B$62,AI48+AH49-AQ48)))</f>
        <v>318.72749999999991</v>
      </c>
      <c r="AJ49" s="13">
        <f>AI49*VLOOKUP('Données projet'!$B$10,Paramètres!$A$1:$I$89,3,0)*VLOOKUP('Données projet'!$B$10,Paramètres!$A$1:$I$89,5,0)</f>
        <v>190.59904499999996</v>
      </c>
      <c r="AK49" s="13">
        <f t="shared" si="35"/>
        <v>47.672368921426973</v>
      </c>
      <c r="AL49" s="20">
        <f t="shared" si="4"/>
        <v>414.98937924648521</v>
      </c>
      <c r="AM49" s="59">
        <f t="shared" si="5"/>
        <v>708.32271257981847</v>
      </c>
      <c r="AN49" s="59">
        <f ca="1">AVERAGE(OFFSET($AM$3,0,0,'Données projet'!$E$10+1,1))-AVERAGE(OFFSET($H$3,0,0,'Données projet'!$E$10+1,1))</f>
        <v>298.32148815673816</v>
      </c>
      <c r="AO49" s="59">
        <f t="shared" si="36"/>
        <v>303.51754260758827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12.501980864738867</v>
      </c>
      <c r="AV49" s="21">
        <f>EXP(-LN(2)/25)*AV48+(1-EXP(-LN(2)/25))/(LN(2)/25)*Calculateur!AQ49*Calculateur!AS49*VLOOKUP('Données projet'!$B$10,Paramètres!$A$1:$I$89,3,0)*0.475*44/12</f>
        <v>33.84245488224304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46.344435746981908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9.6675000000000004</v>
      </c>
      <c r="BD49" s="12">
        <f>IF('Données projet'!$A$88&gt;35,BD48+BC49-BL48,IF(A49&lt;'Données projet'!$A$88,$BA$205^A49,IF(A49='Données projet'!$A$88,'Données projet'!$B$88,BD48+BC49-BL48)))</f>
        <v>215.19499999999994</v>
      </c>
      <c r="BE49" s="13">
        <f>BD49*VLOOKUP('Données projet'!$B$11,Paramètres!$A$1:$I$89,3,0)*VLOOKUP('Données projet'!$B$11,Paramètres!$A$1:$I$89,5,0)</f>
        <v>123.09153999999997</v>
      </c>
      <c r="BF49" s="13">
        <f t="shared" si="37"/>
        <v>32.394979314805383</v>
      </c>
      <c r="BG49" s="20">
        <f t="shared" si="7"/>
        <v>270.80568780661929</v>
      </c>
      <c r="BH49" s="59">
        <f t="shared" si="8"/>
        <v>564.13902113995255</v>
      </c>
      <c r="BI49" s="59">
        <f ca="1">AVERAGE(OFFSET($BH$3,0,0,'Données projet'!$E$11+1,1))-AVERAGE(OFFSET($H$3,0,0,'Données projet'!$E$11+1,1))</f>
        <v>287.9055604128643</v>
      </c>
      <c r="BJ49" s="59">
        <f t="shared" si="38"/>
        <v>197.74605993031139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6.9627086224955574</v>
      </c>
      <c r="BQ49" s="21">
        <f>EXP(-LN(2)/25)*BQ48+(1-EXP(-LN(2)/25))/(LN(2)/25)*Calculateur!BL49*Calculateur!BN49*VLOOKUP('Données projet'!$B$11,Paramètres!$A$1:$I$89,3,0)*0.475*44/12</f>
        <v>32.929719749204182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39.892428371699737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3.8461538461538454</v>
      </c>
      <c r="BY49" s="12">
        <f>IF('Données projet'!$A$114&gt;35,BY48+BX49-CG48,IF(A49&lt;'Données projet'!$A$114,$BV$205^A49,IF(A49='Données projet'!$A$114,'Données projet'!$B$114,BY48+BX49-CG48)))</f>
        <v>95.512820512820497</v>
      </c>
      <c r="BZ49" s="13">
        <f>BY49*VLOOKUP('Données projet'!$B$12,Paramètres!$A$1:$I$89,3,0)*VLOOKUP('Données projet'!$B$12,Paramètres!$A$1:$I$89,5,0)</f>
        <v>83.44</v>
      </c>
      <c r="CA49" s="13">
        <f t="shared" si="39"/>
        <v>22.976210016812125</v>
      </c>
      <c r="CB49" s="20">
        <f t="shared" si="10"/>
        <v>185.34156577928113</v>
      </c>
      <c r="CC49" s="59">
        <f t="shared" si="11"/>
        <v>478.67489911261441</v>
      </c>
      <c r="CD49" s="59">
        <f ca="1">AVERAGE(OFFSET($CC$3,0,0,'Données projet'!$E$12+1,1))-AVERAGE(OFFSET($H$3,0,0,'Données projet'!$E$12+1,1))</f>
        <v>201.78062426023638</v>
      </c>
      <c r="CE49" s="59">
        <f t="shared" si="40"/>
        <v>183.0364139873468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8.3806879361178357</v>
      </c>
      <c r="CL49" s="21">
        <f>EXP(-LN(2)/25)*CL48+(1-EXP(-LN(2)/25))/(LN(2)/25)*Calculateur!CG49*Calculateur!CI49*VLOOKUP('Données projet'!$B$12,Paramètres!$A$1:$I$89,3,0)*0.475*44/12</f>
        <v>8.1283180386334095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16.509005974751247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1.5397199999999986</v>
      </c>
      <c r="D50" s="11">
        <f t="shared" si="32"/>
        <v>0.67480081132045289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0.85472733068508677</v>
      </c>
      <c r="H50" s="67">
        <f t="shared" si="1"/>
        <v>260.52362374638312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15.725555555555552</v>
      </c>
      <c r="N50" s="13">
        <f>IF('Données projet'!$A$36&gt;35,N49+M50-V49,IF(A50&lt;'Données projet'!$A$36,$K$205^A50,IF(A50='Données projet'!$A$36,'Données projet'!$B$36,N49+M50-V49)))</f>
        <v>322.76333333333349</v>
      </c>
      <c r="O50" s="13">
        <f>N50*VLOOKUP('Données projet'!$B$9,Paramètres!$A$1:$I$89,3,0)*VLOOKUP('Données projet'!$B$9,Paramètres!$A$1:$I$89,5,0)</f>
        <v>193.01247333333347</v>
      </c>
      <c r="P50" s="13">
        <f t="shared" si="33"/>
        <v>48.205356952003704</v>
      </c>
      <c r="Q50" s="20">
        <f t="shared" si="53"/>
        <v>420.12105441362888</v>
      </c>
      <c r="R50" s="59">
        <f t="shared" si="0"/>
        <v>713.4543877469622</v>
      </c>
      <c r="S50" s="59">
        <f ca="1">AVERAGE(OFFSET($R$3,0,0,'Données projet'!$E$9+1,1))-AVERAGE(OFFSET($H$3,0,0,'Données projet'!$E$9+1,1))</f>
        <v>346.2919953121168</v>
      </c>
      <c r="T50" s="59">
        <f t="shared" si="34"/>
        <v>255.63939678041237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9.3497485410603698</v>
      </c>
      <c r="AA50" s="21">
        <f>EXP(-LN(2)/25)*AA49+(1-EXP(-LN(2)/25))/(LN(2)/25)*Calculateur!V50*Calculateur!X50*VLOOKUP('Données projet'!$B$9,Paramètres!$A$1:$I$89,3,0)*0.475*44/12</f>
        <v>23.755765492162627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33.105514033222995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14.64374999999999</v>
      </c>
      <c r="AI50" s="13">
        <f>IF('Données projet'!$A$62&gt;35,AI49+AH50-AQ49,IF(A50&lt;'Données projet'!$A$62,$AF$205^A50,IF(A50='Données projet'!$A$62,'Données projet'!$B$62,AI49+AH50-AQ49)))</f>
        <v>333.37124999999992</v>
      </c>
      <c r="AJ50" s="13">
        <f>AI50*VLOOKUP('Données projet'!$B$10,Paramètres!$A$1:$I$89,3,0)*VLOOKUP('Données projet'!$B$10,Paramètres!$A$1:$I$89,5,0)</f>
        <v>199.35600749999998</v>
      </c>
      <c r="AK50" s="13">
        <f t="shared" si="35"/>
        <v>49.602611110771242</v>
      </c>
      <c r="AL50" s="20">
        <f t="shared" si="4"/>
        <v>433.6029274137598</v>
      </c>
      <c r="AM50" s="59">
        <f t="shared" si="5"/>
        <v>726.93626074709312</v>
      </c>
      <c r="AN50" s="59">
        <f ca="1">AVERAGE(OFFSET($AM$3,0,0,'Données projet'!$E$10+1,1))-AVERAGE(OFFSET($H$3,0,0,'Données projet'!$E$10+1,1))</f>
        <v>298.32148815673816</v>
      </c>
      <c r="AO50" s="59">
        <f t="shared" si="36"/>
        <v>303.51754260758827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12.256824645436714</v>
      </c>
      <c r="AV50" s="21">
        <f>EXP(-LN(2)/25)*AV49+(1-EXP(-LN(2)/25))/(LN(2)/25)*Calculateur!AQ50*Calculateur!AS50*VLOOKUP('Données projet'!$B$10,Paramètres!$A$1:$I$89,3,0)*0.475*44/12</f>
        <v>32.917031173790747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45.173855819227462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9.6675000000000004</v>
      </c>
      <c r="BD50" s="12">
        <f>IF('Données projet'!$A$88&gt;35,BD49+BC50-BL49,IF(A50&lt;'Données projet'!$A$88,$BA$205^A50,IF(A50='Données projet'!$A$88,'Données projet'!$B$88,BD49+BC50-BL49)))</f>
        <v>224.86249999999993</v>
      </c>
      <c r="BE50" s="13">
        <f>BD50*VLOOKUP('Données projet'!$B$11,Paramètres!$A$1:$I$89,3,0)*VLOOKUP('Données projet'!$B$11,Paramètres!$A$1:$I$89,5,0)</f>
        <v>128.62134999999995</v>
      </c>
      <c r="BF50" s="13">
        <f t="shared" si="37"/>
        <v>33.677596393009161</v>
      </c>
      <c r="BG50" s="20">
        <f t="shared" si="7"/>
        <v>282.67066496782417</v>
      </c>
      <c r="BH50" s="59">
        <f t="shared" si="8"/>
        <v>576.00399830115748</v>
      </c>
      <c r="BI50" s="59">
        <f ca="1">AVERAGE(OFFSET($BH$3,0,0,'Données projet'!$E$11+1,1))-AVERAGE(OFFSET($H$3,0,0,'Données projet'!$E$11+1,1))</f>
        <v>287.9055604128643</v>
      </c>
      <c r="BJ50" s="59">
        <f t="shared" si="38"/>
        <v>197.74605993031139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6.8261741532413396</v>
      </c>
      <c r="BQ50" s="21">
        <f>EXP(-LN(2)/25)*BQ49+(1-EXP(-LN(2)/25))/(LN(2)/25)*Calculateur!BL50*Calculateur!BN50*VLOOKUP('Données projet'!$B$11,Paramètres!$A$1:$I$89,3,0)*0.475*44/12</f>
        <v>32.029254830963495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38.855428984204835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3.8461538461538454</v>
      </c>
      <c r="BY50" s="12">
        <f>IF('Données projet'!$A$114&gt;35,BY49+BX50-CG49,IF(A50&lt;'Données projet'!$A$114,$BV$205^A50,IF(A50='Données projet'!$A$114,'Données projet'!$B$114,BY49+BX50-CG49)))</f>
        <v>99.358974358974336</v>
      </c>
      <c r="BZ50" s="13">
        <f>BY50*VLOOKUP('Données projet'!$B$12,Paramètres!$A$1:$I$89,3,0)*VLOOKUP('Données projet'!$B$12,Paramètres!$A$1:$I$89,5,0)</f>
        <v>86.8</v>
      </c>
      <c r="CA50" s="13">
        <f t="shared" si="39"/>
        <v>23.791843477385203</v>
      </c>
      <c r="CB50" s="20">
        <f t="shared" si="10"/>
        <v>192.61412738977921</v>
      </c>
      <c r="CC50" s="59">
        <f t="shared" si="11"/>
        <v>485.9474607231125</v>
      </c>
      <c r="CD50" s="59">
        <f ca="1">AVERAGE(OFFSET($CC$3,0,0,'Données projet'!$E$12+1,1))-AVERAGE(OFFSET($H$3,0,0,'Données projet'!$E$12+1,1))</f>
        <v>201.78062426023638</v>
      </c>
      <c r="CE50" s="59">
        <f t="shared" si="40"/>
        <v>183.0364139873468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8.2163477574054653</v>
      </c>
      <c r="CL50" s="21">
        <f>EXP(-LN(2)/25)*CL49+(1-EXP(-LN(2)/25))/(LN(2)/25)*Calculateur!CG50*Calculateur!CI50*VLOOKUP('Données projet'!$B$12,Paramètres!$A$1:$I$89,3,0)*0.475*44/12</f>
        <v>7.906048754417311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16.122396511822778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1.5724799999999985</v>
      </c>
      <c r="D51" s="11">
        <f t="shared" si="32"/>
        <v>0.68747148021096405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0.87226197481826639</v>
      </c>
      <c r="H51" s="67">
        <f t="shared" si="1"/>
        <v>260.60274882803412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15.725555555555552</v>
      </c>
      <c r="N51" s="13">
        <f>IF('Données projet'!$A$36&gt;35,N50+M51-V50,IF(A51&lt;'Données projet'!$A$36,$K$205^A51,IF(A51='Données projet'!$A$36,'Données projet'!$B$36,N50+M51-V50)))</f>
        <v>338.48888888888905</v>
      </c>
      <c r="O51" s="13">
        <f>N51*VLOOKUP('Données projet'!$B$9,Paramètres!$A$1:$I$89,3,0)*VLOOKUP('Données projet'!$B$9,Paramètres!$A$1:$I$89,5,0)</f>
        <v>202.41635555555567</v>
      </c>
      <c r="P51" s="13">
        <f t="shared" si="33"/>
        <v>50.274837801805468</v>
      </c>
      <c r="Q51" s="20">
        <f t="shared" si="53"/>
        <v>440.10382843073722</v>
      </c>
      <c r="R51" s="59">
        <f t="shared" si="0"/>
        <v>733.43716176407054</v>
      </c>
      <c r="S51" s="59">
        <f ca="1">AVERAGE(OFFSET($R$3,0,0,'Données projet'!$E$9+1,1))-AVERAGE(OFFSET($H$3,0,0,'Données projet'!$E$9+1,1))</f>
        <v>346.2919953121168</v>
      </c>
      <c r="T51" s="59">
        <f t="shared" si="34"/>
        <v>255.63939678041237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9.1664056749536833</v>
      </c>
      <c r="AA51" s="21">
        <f>EXP(-LN(2)/25)*AA50+(1-EXP(-LN(2)/25))/(LN(2)/25)*Calculateur!V51*Calculateur!X51*VLOOKUP('Données projet'!$B$9,Paramètres!$A$1:$I$89,3,0)*0.475*44/12</f>
        <v>23.106162835518028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32.272568510471714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14.64374999999999</v>
      </c>
      <c r="AI51" s="13">
        <f>IF('Données projet'!$A$62&gt;35,AI50+AH51-AQ50,IF(A51&lt;'Données projet'!$A$62,$AF$205^A51,IF(A51='Données projet'!$A$62,'Données projet'!$B$62,AI50+AH51-AQ50)))</f>
        <v>348.01499999999993</v>
      </c>
      <c r="AJ51" s="13">
        <f>AI51*VLOOKUP('Données projet'!$B$10,Paramètres!$A$1:$I$89,3,0)*VLOOKUP('Données projet'!$B$10,Paramètres!$A$1:$I$89,5,0)</f>
        <v>208.11296999999999</v>
      </c>
      <c r="AK51" s="13">
        <f t="shared" si="35"/>
        <v>51.52300578513217</v>
      </c>
      <c r="AL51" s="20">
        <f t="shared" si="4"/>
        <v>452.19932449243839</v>
      </c>
      <c r="AM51" s="59">
        <f t="shared" si="5"/>
        <v>745.53265782577171</v>
      </c>
      <c r="AN51" s="59">
        <f ca="1">AVERAGE(OFFSET($AM$3,0,0,'Données projet'!$E$10+1,1))-AVERAGE(OFFSET($H$3,0,0,'Données projet'!$E$10+1,1))</f>
        <v>298.32148815673816</v>
      </c>
      <c r="AO51" s="59">
        <f t="shared" si="36"/>
        <v>303.51754260758827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12.016475790064547</v>
      </c>
      <c r="AV51" s="21">
        <f>EXP(-LN(2)/25)*AV50+(1-EXP(-LN(2)/25))/(LN(2)/25)*Calculateur!AQ51*Calculateur!AS51*VLOOKUP('Données projet'!$B$10,Paramètres!$A$1:$I$89,3,0)*0.475*44/12</f>
        <v>32.016913225312003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44.033389015376549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9.6675000000000004</v>
      </c>
      <c r="BD51" s="12">
        <f>IF('Données projet'!$A$88&gt;35,BD50+BC51-BL50,IF(A51&lt;'Données projet'!$A$88,$BA$205^A51,IF(A51='Données projet'!$A$88,'Données projet'!$B$88,BD50+BC51-BL50)))</f>
        <v>234.52999999999992</v>
      </c>
      <c r="BE51" s="13">
        <f>BD51*VLOOKUP('Données projet'!$B$11,Paramètres!$A$1:$I$89,3,0)*VLOOKUP('Données projet'!$B$11,Paramètres!$A$1:$I$89,5,0)</f>
        <v>134.15115999999995</v>
      </c>
      <c r="BF51" s="13">
        <f t="shared" si="37"/>
        <v>34.953808720643778</v>
      </c>
      <c r="BG51" s="20">
        <f t="shared" si="7"/>
        <v>294.52448718845449</v>
      </c>
      <c r="BH51" s="59">
        <f t="shared" si="8"/>
        <v>587.85782052178774</v>
      </c>
      <c r="BI51" s="59">
        <f ca="1">AVERAGE(OFFSET($BH$3,0,0,'Données projet'!$E$11+1,1))-AVERAGE(OFFSET($H$3,0,0,'Données projet'!$E$11+1,1))</f>
        <v>287.9055604128643</v>
      </c>
      <c r="BJ51" s="59">
        <f t="shared" si="38"/>
        <v>197.74605993031139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6.6923170416513935</v>
      </c>
      <c r="BQ51" s="21">
        <f>EXP(-LN(2)/25)*BQ50+(1-EXP(-LN(2)/25))/(LN(2)/25)*Calculateur!BL51*Calculateur!BN51*VLOOKUP('Données projet'!$B$11,Paramètres!$A$1:$I$89,3,0)*0.475*44/12</f>
        <v>31.153413173265491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37.845730214916884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3.8461538461538454</v>
      </c>
      <c r="BY51" s="12">
        <f>IF('Données projet'!$A$114&gt;35,BY50+BX51-CG50,IF(A51&lt;'Données projet'!$A$114,$BV$205^A51,IF(A51='Données projet'!$A$114,'Données projet'!$B$114,BY50+BX51-CG50)))</f>
        <v>103.20512820512818</v>
      </c>
      <c r="BZ51" s="13">
        <f>BY51*VLOOKUP('Données projet'!$B$12,Paramètres!$A$1:$I$89,3,0)*VLOOKUP('Données projet'!$B$12,Paramètres!$A$1:$I$89,5,0)</f>
        <v>90.159999999999982</v>
      </c>
      <c r="CA51" s="13">
        <f t="shared" si="39"/>
        <v>24.603809151169582</v>
      </c>
      <c r="CB51" s="20">
        <f t="shared" si="10"/>
        <v>199.88030093828698</v>
      </c>
      <c r="CC51" s="59">
        <f t="shared" si="11"/>
        <v>493.21363427162032</v>
      </c>
      <c r="CD51" s="59">
        <f ca="1">AVERAGE(OFFSET($CC$3,0,0,'Données projet'!$E$12+1,1))-AVERAGE(OFFSET($H$3,0,0,'Données projet'!$E$12+1,1))</f>
        <v>201.78062426023638</v>
      </c>
      <c r="CE51" s="59">
        <f t="shared" si="40"/>
        <v>183.0364139873468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8.0552301893600333</v>
      </c>
      <c r="CL51" s="21">
        <f>EXP(-LN(2)/25)*CL50+(1-EXP(-LN(2)/25))/(LN(2)/25)*Calculateur!CG51*Calculateur!CI51*VLOOKUP('Données projet'!$B$12,Paramètres!$A$1:$I$89,3,0)*0.475*44/12</f>
        <v>7.6898574354667355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15.74508762482677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1.6052399999999984</v>
      </c>
      <c r="D52" s="11">
        <f t="shared" si="32"/>
        <v>0.70011145760827209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0.88978477311196402</v>
      </c>
      <c r="H52" s="67">
        <f t="shared" si="1"/>
        <v>260.68182045533445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15.725555555555552</v>
      </c>
      <c r="N52" s="13">
        <f>IF('Données projet'!$A$36&gt;35,N51+M52-V51,IF(A52&lt;'Données projet'!$A$36,$K$205^A52,IF(A52='Données projet'!$A$36,'Données projet'!$B$36,N51+M52-V51)))</f>
        <v>354.21444444444461</v>
      </c>
      <c r="O52" s="13">
        <f>N52*VLOOKUP('Données projet'!$B$9,Paramètres!$A$1:$I$89,3,0)*VLOOKUP('Données projet'!$B$9,Paramètres!$A$1:$I$89,5,0)</f>
        <v>211.82023777777789</v>
      </c>
      <c r="P52" s="13">
        <f t="shared" si="33"/>
        <v>52.333153433287507</v>
      </c>
      <c r="Q52" s="20">
        <f t="shared" si="53"/>
        <v>460.06715635927225</v>
      </c>
      <c r="R52" s="59">
        <f t="shared" si="0"/>
        <v>753.40048969260556</v>
      </c>
      <c r="S52" s="59">
        <f ca="1">AVERAGE(OFFSET($R$3,0,0,'Données projet'!$E$9+1,1))-AVERAGE(OFFSET($H$3,0,0,'Données projet'!$E$9+1,1))</f>
        <v>346.2919953121168</v>
      </c>
      <c r="T52" s="59">
        <f t="shared" si="34"/>
        <v>255.63939678041237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8.9866580506232427</v>
      </c>
      <c r="AA52" s="21">
        <f>EXP(-LN(2)/25)*AA51+(1-EXP(-LN(2)/25))/(LN(2)/25)*Calculateur!V52*Calculateur!X52*VLOOKUP('Données projet'!$B$9,Paramètres!$A$1:$I$89,3,0)*0.475*44/12</f>
        <v>22.474323597680492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31.460981648303736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14.64374999999999</v>
      </c>
      <c r="AI52" s="13">
        <f>IF('Données projet'!$A$62&gt;35,AI51+AH52-AQ51,IF(A52&lt;'Données projet'!$A$62,$AF$205^A52,IF(A52='Données projet'!$A$62,'Données projet'!$B$62,AI51+AH52-AQ51)))</f>
        <v>362.65874999999994</v>
      </c>
      <c r="AJ52" s="13">
        <f>AI52*VLOOKUP('Données projet'!$B$10,Paramètres!$A$1:$I$89,3,0)*VLOOKUP('Données projet'!$B$10,Paramètres!$A$1:$I$89,5,0)</f>
        <v>216.86993249999998</v>
      </c>
      <c r="AK52" s="13">
        <f t="shared" si="35"/>
        <v>53.434014686329654</v>
      </c>
      <c r="AL52" s="20">
        <f t="shared" si="4"/>
        <v>470.77937468285745</v>
      </c>
      <c r="AM52" s="59">
        <f t="shared" si="5"/>
        <v>764.11270801619071</v>
      </c>
      <c r="AN52" s="59">
        <f ca="1">AVERAGE(OFFSET($AM$3,0,0,'Données projet'!$E$10+1,1))-AVERAGE(OFFSET($H$3,0,0,'Données projet'!$E$10+1,1))</f>
        <v>298.32148815673816</v>
      </c>
      <c r="AO52" s="59">
        <f t="shared" si="36"/>
        <v>303.51754260758827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11.780840029147901</v>
      </c>
      <c r="AV52" s="21">
        <f>EXP(-LN(2)/25)*AV51+(1-EXP(-LN(2)/25))/(LN(2)/25)*Calculateur!AQ52*Calculateur!AS52*VLOOKUP('Données projet'!$B$10,Paramètres!$A$1:$I$89,3,0)*0.475*44/12</f>
        <v>31.141409049469555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42.922249078617455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9.6675000000000004</v>
      </c>
      <c r="BD52" s="12">
        <f>IF('Données projet'!$A$88&gt;35,BD51+BC52-BL51,IF(A52&lt;'Données projet'!$A$88,$BA$205^A52,IF(A52='Données projet'!$A$88,'Données projet'!$B$88,BD51+BC52-BL51)))</f>
        <v>244.19749999999991</v>
      </c>
      <c r="BE52" s="13">
        <f>BD52*VLOOKUP('Données projet'!$B$11,Paramètres!$A$1:$I$89,3,0)*VLOOKUP('Données projet'!$B$11,Paramètres!$A$1:$I$89,5,0)</f>
        <v>139.68096999999995</v>
      </c>
      <c r="BF52" s="13">
        <f t="shared" si="37"/>
        <v>36.223910500783802</v>
      </c>
      <c r="BG52" s="20">
        <f t="shared" si="7"/>
        <v>306.36766687219836</v>
      </c>
      <c r="BH52" s="59">
        <f t="shared" si="8"/>
        <v>599.70100020553173</v>
      </c>
      <c r="BI52" s="59">
        <f ca="1">AVERAGE(OFFSET($BH$3,0,0,'Données projet'!$E$11+1,1))-AVERAGE(OFFSET($H$3,0,0,'Données projet'!$E$11+1,1))</f>
        <v>287.9055604128643</v>
      </c>
      <c r="BJ52" s="59">
        <f t="shared" si="38"/>
        <v>197.74605993031139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6.5610847863749502</v>
      </c>
      <c r="BQ52" s="21">
        <f>EXP(-LN(2)/25)*BQ51+(1-EXP(-LN(2)/25))/(LN(2)/25)*Calculateur!BL52*Calculateur!BN52*VLOOKUP('Données projet'!$B$11,Paramètres!$A$1:$I$89,3,0)*0.475*44/12</f>
        <v>30.30152145175575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36.862606238130702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3.8461538461538454</v>
      </c>
      <c r="BY52" s="12">
        <f>IF('Données projet'!$A$114&gt;35,BY51+BX52-CG51,IF(A52&lt;'Données projet'!$A$114,$BV$205^A52,IF(A52='Données projet'!$A$114,'Données projet'!$B$114,BY51+BX52-CG51)))</f>
        <v>107.05128205128202</v>
      </c>
      <c r="BZ52" s="13">
        <f>BY52*VLOOKUP('Données projet'!$B$12,Paramètres!$A$1:$I$89,3,0)*VLOOKUP('Données projet'!$B$12,Paramètres!$A$1:$I$89,5,0)</f>
        <v>93.519999999999982</v>
      </c>
      <c r="CA52" s="13">
        <f t="shared" si="39"/>
        <v>25.412259377583915</v>
      </c>
      <c r="CB52" s="20">
        <f t="shared" si="10"/>
        <v>207.14035174929197</v>
      </c>
      <c r="CC52" s="59">
        <f t="shared" si="11"/>
        <v>500.47368508262525</v>
      </c>
      <c r="CD52" s="59">
        <f ca="1">AVERAGE(OFFSET($CC$3,0,0,'Données projet'!$E$12+1,1))-AVERAGE(OFFSET($H$3,0,0,'Données projet'!$E$12+1,1))</f>
        <v>201.78062426023638</v>
      </c>
      <c r="CE52" s="59">
        <f t="shared" si="40"/>
        <v>183.0364139873468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7.8972720385519599</v>
      </c>
      <c r="CL52" s="21">
        <f>EXP(-LN(2)/25)*CL51+(1-EXP(-LN(2)/25))/(LN(2)/25)*Calculateur!CG52*Calculateur!CI52*VLOOKUP('Données projet'!$B$12,Paramètres!$A$1:$I$89,3,0)*0.475*44/12</f>
        <v>7.4795778795018704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15.37684991805383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1.6379999999999983</v>
      </c>
      <c r="D53" s="11">
        <f t="shared" si="32"/>
        <v>0.71272144204531995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0.90729599517538606</v>
      </c>
      <c r="H53" s="67">
        <f t="shared" si="1"/>
        <v>260.7608398448956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369.94</v>
      </c>
      <c r="L53" s="12">
        <f>VLOOKUP(A53,'Données projet'!$A$35:$I$55,9,0)</f>
        <v>15.725555555555552</v>
      </c>
      <c r="M53" s="12">
        <f t="array" ref="M53">INDEX(L:L,MIN(IF(ISNUMBER(L53:L249),ROW(L53:L249),"")))</f>
        <v>15.725555555555552</v>
      </c>
      <c r="N53" s="13">
        <f>IF('Données projet'!$A$36&gt;35,N52+M53-V52,IF(A53&lt;'Données projet'!$A$36,$K$205^A53,IF(A53='Données projet'!$A$36,'Données projet'!$B$36,N52+M53-V52)))</f>
        <v>369.94000000000017</v>
      </c>
      <c r="O53" s="13">
        <f>N53*VLOOKUP('Données projet'!$B$9,Paramètres!$A$1:$I$89,3,0)*VLOOKUP('Données projet'!$B$9,Paramètres!$A$1:$I$89,5,0)</f>
        <v>221.22412000000014</v>
      </c>
      <c r="P53" s="13">
        <f t="shared" si="33"/>
        <v>54.380856173847832</v>
      </c>
      <c r="Q53" s="20">
        <f t="shared" si="53"/>
        <v>480.01200016945177</v>
      </c>
      <c r="R53" s="59">
        <f t="shared" si="0"/>
        <v>773.34533350278502</v>
      </c>
      <c r="S53" s="59">
        <f ca="1">AVERAGE(OFFSET($R$3,0,0,'Données projet'!$E$9+1,1))-AVERAGE(OFFSET($H$3,0,0,'Données projet'!$E$9+1,1))</f>
        <v>346.2919953121168</v>
      </c>
      <c r="T53" s="59">
        <f t="shared" si="34"/>
        <v>255.63939678041237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</v>
      </c>
      <c r="W53" s="16">
        <f>IF(ISNA(VLOOKUP(A53,'Données projet'!$A$35:$I$55,5,0)),0%,VLOOKUP(A53,'Données projet'!$A$35:$I$55,5,0)*VLOOKUP('Données projet'!$B$9,Paramètres!$A$1:$I$89,7,0))</f>
        <v>9.0000000000000011E-2</v>
      </c>
      <c r="X53" s="16">
        <f>IF(ISNA(VLOOKUP(A53,'Données projet'!$A$35:$I$55,6,0)),0%,VLOOKUP(A53,'Données projet'!$A$35:$I$55,6,0)*VLOOKUP('Données projet'!$B$9,Paramètres!$A$1:$I$89,7,0))</f>
        <v>0.22500000000000001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13.822413236791974</v>
      </c>
      <c r="AA53" s="21">
        <f>EXP(-LN(2)/25)*AA52+(1-EXP(-LN(2)/25))/(LN(2)/25)*Calculateur!V53*Calculateur!X53*VLOOKUP('Données projet'!$B$9,Paramètres!$A$1:$I$89,3,0)*0.475*44/12</f>
        <v>34.340372041652074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48.162785278444048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14.64374999999999</v>
      </c>
      <c r="AI53" s="13">
        <f>IF('Données projet'!$A$62&gt;35,AI52+AH53-AQ52,IF(A53&lt;'Données projet'!$A$62,$AF$205^A53,IF(A53='Données projet'!$A$62,'Données projet'!$B$62,AI52+AH53-AQ52)))</f>
        <v>377.30249999999995</v>
      </c>
      <c r="AJ53" s="13">
        <f>AI53*VLOOKUP('Données projet'!$B$10,Paramètres!$A$1:$I$89,3,0)*VLOOKUP('Données projet'!$B$10,Paramètres!$A$1:$I$89,5,0)</f>
        <v>225.62689499999999</v>
      </c>
      <c r="AK53" s="13">
        <f t="shared" si="35"/>
        <v>55.336060156511813</v>
      </c>
      <c r="AL53" s="20">
        <f t="shared" si="4"/>
        <v>489.34381356425803</v>
      </c>
      <c r="AM53" s="59">
        <f t="shared" si="5"/>
        <v>782.67714689759134</v>
      </c>
      <c r="AN53" s="59">
        <f ca="1">AVERAGE(OFFSET($AM$3,0,0,'Données projet'!$E$10+1,1))-AVERAGE(OFFSET($H$3,0,0,'Données projet'!$E$10+1,1))</f>
        <v>298.32148815673816</v>
      </c>
      <c r="AO53" s="59">
        <f t="shared" si="36"/>
        <v>303.51754260758827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11.54982494177921</v>
      </c>
      <c r="AV53" s="21">
        <f>EXP(-LN(2)/25)*AV52+(1-EXP(-LN(2)/25))/(LN(2)/25)*Calculateur!AQ53*Calculateur!AS53*VLOOKUP('Données projet'!$B$10,Paramètres!$A$1:$I$89,3,0)*0.475*44/12</f>
        <v>30.289845581356282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41.839670523135496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9.6675000000000004</v>
      </c>
      <c r="BD53" s="12">
        <f>IF('Données projet'!$A$88&gt;35,BD52+BC53-BL52,IF(A53&lt;'Données projet'!$A$88,$BA$205^A53,IF(A53='Données projet'!$A$88,'Données projet'!$B$88,BD52+BC53-BL52)))</f>
        <v>253.8649999999999</v>
      </c>
      <c r="BE53" s="13">
        <f>BD53*VLOOKUP('Données projet'!$B$11,Paramètres!$A$1:$I$89,3,0)*VLOOKUP('Données projet'!$B$11,Paramètres!$A$1:$I$89,5,0)</f>
        <v>145.21077999999994</v>
      </c>
      <c r="BF53" s="13">
        <f t="shared" si="37"/>
        <v>37.488171323475001</v>
      </c>
      <c r="BG53" s="20">
        <f t="shared" si="7"/>
        <v>318.20067355505216</v>
      </c>
      <c r="BH53" s="59">
        <f t="shared" si="8"/>
        <v>611.53400688838542</v>
      </c>
      <c r="BI53" s="59">
        <f ca="1">AVERAGE(OFFSET($BH$3,0,0,'Données projet'!$E$11+1,1))-AVERAGE(OFFSET($H$3,0,0,'Données projet'!$E$11+1,1))</f>
        <v>287.9055604128643</v>
      </c>
      <c r="BJ53" s="59">
        <f t="shared" si="38"/>
        <v>197.74605993031139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6.4324259155807058</v>
      </c>
      <c r="BQ53" s="21">
        <f>EXP(-LN(2)/25)*BQ52+(1-EXP(-LN(2)/25))/(LN(2)/25)*Calculateur!BL53*Calculateur!BN53*VLOOKUP('Données projet'!$B$11,Paramètres!$A$1:$I$89,3,0)*0.475*44/12</f>
        <v>29.472924754169732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35.90535066975044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110.89743589743588</v>
      </c>
      <c r="BW53" s="12">
        <f>VLOOKUP(A53,'Données projet'!$A$113:$I$133,9,0)</f>
        <v>3.8461538461538454</v>
      </c>
      <c r="BX53" s="12">
        <f t="array" ref="BX53">INDEX(BW:BW,MIN(IF(ISNUMBER(BW53:BW249),ROW(BW53:BW249),"")))</f>
        <v>3.8461538461538454</v>
      </c>
      <c r="BY53" s="12">
        <f>IF('Données projet'!$A$114&gt;35,BY52+BX53-CG52,IF(A53&lt;'Données projet'!$A$114,$BV$205^A53,IF(A53='Données projet'!$A$114,'Données projet'!$B$114,BY52+BX53-CG52)))</f>
        <v>110.89743589743586</v>
      </c>
      <c r="BZ53" s="13">
        <f>BY53*VLOOKUP('Données projet'!$B$12,Paramètres!$A$1:$I$89,3,0)*VLOOKUP('Données projet'!$B$12,Paramètres!$A$1:$I$89,5,0)</f>
        <v>96.879999999999981</v>
      </c>
      <c r="CA53" s="13">
        <f t="shared" si="39"/>
        <v>26.217334929013017</v>
      </c>
      <c r="CB53" s="20">
        <f t="shared" si="10"/>
        <v>214.39452500136431</v>
      </c>
      <c r="CC53" s="59">
        <f t="shared" si="11"/>
        <v>507.72785833469766</v>
      </c>
      <c r="CD53" s="59">
        <f ca="1">AVERAGE(OFFSET($CC$3,0,0,'Données projet'!$E$12+1,1))-AVERAGE(OFFSET($H$3,0,0,'Données projet'!$E$12+1,1))</f>
        <v>201.78062426023638</v>
      </c>
      <c r="CE53" s="59">
        <f t="shared" si="40"/>
        <v>183.0364139873468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11.538461538461538</v>
      </c>
      <c r="CH53" s="16">
        <f>IF(ISNA(VLOOKUP(A53,'Données projet'!$A$113:$I$133,5,0)),0%,VLOOKUP(A53,'Données projet'!$A$113:$I$133,5,0)*VLOOKUP('Données projet'!$B$12,Paramètres!$A$1:$I$89,7,0))</f>
        <v>0.25800000000000001</v>
      </c>
      <c r="CI53" s="16">
        <f>IF(ISNA(VLOOKUP(A53,'Données projet'!$A$113:$I$133,6,0)),0%,VLOOKUP(A53,'Données projet'!$A$113:$I$133,6,0)*VLOOKUP('Données projet'!$B$12,Paramètres!$A$1:$I$89,7,0))</f>
        <v>0.129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10.617341838564846</v>
      </c>
      <c r="CL53" s="21">
        <f>EXP(-LN(2)/25)*CL52+(1-EXP(-LN(2)/25))/(LN(2)/25)*Calculateur!CG53*Calculateur!CI53*VLOOKUP('Données projet'!$B$12,Paramètres!$A$1:$I$89,3,0)*0.475*44/12</f>
        <v>8.7068538245847833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19.324195663149631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1.6707599999999982</v>
      </c>
      <c r="D54" s="11">
        <f t="shared" si="32"/>
        <v>0.725302102516031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0.92479589921671301</v>
      </c>
      <c r="H54" s="67">
        <f t="shared" si="1"/>
        <v>260.8398081618821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14.12</v>
      </c>
      <c r="N54" s="13">
        <f>IF('Données projet'!$A$36&gt;35,N53+M54-V53,IF(A54&lt;'Données projet'!$A$36,$K$205^A54,IF(A54='Données projet'!$A$36,'Données projet'!$B$36,N53+M54-V53)))</f>
        <v>313.86000000000018</v>
      </c>
      <c r="O54" s="13">
        <f>N54*VLOOKUP('Données projet'!$B$9,Paramètres!$A$1:$I$89,3,0)*VLOOKUP('Données projet'!$B$9,Paramètres!$A$1:$I$89,5,0)</f>
        <v>187.68828000000013</v>
      </c>
      <c r="P54" s="13">
        <f t="shared" si="33"/>
        <v>47.028500822168901</v>
      </c>
      <c r="Q54" s="20">
        <f t="shared" si="53"/>
        <v>408.79839326527775</v>
      </c>
      <c r="R54" s="59">
        <f t="shared" si="0"/>
        <v>702.13172659861107</v>
      </c>
      <c r="S54" s="59">
        <f ca="1">AVERAGE(OFFSET($R$3,0,0,'Données projet'!$E$9+1,1))-AVERAGE(OFFSET($H$3,0,0,'Données projet'!$E$9+1,1))</f>
        <v>346.2919953121168</v>
      </c>
      <c r="T54" s="59">
        <f t="shared" si="34"/>
        <v>255.63939678041237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13.551364144058081</v>
      </c>
      <c r="AA54" s="21">
        <f>EXP(-LN(2)/25)*AA53+(1-EXP(-LN(2)/25))/(LN(2)/25)*Calculateur!V54*Calculateur!X54*VLOOKUP('Données projet'!$B$9,Paramètres!$A$1:$I$89,3,0)*0.475*44/12</f>
        <v>33.401332762291418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46.952696906349502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14.64374999999999</v>
      </c>
      <c r="AI54" s="13">
        <f>IF('Données projet'!$A$62&gt;35,AI53+AH54-AQ53,IF(A54&lt;'Données projet'!$A$62,$AF$205^A54,IF(A54='Données projet'!$A$62,'Données projet'!$B$62,AI53+AH54-AQ53)))</f>
        <v>391.94624999999996</v>
      </c>
      <c r="AJ54" s="13">
        <f>AI54*VLOOKUP('Données projet'!$B$10,Paramètres!$A$1:$I$89,3,0)*VLOOKUP('Données projet'!$B$10,Paramètres!$A$1:$I$89,5,0)</f>
        <v>234.3838575</v>
      </c>
      <c r="AK54" s="13">
        <f t="shared" si="35"/>
        <v>57.229529897835612</v>
      </c>
      <c r="AL54" s="20">
        <f t="shared" si="4"/>
        <v>507.89331638456366</v>
      </c>
      <c r="AM54" s="59">
        <f t="shared" si="5"/>
        <v>801.22664971789698</v>
      </c>
      <c r="AN54" s="59">
        <f ca="1">AVERAGE(OFFSET($AM$3,0,0,'Données projet'!$E$10+1,1))-AVERAGE(OFFSET($H$3,0,0,'Données projet'!$E$10+1,1))</f>
        <v>298.32148815673816</v>
      </c>
      <c r="AO54" s="59">
        <f t="shared" si="36"/>
        <v>303.51754260758827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11.323339919368529</v>
      </c>
      <c r="AV54" s="21">
        <f>EXP(-LN(2)/25)*AV53+(1-EXP(-LN(2)/25))/(LN(2)/25)*Calculateur!AQ54*Calculateur!AS54*VLOOKUP('Données projet'!$B$10,Paramètres!$A$1:$I$89,3,0)*0.475*44/12</f>
        <v>29.461568161060345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40.784908080428877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9.6675000000000004</v>
      </c>
      <c r="BD54" s="12">
        <f>IF('Données projet'!$A$88&gt;35,BD53+BC54-BL53,IF(A54&lt;'Données projet'!$A$88,$BA$205^A54,IF(A54='Données projet'!$A$88,'Données projet'!$B$88,BD53+BC54-BL53)))</f>
        <v>263.53249999999991</v>
      </c>
      <c r="BE54" s="13">
        <f>BD54*VLOOKUP('Données projet'!$B$11,Paramètres!$A$1:$I$89,3,0)*VLOOKUP('Données projet'!$B$11,Paramètres!$A$1:$I$89,5,0)</f>
        <v>150.74058999999994</v>
      </c>
      <c r="BF54" s="13">
        <f t="shared" si="37"/>
        <v>38.746839083162207</v>
      </c>
      <c r="BG54" s="20">
        <f t="shared" si="7"/>
        <v>330.0239389865074</v>
      </c>
      <c r="BH54" s="59">
        <f t="shared" si="8"/>
        <v>623.35727231984072</v>
      </c>
      <c r="BI54" s="59">
        <f ca="1">AVERAGE(OFFSET($BH$3,0,0,'Données projet'!$E$11+1,1))-AVERAGE(OFFSET($H$3,0,0,'Données projet'!$E$11+1,1))</f>
        <v>287.9055604128643</v>
      </c>
      <c r="BJ54" s="59">
        <f t="shared" si="38"/>
        <v>197.74605993031139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6.3062899667685741</v>
      </c>
      <c r="BQ54" s="21">
        <f>EXP(-LN(2)/25)*BQ53+(1-EXP(-LN(2)/25))/(LN(2)/25)*Calculateur!BL54*Calculateur!BN54*VLOOKUP('Données projet'!$B$11,Paramètres!$A$1:$I$89,3,0)*0.475*44/12</f>
        <v>28.66698607685321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34.97327604362178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3.3333333333333344</v>
      </c>
      <c r="BY54" s="12">
        <f>IF('Données projet'!$A$114&gt;35,BY53+BX54-CG53,IF(A54&lt;'Données projet'!$A$114,$BV$205^A54,IF(A54='Données projet'!$A$114,'Données projet'!$B$114,BY53+BX54-CG53)))</f>
        <v>102.69230769230765</v>
      </c>
      <c r="BZ54" s="13">
        <f>BY54*VLOOKUP('Données projet'!$B$12,Paramètres!$A$1:$I$89,3,0)*VLOOKUP('Données projet'!$B$12,Paramètres!$A$1:$I$89,5,0)</f>
        <v>89.711999999999975</v>
      </c>
      <c r="CA54" s="13">
        <f t="shared" si="39"/>
        <v>24.495753377522234</v>
      </c>
      <c r="CB54" s="20">
        <f t="shared" si="10"/>
        <v>198.91183713251783</v>
      </c>
      <c r="CC54" s="59">
        <f t="shared" si="11"/>
        <v>492.24517046585117</v>
      </c>
      <c r="CD54" s="59">
        <f ca="1">AVERAGE(OFFSET($CC$3,0,0,'Données projet'!$E$12+1,1))-AVERAGE(OFFSET($H$3,0,0,'Données projet'!$E$12+1,1))</f>
        <v>201.78062426023638</v>
      </c>
      <c r="CE54" s="59">
        <f t="shared" si="40"/>
        <v>183.0364139873468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10.409142241049665</v>
      </c>
      <c r="CL54" s="21">
        <f>EXP(-LN(2)/25)*CL53+(1-EXP(-LN(2)/25))/(LN(2)/25)*Calculateur!CG54*Calculateur!CI54*VLOOKUP('Données projet'!$B$12,Paramètres!$A$1:$I$89,3,0)*0.475*44/12</f>
        <v>8.4687644488779696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18.877906689927634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1.7035199999999981</v>
      </c>
      <c r="D55" s="11">
        <f t="shared" si="32"/>
        <v>0.73785408027872135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0.94228473273915503</v>
      </c>
      <c r="H55" s="67">
        <f t="shared" si="1"/>
        <v>260.91872652315215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14.12</v>
      </c>
      <c r="N55" s="13">
        <f>IF('Données projet'!$A$36&gt;35,N54+M55-V54,IF(A55&lt;'Données projet'!$A$36,$K$205^A55,IF(A55='Données projet'!$A$36,'Données projet'!$B$36,N54+M55-V54)))</f>
        <v>327.98000000000019</v>
      </c>
      <c r="O55" s="13">
        <f>N55*VLOOKUP('Données projet'!$B$9,Paramètres!$A$1:$I$89,3,0)*VLOOKUP('Données projet'!$B$9,Paramètres!$A$1:$I$89,5,0)</f>
        <v>196.13204000000013</v>
      </c>
      <c r="P55" s="13">
        <f t="shared" si="33"/>
        <v>48.893143423385645</v>
      </c>
      <c r="Q55" s="20">
        <f t="shared" si="53"/>
        <v>426.75219446239686</v>
      </c>
      <c r="R55" s="59">
        <f t="shared" si="0"/>
        <v>720.08552779573017</v>
      </c>
      <c r="S55" s="59">
        <f ca="1">AVERAGE(OFFSET($R$3,0,0,'Données projet'!$E$9+1,1))-AVERAGE(OFFSET($H$3,0,0,'Données projet'!$E$9+1,1))</f>
        <v>346.2919953121168</v>
      </c>
      <c r="T55" s="59">
        <f t="shared" si="34"/>
        <v>255.63939678041237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13.285630158709077</v>
      </c>
      <c r="AA55" s="21">
        <f>EXP(-LN(2)/25)*AA54+(1-EXP(-LN(2)/25))/(LN(2)/25)*Calculateur!V55*Calculateur!X55*VLOOKUP('Données projet'!$B$9,Paramètres!$A$1:$I$89,3,0)*0.475*44/12</f>
        <v>32.487971561406809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45.773601720115884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406.59</v>
      </c>
      <c r="AG55" s="12">
        <f>VLOOKUP(A55,'Données projet'!$A$61:$I$81,9,0)</f>
        <v>14.64374999999999</v>
      </c>
      <c r="AH55" s="12">
        <f t="array" ref="AH55">INDEX(AG:AG,MIN(IF(ISNUMBER(AG55:AG251),ROW(AG55:AG251),"")))</f>
        <v>14.64374999999999</v>
      </c>
      <c r="AI55" s="13">
        <f>IF('Données projet'!$A$62&gt;35,AI54+AH55-AQ54,IF(A55&lt;'Données projet'!$A$62,$AF$205^A55,IF(A55='Données projet'!$A$62,'Données projet'!$B$62,AI54+AH55-AQ54)))</f>
        <v>406.59</v>
      </c>
      <c r="AJ55" s="13">
        <f>AI55*VLOOKUP('Données projet'!$B$10,Paramètres!$A$1:$I$89,3,0)*VLOOKUP('Données projet'!$B$10,Paramètres!$A$1:$I$89,5,0)</f>
        <v>243.14081999999999</v>
      </c>
      <c r="AK55" s="13">
        <f t="shared" si="35"/>
        <v>59.114781000830845</v>
      </c>
      <c r="AL55" s="20">
        <f t="shared" si="4"/>
        <v>526.42850507644698</v>
      </c>
      <c r="AM55" s="59">
        <f t="shared" si="5"/>
        <v>819.76183840978024</v>
      </c>
      <c r="AN55" s="59">
        <f ca="1">AVERAGE(OFFSET($AM$3,0,0,'Données projet'!$E$10+1,1))-AVERAGE(OFFSET($H$3,0,0,'Données projet'!$E$10+1,1))</f>
        <v>298.32148815673816</v>
      </c>
      <c r="AO55" s="59">
        <f t="shared" si="36"/>
        <v>303.51754260758827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75.37</v>
      </c>
      <c r="AR55" s="16">
        <f>IF(ISNA(VLOOKUP(A55,'Données projet'!$A$61:$I$81,5,0)),0%,VLOOKUP(A55,'Données projet'!$A$61:$I$81,5,0)*VLOOKUP('Données projet'!$B$10,Paramètres!$A$1:$I$89,7,0))</f>
        <v>0.315</v>
      </c>
      <c r="AS55" s="16">
        <f>IF(ISNA(VLOOKUP(A55,'Données projet'!$A$61:$I$81,6,0)),0%,VLOOKUP(A55,'Données projet'!$A$61:$I$81,6,0)*VLOOKUP('Données projet'!$B$10,Paramètres!$A$1:$I$89,7,0))</f>
        <v>0.13500000000000001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29.935124545635382</v>
      </c>
      <c r="AV55" s="21">
        <f>EXP(-LN(2)/25)*AV54+(1-EXP(-LN(2)/25))/(LN(2)/25)*Calculateur!AQ55*Calculateur!AS55*VLOOKUP('Données projet'!$B$10,Paramètres!$A$1:$I$89,3,0)*0.475*44/12</f>
        <v>36.695799654725519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66.630924200360909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273.2</v>
      </c>
      <c r="BB55" s="12">
        <f>VLOOKUP(A55,'Données projet'!$A$87:$I$107,9,0)</f>
        <v>9.6675000000000004</v>
      </c>
      <c r="BC55" s="12">
        <f t="array" ref="BC55">INDEX(BB:BB,MIN(IF(ISNUMBER(BB55:BB251),ROW(BB55:BB251),"")))</f>
        <v>9.6675000000000004</v>
      </c>
      <c r="BD55" s="12">
        <f>IF('Données projet'!$A$88&gt;35,BD54+BC55-BL54,IF(A55&lt;'Données projet'!$A$88,$BA$205^A55,IF(A55='Données projet'!$A$88,'Données projet'!$B$88,BD54+BC55-BL54)))</f>
        <v>273.19999999999993</v>
      </c>
      <c r="BE55" s="13">
        <f>BD55*VLOOKUP('Données projet'!$B$11,Paramètres!$A$1:$I$89,3,0)*VLOOKUP('Données projet'!$B$11,Paramètres!$A$1:$I$89,5,0)</f>
        <v>156.27039999999997</v>
      </c>
      <c r="BF55" s="13">
        <f t="shared" si="37"/>
        <v>40.000142455989</v>
      </c>
      <c r="BG55" s="20">
        <f t="shared" si="7"/>
        <v>341.83786144418076</v>
      </c>
      <c r="BH55" s="59">
        <f t="shared" si="8"/>
        <v>635.17119477751407</v>
      </c>
      <c r="BI55" s="59">
        <f ca="1">AVERAGE(OFFSET($BH$3,0,0,'Données projet'!$E$11+1,1))-AVERAGE(OFFSET($H$3,0,0,'Données projet'!$E$11+1,1))</f>
        <v>287.9055604128643</v>
      </c>
      <c r="BJ55" s="59">
        <f t="shared" si="38"/>
        <v>197.74605993031139</v>
      </c>
      <c r="BK55" s="15">
        <f>IF(ISNA(VLOOKUP(A55,'Données projet'!$A$87:$I$107,3,0)),0,VLOOKUP(A55,'Données projet'!$A$87:$I$107,3,0))</f>
        <v>5</v>
      </c>
      <c r="BL55" s="15">
        <f>IF(ISNA(VLOOKUP(A55,'Données projet'!$A$87:$I$107,4,0)),0,VLOOKUP(A55,'Données projet'!$A$87:$I$107,4,0))</f>
        <v>46.24</v>
      </c>
      <c r="BM55" s="16">
        <f>IF(ISNA(VLOOKUP(A55,'Données projet'!$A$87:$I$107,5,0)),0%,VLOOKUP(A55,'Données projet'!$A$87:$I$107,5,0)*VLOOKUP('Données projet'!$B$11,Paramètres!$A$1:$I$89,7,0))</f>
        <v>0.315</v>
      </c>
      <c r="BN55" s="16">
        <f>IF(ISNA(VLOOKUP(A55,'Données projet'!$A$87:$I$107,6,0)),0%,VLOOKUP(A55,'Données projet'!$A$87:$I$107,6,0)*VLOOKUP('Données projet'!$B$11,Paramètres!$A$1:$I$89,7,0))</f>
        <v>0.13500000000000001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17.234930003767211</v>
      </c>
      <c r="BQ55" s="21">
        <f>EXP(-LN(2)/25)*BQ54+(1-EXP(-LN(2)/25))/(LN(2)/25)*Calculateur!BL55*Calculateur!BN55*VLOOKUP('Données projet'!$B$11,Paramètres!$A$1:$I$89,3,0)*0.475*44/12</f>
        <v>32.601136725241155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49.836066729008365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3.3333333333333344</v>
      </c>
      <c r="BY55" s="12">
        <f>IF('Données projet'!$A$114&gt;35,BY54+BX55-CG54,IF(A55&lt;'Données projet'!$A$114,$BV$205^A55,IF(A55='Données projet'!$A$114,'Données projet'!$B$114,BY54+BX55-CG54)))</f>
        <v>106.02564102564098</v>
      </c>
      <c r="BZ55" s="13">
        <f>BY55*VLOOKUP('Données projet'!$B$12,Paramètres!$A$1:$I$89,3,0)*VLOOKUP('Données projet'!$B$12,Paramètres!$A$1:$I$89,5,0)</f>
        <v>92.623999999999967</v>
      </c>
      <c r="CA55" s="13">
        <f t="shared" si="39"/>
        <v>25.19700823637309</v>
      </c>
      <c r="CB55" s="20">
        <f t="shared" si="10"/>
        <v>205.20492267834973</v>
      </c>
      <c r="CC55" s="59">
        <f t="shared" si="11"/>
        <v>498.53825601168307</v>
      </c>
      <c r="CD55" s="59">
        <f ca="1">AVERAGE(OFFSET($CC$3,0,0,'Données projet'!$E$12+1,1))-AVERAGE(OFFSET($H$3,0,0,'Données projet'!$E$12+1,1))</f>
        <v>201.78062426023638</v>
      </c>
      <c r="CE55" s="59">
        <f t="shared" si="40"/>
        <v>183.0364139873468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10.205025310652541</v>
      </c>
      <c r="CL55" s="21">
        <f>EXP(-LN(2)/25)*CL54+(1-EXP(-LN(2)/25))/(LN(2)/25)*Calculateur!CG55*Calculateur!CI55*VLOOKUP('Données projet'!$B$12,Paramètres!$A$1:$I$89,3,0)*0.475*44/12</f>
        <v>8.2371856396704342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18.442210950322973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1.736279999999998</v>
      </c>
      <c r="D56" s="11">
        <f t="shared" si="32"/>
        <v>0.75037799051686538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0.95976273318194727</v>
      </c>
      <c r="H56" s="67">
        <f t="shared" si="1"/>
        <v>260.99759600015022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14.12</v>
      </c>
      <c r="N56" s="13">
        <f>IF('Données projet'!$A$36&gt;35,N55+M56-V55,IF(A56&lt;'Données projet'!$A$36,$K$205^A56,IF(A56='Données projet'!$A$36,'Données projet'!$B$36,N55+M56-V55)))</f>
        <v>342.10000000000019</v>
      </c>
      <c r="O56" s="13">
        <f>N56*VLOOKUP('Données projet'!$B$9,Paramètres!$A$1:$I$89,3,0)*VLOOKUP('Données projet'!$B$9,Paramètres!$A$1:$I$89,5,0)</f>
        <v>204.57580000000013</v>
      </c>
      <c r="P56" s="13">
        <f t="shared" si="33"/>
        <v>50.748462290021173</v>
      </c>
      <c r="Q56" s="20">
        <f t="shared" si="53"/>
        <v>444.68975682178706</v>
      </c>
      <c r="R56" s="59">
        <f t="shared" si="0"/>
        <v>738.02309015512037</v>
      </c>
      <c r="S56" s="59">
        <f ca="1">AVERAGE(OFFSET($R$3,0,0,'Données projet'!$E$9+1,1))-AVERAGE(OFFSET($H$3,0,0,'Données projet'!$E$9+1,1))</f>
        <v>346.2919953121168</v>
      </c>
      <c r="T56" s="59">
        <f t="shared" si="34"/>
        <v>255.63939678041237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13.025107054731041</v>
      </c>
      <c r="AA56" s="21">
        <f>EXP(-LN(2)/25)*AA55+(1-EXP(-LN(2)/25))/(LN(2)/25)*Calculateur!V56*Calculateur!X56*VLOOKUP('Données projet'!$B$9,Paramètres!$A$1:$I$89,3,0)*0.475*44/12</f>
        <v>31.599586270591967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44.624693325323008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13.14</v>
      </c>
      <c r="AI56" s="13">
        <f>IF('Données projet'!$A$62&gt;35,AI55+AH56-AQ55,IF(A56&lt;'Données projet'!$A$62,$AF$205^A56,IF(A56='Données projet'!$A$62,'Données projet'!$B$62,AI55+AH56-AQ55)))</f>
        <v>344.35999999999996</v>
      </c>
      <c r="AJ56" s="13">
        <f>AI56*VLOOKUP('Données projet'!$B$10,Paramètres!$A$1:$I$89,3,0)*VLOOKUP('Données projet'!$B$10,Paramètres!$A$1:$I$89,5,0)</f>
        <v>205.92728</v>
      </c>
      <c r="AK56" s="13">
        <f t="shared" si="35"/>
        <v>51.04458202864172</v>
      </c>
      <c r="AL56" s="20">
        <f t="shared" si="4"/>
        <v>447.55932636655098</v>
      </c>
      <c r="AM56" s="59">
        <f t="shared" si="5"/>
        <v>740.89265969988423</v>
      </c>
      <c r="AN56" s="59">
        <f ca="1">AVERAGE(OFFSET($AM$3,0,0,'Données projet'!$E$10+1,1))-AVERAGE(OFFSET($H$3,0,0,'Données projet'!$E$10+1,1))</f>
        <v>298.32148815673816</v>
      </c>
      <c r="AO56" s="59">
        <f t="shared" si="36"/>
        <v>303.51754260758827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29.348115011918555</v>
      </c>
      <c r="AV56" s="21">
        <f>EXP(-LN(2)/25)*AV55+(1-EXP(-LN(2)/25))/(LN(2)/25)*Calculateur!AQ56*Calculateur!AS56*VLOOKUP('Données projet'!$B$10,Paramètres!$A$1:$I$89,3,0)*0.475*44/12</f>
        <v>35.692351083418814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65.040466095337365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8.6137500000000031</v>
      </c>
      <c r="BD56" s="12">
        <f>IF('Données projet'!$A$88&gt;35,BD55+BC56-BL55,IF(A56&lt;'Données projet'!$A$88,$BA$205^A56,IF(A56='Données projet'!$A$88,'Données projet'!$B$88,BD55+BC56-BL55)))</f>
        <v>235.5737499999999</v>
      </c>
      <c r="BE56" s="13">
        <f>BD56*VLOOKUP('Données projet'!$B$11,Paramètres!$A$1:$I$89,3,0)*VLOOKUP('Données projet'!$B$11,Paramètres!$A$1:$I$89,5,0)</f>
        <v>134.74818499999995</v>
      </c>
      <c r="BF56" s="13">
        <f t="shared" si="37"/>
        <v>35.091224302452041</v>
      </c>
      <c r="BG56" s="20">
        <f t="shared" si="7"/>
        <v>295.80363786843719</v>
      </c>
      <c r="BH56" s="59">
        <f t="shared" si="8"/>
        <v>589.13697120177051</v>
      </c>
      <c r="BI56" s="59">
        <f ca="1">AVERAGE(OFFSET($BH$3,0,0,'Données projet'!$E$11+1,1))-AVERAGE(OFFSET($H$3,0,0,'Données projet'!$E$11+1,1))</f>
        <v>287.9055604128643</v>
      </c>
      <c r="BJ56" s="59">
        <f t="shared" si="38"/>
        <v>197.74605993031139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16.896963538662639</v>
      </c>
      <c r="BQ56" s="21">
        <f>EXP(-LN(2)/25)*BQ55+(1-EXP(-LN(2)/25))/(LN(2)/25)*Calculateur!BL56*Calculateur!BN56*VLOOKUP('Données projet'!$B$11,Paramètres!$A$1:$I$89,3,0)*0.475*44/12</f>
        <v>31.709656927070167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48.606620465732803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3.3333333333333344</v>
      </c>
      <c r="BY56" s="12">
        <f>IF('Données projet'!$A$114&gt;35,BY55+BX56-CG55,IF(A56&lt;'Données projet'!$A$114,$BV$205^A56,IF(A56='Données projet'!$A$114,'Données projet'!$B$114,BY55+BX56-CG55)))</f>
        <v>109.35897435897431</v>
      </c>
      <c r="BZ56" s="13">
        <f>BY56*VLOOKUP('Données projet'!$B$12,Paramètres!$A$1:$I$89,3,0)*VLOOKUP('Données projet'!$B$12,Paramètres!$A$1:$I$89,5,0)</f>
        <v>95.535999999999959</v>
      </c>
      <c r="CA56" s="13">
        <f t="shared" si="39"/>
        <v>25.895701102516686</v>
      </c>
      <c r="CB56" s="20">
        <f t="shared" si="10"/>
        <v>211.49354608688316</v>
      </c>
      <c r="CC56" s="59">
        <f t="shared" si="11"/>
        <v>504.82687942021647</v>
      </c>
      <c r="CD56" s="59">
        <f ca="1">AVERAGE(OFFSET($CC$3,0,0,'Données projet'!$E$12+1,1))-AVERAGE(OFFSET($H$3,0,0,'Données projet'!$E$12+1,1))</f>
        <v>201.78062426023638</v>
      </c>
      <c r="CE56" s="59">
        <f t="shared" si="40"/>
        <v>183.0364139873468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10.004910988761472</v>
      </c>
      <c r="CL56" s="21">
        <f>EXP(-LN(2)/25)*CL55+(1-EXP(-LN(2)/25))/(LN(2)/25)*Calculateur!CG56*Calculateur!CI56*VLOOKUP('Données projet'!$B$12,Paramètres!$A$1:$I$89,3,0)*0.475*44/12</f>
        <v>8.0119393651788791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18.016850353940349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1.7690399999999979</v>
      </c>
      <c r="D57" s="11">
        <f t="shared" si="32"/>
        <v>0.76287442387097837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0.97723012851160485</v>
      </c>
      <c r="H57" s="67">
        <f t="shared" si="1"/>
        <v>261.07641762157527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14.12</v>
      </c>
      <c r="N57" s="13">
        <f>IF('Données projet'!$A$36&gt;35,N56+M57-V56,IF(A57&lt;'Données projet'!$A$36,$K$205^A57,IF(A57='Données projet'!$A$36,'Données projet'!$B$36,N56+M57-V56)))</f>
        <v>356.2200000000002</v>
      </c>
      <c r="O57" s="13">
        <f>N57*VLOOKUP('Données projet'!$B$9,Paramètres!$A$1:$I$89,3,0)*VLOOKUP('Données projet'!$B$9,Paramètres!$A$1:$I$89,5,0)</f>
        <v>213.01956000000015</v>
      </c>
      <c r="P57" s="13">
        <f t="shared" si="33"/>
        <v>52.594886266766075</v>
      </c>
      <c r="Q57" s="20">
        <f t="shared" si="53"/>
        <v>462.61182724795117</v>
      </c>
      <c r="R57" s="59">
        <f t="shared" si="0"/>
        <v>755.94516058128443</v>
      </c>
      <c r="S57" s="59">
        <f ca="1">AVERAGE(OFFSET($R$3,0,0,'Données projet'!$E$9+1,1))-AVERAGE(OFFSET($H$3,0,0,'Données projet'!$E$9+1,1))</f>
        <v>346.2919953121168</v>
      </c>
      <c r="T57" s="59">
        <f t="shared" si="34"/>
        <v>255.63939678041237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12.769692649918612</v>
      </c>
      <c r="AA57" s="21">
        <f>EXP(-LN(2)/25)*AA56+(1-EXP(-LN(2)/25))/(LN(2)/25)*Calculateur!V57*Calculateur!X57*VLOOKUP('Données projet'!$B$9,Paramètres!$A$1:$I$89,3,0)*0.475*44/12</f>
        <v>30.73549392227261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43.505186572191221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13.14</v>
      </c>
      <c r="AI57" s="13">
        <f>IF('Données projet'!$A$62&gt;35,AI56+AH57-AQ56,IF(A57&lt;'Données projet'!$A$62,$AF$205^A57,IF(A57='Données projet'!$A$62,'Données projet'!$B$62,AI56+AH57-AQ56)))</f>
        <v>357.49999999999994</v>
      </c>
      <c r="AJ57" s="13">
        <f>AI57*VLOOKUP('Données projet'!$B$10,Paramètres!$A$1:$I$89,3,0)*VLOOKUP('Données projet'!$B$10,Paramètres!$A$1:$I$89,5,0)</f>
        <v>213.785</v>
      </c>
      <c r="AK57" s="13">
        <f t="shared" si="35"/>
        <v>52.761841557402377</v>
      </c>
      <c r="AL57" s="20">
        <f t="shared" si="4"/>
        <v>464.23574904580914</v>
      </c>
      <c r="AM57" s="59">
        <f t="shared" si="5"/>
        <v>757.5690823791424</v>
      </c>
      <c r="AN57" s="59">
        <f ca="1">AVERAGE(OFFSET($AM$3,0,0,'Données projet'!$E$10+1,1))-AVERAGE(OFFSET($H$3,0,0,'Données projet'!$E$10+1,1))</f>
        <v>298.32148815673816</v>
      </c>
      <c r="AO57" s="59">
        <f t="shared" si="36"/>
        <v>303.51754260758827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28.772616377117455</v>
      </c>
      <c r="AV57" s="21">
        <f>EXP(-LN(2)/25)*AV56+(1-EXP(-LN(2)/25))/(LN(2)/25)*Calculateur!AQ57*Calculateur!AS57*VLOOKUP('Données projet'!$B$10,Paramètres!$A$1:$I$89,3,0)*0.475*44/12</f>
        <v>34.716341866063559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63.488958243181017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8.6137500000000031</v>
      </c>
      <c r="BD57" s="12">
        <f>IF('Données projet'!$A$88&gt;35,BD56+BC57-BL56,IF(A57&lt;'Données projet'!$A$88,$BA$205^A57,IF(A57='Données projet'!$A$88,'Données projet'!$B$88,BD56+BC57-BL56)))</f>
        <v>244.18749999999991</v>
      </c>
      <c r="BE57" s="13">
        <f>BD57*VLOOKUP('Données projet'!$B$11,Paramètres!$A$1:$I$89,3,0)*VLOOKUP('Données projet'!$B$11,Paramètres!$A$1:$I$89,5,0)</f>
        <v>139.67524999999995</v>
      </c>
      <c r="BF57" s="13">
        <f t="shared" si="37"/>
        <v>36.222599777963005</v>
      </c>
      <c r="BG57" s="20">
        <f t="shared" si="7"/>
        <v>306.35542169661886</v>
      </c>
      <c r="BH57" s="59">
        <f t="shared" si="8"/>
        <v>599.68875502995218</v>
      </c>
      <c r="BI57" s="59">
        <f ca="1">AVERAGE(OFFSET($BH$3,0,0,'Données projet'!$E$11+1,1))-AVERAGE(OFFSET($H$3,0,0,'Données projet'!$E$11+1,1))</f>
        <v>287.9055604128643</v>
      </c>
      <c r="BJ57" s="59">
        <f t="shared" si="38"/>
        <v>197.74605993031139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16.565624389799577</v>
      </c>
      <c r="BQ57" s="21">
        <f>EXP(-LN(2)/25)*BQ56+(1-EXP(-LN(2)/25))/(LN(2)/25)*Calculateur!BL57*Calculateur!BN57*VLOOKUP('Données projet'!$B$11,Paramètres!$A$1:$I$89,3,0)*0.475*44/12</f>
        <v>30.84255469086105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47.408179080660631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3.3333333333333344</v>
      </c>
      <c r="BY57" s="12">
        <f>IF('Données projet'!$A$114&gt;35,BY56+BX57-CG56,IF(A57&lt;'Données projet'!$A$114,$BV$205^A57,IF(A57='Données projet'!$A$114,'Données projet'!$B$114,BY56+BX57-CG56)))</f>
        <v>112.69230769230764</v>
      </c>
      <c r="BZ57" s="13">
        <f>BY57*VLOOKUP('Données projet'!$B$12,Paramètres!$A$1:$I$89,3,0)*VLOOKUP('Données projet'!$B$12,Paramètres!$A$1:$I$89,5,0)</f>
        <v>98.447999999999965</v>
      </c>
      <c r="CA57" s="13">
        <f t="shared" si="39"/>
        <v>26.591919029858307</v>
      </c>
      <c r="CB57" s="20">
        <f t="shared" si="10"/>
        <v>217.77785897700315</v>
      </c>
      <c r="CC57" s="59">
        <f t="shared" si="11"/>
        <v>511.11119231033649</v>
      </c>
      <c r="CD57" s="59">
        <f ca="1">AVERAGE(OFFSET($CC$3,0,0,'Données projet'!$E$12+1,1))-AVERAGE(OFFSET($H$3,0,0,'Données projet'!$E$12+1,1))</f>
        <v>201.78062426023638</v>
      </c>
      <c r="CE57" s="59">
        <f t="shared" si="40"/>
        <v>183.0364139873468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9.8087207866650008</v>
      </c>
      <c r="CL57" s="21">
        <f>EXP(-LN(2)/25)*CL56+(1-EXP(-LN(2)/25))/(LN(2)/25)*Calculateur!CG57*Calculateur!CI57*VLOOKUP('Données projet'!$B$12,Paramètres!$A$1:$I$89,3,0)*0.475*44/12</f>
        <v>7.7928524619084829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17.601573248573484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1.8017999999999978</v>
      </c>
      <c r="D58" s="11">
        <f t="shared" si="32"/>
        <v>0.77534394785381389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0.99468713776813811</v>
      </c>
      <c r="H58" s="67">
        <f t="shared" si="1"/>
        <v>261.15519237584539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14.12</v>
      </c>
      <c r="N58" s="13">
        <f>IF('Données projet'!$A$36&gt;35,N57+M58-V57,IF(A58&lt;'Données projet'!$A$36,$K$205^A58,IF(A58='Données projet'!$A$36,'Données projet'!$B$36,N57+M58-V57)))</f>
        <v>370.3400000000002</v>
      </c>
      <c r="O58" s="13">
        <f>N58*VLOOKUP('Données projet'!$B$9,Paramètres!$A$1:$I$89,3,0)*VLOOKUP('Données projet'!$B$9,Paramètres!$A$1:$I$89,5,0)</f>
        <v>221.46332000000012</v>
      </c>
      <c r="P58" s="13">
        <f t="shared" si="33"/>
        <v>54.432808276273747</v>
      </c>
      <c r="Q58" s="20">
        <f t="shared" si="53"/>
        <v>480.51909008117696</v>
      </c>
      <c r="R58" s="59">
        <f t="shared" si="0"/>
        <v>773.85242341451021</v>
      </c>
      <c r="S58" s="59">
        <f ca="1">AVERAGE(OFFSET($R$3,0,0,'Données projet'!$E$9+1,1))-AVERAGE(OFFSET($H$3,0,0,'Données projet'!$E$9+1,1))</f>
        <v>346.2919953121168</v>
      </c>
      <c r="T58" s="59">
        <f t="shared" si="34"/>
        <v>255.63939678041237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12.519286765797149</v>
      </c>
      <c r="AA58" s="21">
        <f>EXP(-LN(2)/25)*AA57+(1-EXP(-LN(2)/25))/(LN(2)/25)*Calculateur!V58*Calculateur!X58*VLOOKUP('Données projet'!$B$9,Paramètres!$A$1:$I$89,3,0)*0.475*44/12</f>
        <v>29.895030224658687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42.414316990455838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13.14</v>
      </c>
      <c r="AI58" s="13">
        <f>IF('Données projet'!$A$62&gt;35,AI57+AH58-AQ57,IF(A58&lt;'Données projet'!$A$62,$AF$205^A58,IF(A58='Données projet'!$A$62,'Données projet'!$B$62,AI57+AH58-AQ57)))</f>
        <v>370.63999999999993</v>
      </c>
      <c r="AJ58" s="13">
        <f>AI58*VLOOKUP('Données projet'!$B$10,Paramètres!$A$1:$I$89,3,0)*VLOOKUP('Données projet'!$B$10,Paramètres!$A$1:$I$89,5,0)</f>
        <v>221.64272</v>
      </c>
      <c r="AK58" s="13">
        <f t="shared" si="35"/>
        <v>54.471768066609272</v>
      </c>
      <c r="AL58" s="20">
        <f t="shared" si="4"/>
        <v>480.89940004934442</v>
      </c>
      <c r="AM58" s="59">
        <f t="shared" si="5"/>
        <v>774.23273338267768</v>
      </c>
      <c r="AN58" s="59">
        <f ca="1">AVERAGE(OFFSET($AM$3,0,0,'Données projet'!$E$10+1,1))-AVERAGE(OFFSET($H$3,0,0,'Données projet'!$E$10+1,1))</f>
        <v>298.32148815673816</v>
      </c>
      <c r="AO58" s="59">
        <f t="shared" si="36"/>
        <v>303.51754260758827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28.208402919525295</v>
      </c>
      <c r="AV58" s="21">
        <f>EXP(-LN(2)/25)*AV57+(1-EXP(-LN(2)/25))/(LN(2)/25)*Calculateur!AQ58*Calculateur!AS58*VLOOKUP('Données projet'!$B$10,Paramètres!$A$1:$I$89,3,0)*0.475*44/12</f>
        <v>33.767021672082976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61.975424591608274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8.6137500000000031</v>
      </c>
      <c r="BD58" s="12">
        <f>IF('Données projet'!$A$88&gt;35,BD57+BC58-BL57,IF(A58&lt;'Données projet'!$A$88,$BA$205^A58,IF(A58='Données projet'!$A$88,'Données projet'!$B$88,BD57+BC58-BL57)))</f>
        <v>252.80124999999992</v>
      </c>
      <c r="BE58" s="13">
        <f>BD58*VLOOKUP('Données projet'!$B$11,Paramètres!$A$1:$I$89,3,0)*VLOOKUP('Données projet'!$B$11,Paramètres!$A$1:$I$89,5,0)</f>
        <v>144.60231499999995</v>
      </c>
      <c r="BF58" s="13">
        <f t="shared" si="37"/>
        <v>37.349338303384592</v>
      </c>
      <c r="BG58" s="20">
        <f t="shared" si="7"/>
        <v>316.89912950339476</v>
      </c>
      <c r="BH58" s="59">
        <f t="shared" si="8"/>
        <v>610.23246283672802</v>
      </c>
      <c r="BI58" s="59">
        <f ca="1">AVERAGE(OFFSET($BH$3,0,0,'Données projet'!$E$11+1,1))-AVERAGE(OFFSET($H$3,0,0,'Données projet'!$E$11+1,1))</f>
        <v>287.9055604128643</v>
      </c>
      <c r="BJ58" s="59">
        <f t="shared" si="38"/>
        <v>197.74605993031139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16.240782599548794</v>
      </c>
      <c r="BQ58" s="21">
        <f>EXP(-LN(2)/25)*BQ57+(1-EXP(-LN(2)/25))/(LN(2)/25)*Calculateur!BL58*Calculateur!BN58*VLOOKUP('Données projet'!$B$11,Paramètres!$A$1:$I$89,3,0)*0.475*44/12</f>
        <v>29.999163410899996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46.23994601044879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116.02564102564102</v>
      </c>
      <c r="BW58" s="12">
        <f>VLOOKUP(A58,'Données projet'!$A$113:$I$133,9,0)</f>
        <v>3.3333333333333344</v>
      </c>
      <c r="BX58" s="12">
        <f t="array" ref="BX58">INDEX(BW:BW,MIN(IF(ISNUMBER(BW58:BW254),ROW(BW58:BW254),"")))</f>
        <v>3.3333333333333344</v>
      </c>
      <c r="BY58" s="12">
        <f>IF('Données projet'!$A$114&gt;35,BY57+BX58-CG57,IF(A58&lt;'Données projet'!$A$114,$BV$205^A58,IF(A58='Données projet'!$A$114,'Données projet'!$B$114,BY57+BX58-CG57)))</f>
        <v>116.02564102564097</v>
      </c>
      <c r="BZ58" s="13">
        <f>BY58*VLOOKUP('Données projet'!$B$12,Paramètres!$A$1:$I$89,3,0)*VLOOKUP('Données projet'!$B$12,Paramètres!$A$1:$I$89,5,0)</f>
        <v>101.35999999999997</v>
      </c>
      <c r="CA58" s="13">
        <f t="shared" si="39"/>
        <v>27.285743629596691</v>
      </c>
      <c r="CB58" s="20">
        <f t="shared" si="10"/>
        <v>224.05800348821421</v>
      </c>
      <c r="CC58" s="59">
        <f t="shared" si="11"/>
        <v>517.3913368215475</v>
      </c>
      <c r="CD58" s="59">
        <f ca="1">AVERAGE(OFFSET($CC$3,0,0,'Données projet'!$E$12+1,1))-AVERAGE(OFFSET($H$3,0,0,'Données projet'!$E$12+1,1))</f>
        <v>201.78062426023638</v>
      </c>
      <c r="CE58" s="59">
        <f t="shared" si="40"/>
        <v>183.0364139873468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10.897435897435898</v>
      </c>
      <c r="CH58" s="16">
        <f>IF(ISNA(VLOOKUP(A58,'Données projet'!$A$113:$I$133,5,0)),0%,VLOOKUP(A58,'Données projet'!$A$113:$I$133,5,0)*VLOOKUP('Données projet'!$B$12,Paramètres!$A$1:$I$89,7,0))</f>
        <v>0.25800000000000001</v>
      </c>
      <c r="CI58" s="16">
        <f>IF(ISNA(VLOOKUP(A58,'Données projet'!$A$113:$I$133,6,0)),0%,VLOOKUP(A58,'Données projet'!$A$113:$I$133,6,0)*VLOOKUP('Données projet'!$B$12,Paramètres!$A$1:$I$89,7,0))</f>
        <v>0.129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12.331589882161087</v>
      </c>
      <c r="CL58" s="21">
        <f>EXP(-LN(2)/25)*CL57+(1-EXP(-LN(2)/25))/(LN(2)/25)*Calculateur!CG58*Calculateur!CI58*VLOOKUP('Données projet'!$B$12,Paramètres!$A$1:$I$89,3,0)*0.475*44/12</f>
        <v>8.9320171528648817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21.26360703502597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1.8345599999999977</v>
      </c>
      <c r="D59" s="11">
        <f t="shared" si="32"/>
        <v>0.7877871081597283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1.0121339715704207</v>
      </c>
      <c r="H59" s="67">
        <f t="shared" si="1"/>
        <v>261.23392121337821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14.12</v>
      </c>
      <c r="N59" s="13">
        <f>IF('Données projet'!$A$36&gt;35,N58+M59-V58,IF(A59&lt;'Données projet'!$A$36,$K$205^A59,IF(A59='Données projet'!$A$36,'Données projet'!$B$36,N58+M59-V58)))</f>
        <v>384.46000000000021</v>
      </c>
      <c r="O59" s="13">
        <f>N59*VLOOKUP('Données projet'!$B$9,Paramètres!$A$1:$I$89,3,0)*VLOOKUP('Données projet'!$B$9,Paramètres!$A$1:$I$89,5,0)</f>
        <v>229.90708000000015</v>
      </c>
      <c r="P59" s="13">
        <f t="shared" si="33"/>
        <v>56.262589582193186</v>
      </c>
      <c r="Q59" s="20">
        <f t="shared" si="53"/>
        <v>498.41217452232013</v>
      </c>
      <c r="R59" s="59">
        <f t="shared" si="0"/>
        <v>791.74550785565339</v>
      </c>
      <c r="S59" s="59">
        <f ca="1">AVERAGE(OFFSET($R$3,0,0,'Données projet'!$E$9+1,1))-AVERAGE(OFFSET($H$3,0,0,'Données projet'!$E$9+1,1))</f>
        <v>346.2919953121168</v>
      </c>
      <c r="T59" s="59">
        <f t="shared" si="34"/>
        <v>255.63939678041237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12.273791188330801</v>
      </c>
      <c r="AA59" s="21">
        <f>EXP(-LN(2)/25)*AA58+(1-EXP(-LN(2)/25))/(LN(2)/25)*Calculateur!V59*Calculateur!X59*VLOOKUP('Données projet'!$B$9,Paramètres!$A$1:$I$89,3,0)*0.475*44/12</f>
        <v>29.077549051054081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41.351340239384882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13.14</v>
      </c>
      <c r="AI59" s="13">
        <f>IF('Données projet'!$A$62&gt;35,AI58+AH59-AQ58,IF(A59&lt;'Données projet'!$A$62,$AF$205^A59,IF(A59='Données projet'!$A$62,'Données projet'!$B$62,AI58+AH59-AQ58)))</f>
        <v>383.77999999999992</v>
      </c>
      <c r="AJ59" s="13">
        <f>AI59*VLOOKUP('Données projet'!$B$10,Paramètres!$A$1:$I$89,3,0)*VLOOKUP('Données projet'!$B$10,Paramètres!$A$1:$I$89,5,0)</f>
        <v>229.50043999999997</v>
      </c>
      <c r="AK59" s="13">
        <f t="shared" si="35"/>
        <v>56.174651313961498</v>
      </c>
      <c r="AL59" s="20">
        <f t="shared" si="4"/>
        <v>497.55078403848285</v>
      </c>
      <c r="AM59" s="59">
        <f t="shared" si="5"/>
        <v>790.88411737181616</v>
      </c>
      <c r="AN59" s="59">
        <f ca="1">AVERAGE(OFFSET($AM$3,0,0,'Données projet'!$E$10+1,1))-AVERAGE(OFFSET($H$3,0,0,'Données projet'!$E$10+1,1))</f>
        <v>298.32148815673816</v>
      </c>
      <c r="AO59" s="59">
        <f t="shared" si="36"/>
        <v>303.51754260758827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27.655253343700288</v>
      </c>
      <c r="AV59" s="21">
        <f>EXP(-LN(2)/25)*AV58+(1-EXP(-LN(2)/25))/(LN(2)/25)*Calculateur!AQ59*Calculateur!AS59*VLOOKUP('Données projet'!$B$10,Paramètres!$A$1:$I$89,3,0)*0.475*44/12</f>
        <v>32.843660688729372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60.49891403242966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8.6137500000000031</v>
      </c>
      <c r="BD59" s="12">
        <f>IF('Données projet'!$A$88&gt;35,BD58+BC59-BL58,IF(A59&lt;'Données projet'!$A$88,$BA$205^A59,IF(A59='Données projet'!$A$88,'Données projet'!$B$88,BD58+BC59-BL58)))</f>
        <v>261.41499999999991</v>
      </c>
      <c r="BE59" s="13">
        <f>BD59*VLOOKUP('Données projet'!$B$11,Paramètres!$A$1:$I$89,3,0)*VLOOKUP('Données projet'!$B$11,Paramètres!$A$1:$I$89,5,0)</f>
        <v>149.52937999999995</v>
      </c>
      <c r="BF59" s="13">
        <f t="shared" si="37"/>
        <v>38.471615985113367</v>
      </c>
      <c r="BG59" s="20">
        <f t="shared" si="7"/>
        <v>327.43506800740573</v>
      </c>
      <c r="BH59" s="59">
        <f t="shared" si="8"/>
        <v>620.76840134073905</v>
      </c>
      <c r="BI59" s="59">
        <f ca="1">AVERAGE(OFFSET($BH$3,0,0,'Données projet'!$E$11+1,1))-AVERAGE(OFFSET($H$3,0,0,'Données projet'!$E$11+1,1))</f>
        <v>287.9055604128643</v>
      </c>
      <c r="BJ59" s="59">
        <f t="shared" si="38"/>
        <v>197.74605993031139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15.922310758670902</v>
      </c>
      <c r="BQ59" s="21">
        <f>EXP(-LN(2)/25)*BQ58+(1-EXP(-LN(2)/25))/(LN(2)/25)*Calculateur!BL59*Calculateur!BN59*VLOOKUP('Données projet'!$B$11,Paramètres!$A$1:$I$89,3,0)*0.475*44/12</f>
        <v>29.178834709841496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45.101145468512399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3.2051282051282071</v>
      </c>
      <c r="BY59" s="12">
        <f>IF('Données projet'!$A$114&gt;35,BY58+BX59-CG58,IF(A59&lt;'Données projet'!$A$114,$BV$205^A59,IF(A59='Données projet'!$A$114,'Données projet'!$B$114,BY58+BX59-CG58)))</f>
        <v>108.33333333333327</v>
      </c>
      <c r="BZ59" s="13">
        <f>BY59*VLOOKUP('Données projet'!$B$12,Paramètres!$A$1:$I$89,3,0)*VLOOKUP('Données projet'!$B$12,Paramètres!$A$1:$I$89,5,0)</f>
        <v>94.639999999999958</v>
      </c>
      <c r="CA59" s="13">
        <f t="shared" si="39"/>
        <v>25.680986215135576</v>
      </c>
      <c r="CB59" s="20">
        <f t="shared" si="10"/>
        <v>209.55905099136103</v>
      </c>
      <c r="CC59" s="59">
        <f t="shared" si="11"/>
        <v>502.89238432469438</v>
      </c>
      <c r="CD59" s="59">
        <f ca="1">AVERAGE(OFFSET($CC$3,0,0,'Données projet'!$E$12+1,1))-AVERAGE(OFFSET($H$3,0,0,'Données projet'!$E$12+1,1))</f>
        <v>201.78062426023638</v>
      </c>
      <c r="CE59" s="59">
        <f t="shared" si="40"/>
        <v>183.0364139873468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12.089774926099047</v>
      </c>
      <c r="CL59" s="21">
        <f>EXP(-LN(2)/25)*CL58+(1-EXP(-LN(2)/25))/(LN(2)/25)*Calculateur!CG59*Calculateur!CI59*VLOOKUP('Données projet'!$B$12,Paramètres!$A$1:$I$89,3,0)*0.475*44/12</f>
        <v>8.6877706741054244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20.777545600204469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1.8673199999999976</v>
      </c>
      <c r="D60" s="11">
        <f t="shared" si="32"/>
        <v>0.80020442987787022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1.0295708325844402</v>
      </c>
      <c r="H60" s="67">
        <f t="shared" si="1"/>
        <v>261.31260504870397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14.12</v>
      </c>
      <c r="N60" s="13">
        <f>IF('Données projet'!$A$36&gt;35,N59+M60-V59,IF(A60&lt;'Données projet'!$A$36,$K$205^A60,IF(A60='Données projet'!$A$36,'Données projet'!$B$36,N59+M60-V59)))</f>
        <v>398.58000000000021</v>
      </c>
      <c r="O60" s="13">
        <f>N60*VLOOKUP('Données projet'!$B$9,Paramètres!$A$1:$I$89,3,0)*VLOOKUP('Données projet'!$B$9,Paramètres!$A$1:$I$89,5,0)</f>
        <v>238.35084000000015</v>
      </c>
      <c r="P60" s="13">
        <f t="shared" si="33"/>
        <v>58.084563408326787</v>
      </c>
      <c r="Q60" s="20">
        <f t="shared" si="53"/>
        <v>516.29166093616936</v>
      </c>
      <c r="R60" s="59">
        <f t="shared" si="0"/>
        <v>809.62499426950262</v>
      </c>
      <c r="S60" s="59">
        <f ca="1">AVERAGE(OFFSET($R$3,0,0,'Données projet'!$E$9+1,1))-AVERAGE(OFFSET($H$3,0,0,'Données projet'!$E$9+1,1))</f>
        <v>346.2919953121168</v>
      </c>
      <c r="T60" s="59">
        <f t="shared" si="34"/>
        <v>255.63939678041237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12.03310962940105</v>
      </c>
      <c r="AA60" s="21">
        <f>EXP(-LN(2)/25)*AA59+(1-EXP(-LN(2)/25))/(LN(2)/25)*Calculateur!V60*Calculateur!X60*VLOOKUP('Données projet'!$B$9,Paramètres!$A$1:$I$89,3,0)*0.475*44/12</f>
        <v>28.282421943131162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40.315531572532208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13.14</v>
      </c>
      <c r="AI60" s="13">
        <f>IF('Données projet'!$A$62&gt;35,AI59+AH60-AQ59,IF(A60&lt;'Données projet'!$A$62,$AF$205^A60,IF(A60='Données projet'!$A$62,'Données projet'!$B$62,AI59+AH60-AQ59)))</f>
        <v>396.9199999999999</v>
      </c>
      <c r="AJ60" s="13">
        <f>AI60*VLOOKUP('Données projet'!$B$10,Paramètres!$A$1:$I$89,3,0)*VLOOKUP('Données projet'!$B$10,Paramètres!$A$1:$I$89,5,0)</f>
        <v>237.35815999999997</v>
      </c>
      <c r="AK60" s="13">
        <f t="shared" si="35"/>
        <v>57.870760090028412</v>
      </c>
      <c r="AL60" s="20">
        <f t="shared" si="4"/>
        <v>514.19036915679942</v>
      </c>
      <c r="AM60" s="59">
        <f t="shared" si="5"/>
        <v>807.52370249013279</v>
      </c>
      <c r="AN60" s="59">
        <f ca="1">AVERAGE(OFFSET($AM$3,0,0,'Données projet'!$E$10+1,1))-AVERAGE(OFFSET($H$3,0,0,'Données projet'!$E$10+1,1))</f>
        <v>298.32148815673816</v>
      </c>
      <c r="AO60" s="59">
        <f t="shared" si="36"/>
        <v>303.51754260758827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27.112950693669283</v>
      </c>
      <c r="AV60" s="21">
        <f>EXP(-LN(2)/25)*AV59+(1-EXP(-LN(2)/25))/(LN(2)/25)*Calculateur!AQ60*Calculateur!AS60*VLOOKUP('Données projet'!$B$10,Paramètres!$A$1:$I$89,3,0)*0.475*44/12</f>
        <v>31.945549060023016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59.058499753692303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8.6137500000000031</v>
      </c>
      <c r="BD60" s="12">
        <f>IF('Données projet'!$A$88&gt;35,BD59+BC60-BL59,IF(A60&lt;'Données projet'!$A$88,$BA$205^A60,IF(A60='Données projet'!$A$88,'Données projet'!$B$88,BD59+BC60-BL59)))</f>
        <v>270.02874999999989</v>
      </c>
      <c r="BE60" s="13">
        <f>BD60*VLOOKUP('Données projet'!$B$11,Paramètres!$A$1:$I$89,3,0)*VLOOKUP('Données projet'!$B$11,Paramètres!$A$1:$I$89,5,0)</f>
        <v>154.45644499999995</v>
      </c>
      <c r="BF60" s="13">
        <f t="shared" si="37"/>
        <v>39.589596665295829</v>
      </c>
      <c r="BG60" s="20">
        <f t="shared" si="7"/>
        <v>337.96352256705677</v>
      </c>
      <c r="BH60" s="59">
        <f t="shared" si="8"/>
        <v>631.29685590039003</v>
      </c>
      <c r="BI60" s="59">
        <f ca="1">AVERAGE(OFFSET($BH$3,0,0,'Données projet'!$E$11+1,1))-AVERAGE(OFFSET($H$3,0,0,'Données projet'!$E$11+1,1))</f>
        <v>287.9055604128643</v>
      </c>
      <c r="BJ60" s="59">
        <f t="shared" si="38"/>
        <v>197.74605993031139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15.610083956343983</v>
      </c>
      <c r="BQ60" s="21">
        <f>EXP(-LN(2)/25)*BQ59+(1-EXP(-LN(2)/25))/(LN(2)/25)*Calculateur!BL60*Calculateur!BN60*VLOOKUP('Données projet'!$B$11,Paramètres!$A$1:$I$89,3,0)*0.475*44/12</f>
        <v>28.38093794025265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43.991021896596635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3.2051282051282071</v>
      </c>
      <c r="BY60" s="12">
        <f>IF('Données projet'!$A$114&gt;35,BY59+BX60-CG59,IF(A60&lt;'Données projet'!$A$114,$BV$205^A60,IF(A60='Données projet'!$A$114,'Données projet'!$B$114,BY59+BX60-CG59)))</f>
        <v>111.53846153846148</v>
      </c>
      <c r="BZ60" s="13">
        <f>BY60*VLOOKUP('Données projet'!$B$12,Paramètres!$A$1:$I$89,3,0)*VLOOKUP('Données projet'!$B$12,Paramètres!$A$1:$I$89,5,0)</f>
        <v>97.439999999999955</v>
      </c>
      <c r="CA60" s="13">
        <f t="shared" si="39"/>
        <v>26.351195394682154</v>
      </c>
      <c r="CB60" s="20">
        <f t="shared" si="10"/>
        <v>215.60299864573798</v>
      </c>
      <c r="CC60" s="59">
        <f t="shared" si="11"/>
        <v>508.93633197907127</v>
      </c>
      <c r="CD60" s="59">
        <f ca="1">AVERAGE(OFFSET($CC$3,0,0,'Données projet'!$E$12+1,1))-AVERAGE(OFFSET($H$3,0,0,'Données projet'!$E$12+1,1))</f>
        <v>201.78062426023638</v>
      </c>
      <c r="CE60" s="59">
        <f t="shared" si="40"/>
        <v>183.0364139873468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11.852701813832823</v>
      </c>
      <c r="CL60" s="21">
        <f>EXP(-LN(2)/25)*CL59+(1-EXP(-LN(2)/25))/(LN(2)/25)*Calculateur!CG60*Calculateur!CI60*VLOOKUP('Données projet'!$B$12,Paramètres!$A$1:$I$89,3,0)*0.475*44/12</f>
        <v>8.4502031281520082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20.302904941984831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1.9000799999999975</v>
      </c>
      <c r="D61" s="11">
        <f t="shared" si="32"/>
        <v>0.81259641861782317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1.0469979159577554</v>
      </c>
      <c r="H61" s="67">
        <f t="shared" si="1"/>
        <v>261.39124476242608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14.12</v>
      </c>
      <c r="N61" s="13">
        <f>IF('Données projet'!$A$36&gt;35,N60+M61-V60,IF(A61&lt;'Données projet'!$A$36,$K$205^A61,IF(A61='Données projet'!$A$36,'Données projet'!$B$36,N60+M61-V60)))</f>
        <v>412.70000000000022</v>
      </c>
      <c r="O61" s="13">
        <f>N61*VLOOKUP('Données projet'!$B$9,Paramètres!$A$1:$I$89,3,0)*VLOOKUP('Données projet'!$B$9,Paramètres!$A$1:$I$89,5,0)</f>
        <v>246.79460000000014</v>
      </c>
      <c r="P61" s="13">
        <f t="shared" si="33"/>
        <v>59.899038030532552</v>
      </c>
      <c r="Q61" s="20">
        <f t="shared" si="53"/>
        <v>534.15808623651117</v>
      </c>
      <c r="R61" s="59">
        <f t="shared" si="0"/>
        <v>827.49141956984454</v>
      </c>
      <c r="S61" s="59">
        <f ca="1">AVERAGE(OFFSET($R$3,0,0,'Données projet'!$E$9+1,1))-AVERAGE(OFFSET($H$3,0,0,'Données projet'!$E$9+1,1))</f>
        <v>346.2919953121168</v>
      </c>
      <c r="T61" s="59">
        <f t="shared" si="34"/>
        <v>255.63939678041237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11.797147689040656</v>
      </c>
      <c r="AA61" s="21">
        <f>EXP(-LN(2)/25)*AA60+(1-EXP(-LN(2)/25))/(LN(2)/25)*Calculateur!V61*Calculateur!X61*VLOOKUP('Données projet'!$B$9,Paramètres!$A$1:$I$89,3,0)*0.475*44/12</f>
        <v>27.50903762778831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39.306185316828966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13.14</v>
      </c>
      <c r="AI61" s="13">
        <f>IF('Données projet'!$A$62&gt;35,AI60+AH61-AQ60,IF(A61&lt;'Données projet'!$A$62,$AF$205^A61,IF(A61='Données projet'!$A$62,'Données projet'!$B$62,AI60+AH61-AQ60)))</f>
        <v>410.05999999999989</v>
      </c>
      <c r="AJ61" s="13">
        <f>AI61*VLOOKUP('Données projet'!$B$10,Paramètres!$A$1:$I$89,3,0)*VLOOKUP('Données projet'!$B$10,Paramètres!$A$1:$I$89,5,0)</f>
        <v>245.21587999999994</v>
      </c>
      <c r="AK61" s="13">
        <f t="shared" si="35"/>
        <v>59.560344378839609</v>
      </c>
      <c r="AL61" s="20">
        <f t="shared" si="4"/>
        <v>530.81859079314563</v>
      </c>
      <c r="AM61" s="59">
        <f t="shared" si="5"/>
        <v>824.15192412647889</v>
      </c>
      <c r="AN61" s="59">
        <f ca="1">AVERAGE(OFFSET($AM$3,0,0,'Données projet'!$E$10+1,1))-AVERAGE(OFFSET($H$3,0,0,'Données projet'!$E$10+1,1))</f>
        <v>298.32148815673816</v>
      </c>
      <c r="AO61" s="59">
        <f t="shared" si="36"/>
        <v>303.51754260758827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26.581282267833434</v>
      </c>
      <c r="AV61" s="21">
        <f>EXP(-LN(2)/25)*AV60+(1-EXP(-LN(2)/25))/(LN(2)/25)*Calculateur!AQ61*Calculateur!AS61*VLOOKUP('Données projet'!$B$10,Paramètres!$A$1:$I$89,3,0)*0.475*44/12</f>
        <v>31.071996341033273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57.653278608866707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8.6137500000000031</v>
      </c>
      <c r="BD61" s="12">
        <f>IF('Données projet'!$A$88&gt;35,BD60+BC61-BL60,IF(A61&lt;'Données projet'!$A$88,$BA$205^A61,IF(A61='Données projet'!$A$88,'Données projet'!$B$88,BD60+BC61-BL60)))</f>
        <v>278.64249999999987</v>
      </c>
      <c r="BE61" s="13">
        <f>BD61*VLOOKUP('Données projet'!$B$11,Paramètres!$A$1:$I$89,3,0)*VLOOKUP('Données projet'!$B$11,Paramètres!$A$1:$I$89,5,0)</f>
        <v>159.38350999999992</v>
      </c>
      <c r="BF61" s="13">
        <f t="shared" si="37"/>
        <v>40.703433139614219</v>
      </c>
      <c r="BG61" s="20">
        <f t="shared" si="7"/>
        <v>348.48475930149465</v>
      </c>
      <c r="BH61" s="59">
        <f t="shared" si="8"/>
        <v>641.81809263482796</v>
      </c>
      <c r="BI61" s="59">
        <f ca="1">AVERAGE(OFFSET($BH$3,0,0,'Données projet'!$E$11+1,1))-AVERAGE(OFFSET($H$3,0,0,'Données projet'!$E$11+1,1))</f>
        <v>287.9055604128643</v>
      </c>
      <c r="BJ61" s="59">
        <f t="shared" si="38"/>
        <v>197.74605993031139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15.30397973117115</v>
      </c>
      <c r="BQ61" s="21">
        <f>EXP(-LN(2)/25)*BQ60+(1-EXP(-LN(2)/25))/(LN(2)/25)*Calculateur!BL61*Calculateur!BN61*VLOOKUP('Données projet'!$B$11,Paramètres!$A$1:$I$89,3,0)*0.475*44/12</f>
        <v>27.604859699787781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42.908839430958935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3.2051282051282071</v>
      </c>
      <c r="BY61" s="12">
        <f>IF('Données projet'!$A$114&gt;35,BY60+BX61-CG60,IF(A61&lt;'Données projet'!$A$114,$BV$205^A61,IF(A61='Données projet'!$A$114,'Données projet'!$B$114,BY60+BX61-CG60)))</f>
        <v>114.74358974358968</v>
      </c>
      <c r="BZ61" s="13">
        <f>BY61*VLOOKUP('Données projet'!$B$12,Paramètres!$A$1:$I$89,3,0)*VLOOKUP('Données projet'!$B$12,Paramètres!$A$1:$I$89,5,0)</f>
        <v>100.23999999999997</v>
      </c>
      <c r="CA61" s="13">
        <f t="shared" si="39"/>
        <v>27.019166259515604</v>
      </c>
      <c r="CB61" s="20">
        <f t="shared" si="10"/>
        <v>221.6430479019896</v>
      </c>
      <c r="CC61" s="59">
        <f t="shared" si="11"/>
        <v>514.97638123532295</v>
      </c>
      <c r="CD61" s="59">
        <f ca="1">AVERAGE(OFFSET($CC$3,0,0,'Données projet'!$E$12+1,1))-AVERAGE(OFFSET($H$3,0,0,'Données projet'!$E$12+1,1))</f>
        <v>201.78062426023638</v>
      </c>
      <c r="CE61" s="59">
        <f t="shared" si="40"/>
        <v>183.0364139873468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11.62027756069782</v>
      </c>
      <c r="CL61" s="21">
        <f>EXP(-LN(2)/25)*CL60+(1-EXP(-LN(2)/25))/(LN(2)/25)*Calculateur!CG61*Calculateur!CI61*VLOOKUP('Données projet'!$B$12,Paramètres!$A$1:$I$89,3,0)*0.475*44/12</f>
        <v>8.2191318792358228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19.839409439933643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1.9328399999999974</v>
      </c>
      <c r="D62" s="11">
        <f t="shared" si="32"/>
        <v>0.82496356155542072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1.0644154097231437</v>
      </c>
      <c r="H62" s="67">
        <f t="shared" si="1"/>
        <v>261.46984120304239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14.12</v>
      </c>
      <c r="N62" s="13">
        <f>IF('Données projet'!$A$36&gt;35,N61+M62-V61,IF(A62&lt;'Données projet'!$A$36,$K$205^A62,IF(A62='Données projet'!$A$36,'Données projet'!$B$36,N61+M62-V61)))</f>
        <v>426.82000000000022</v>
      </c>
      <c r="O62" s="13">
        <f>N62*VLOOKUP('Données projet'!$B$9,Paramètres!$A$1:$I$89,3,0)*VLOOKUP('Données projet'!$B$9,Paramètres!$A$1:$I$89,5,0)</f>
        <v>255.23836000000014</v>
      </c>
      <c r="P62" s="13">
        <f t="shared" si="33"/>
        <v>61.706299433596136</v>
      </c>
      <c r="Q62" s="20">
        <f t="shared" si="53"/>
        <v>552.0119485135134</v>
      </c>
      <c r="R62" s="59">
        <f t="shared" si="0"/>
        <v>845.34528184684677</v>
      </c>
      <c r="S62" s="59">
        <f ca="1">AVERAGE(OFFSET($R$3,0,0,'Données projet'!$E$9+1,1))-AVERAGE(OFFSET($H$3,0,0,'Données projet'!$E$9+1,1))</f>
        <v>346.2919953121168</v>
      </c>
      <c r="T62" s="59">
        <f t="shared" si="34"/>
        <v>255.63939678041237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11.565812818408158</v>
      </c>
      <c r="AA62" s="21">
        <f>EXP(-LN(2)/25)*AA61+(1-EXP(-LN(2)/25))/(LN(2)/25)*Calculateur!V62*Calculateur!X62*VLOOKUP('Données projet'!$B$9,Paramètres!$A$1:$I$89,3,0)*0.475*44/12</f>
        <v>26.756801547219023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38.322614365627182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13.14</v>
      </c>
      <c r="AI62" s="13">
        <f>IF('Données projet'!$A$62&gt;35,AI61+AH62-AQ61,IF(A62&lt;'Données projet'!$A$62,$AF$205^A62,IF(A62='Données projet'!$A$62,'Données projet'!$B$62,AI61+AH62-AQ61)))</f>
        <v>423.19999999999987</v>
      </c>
      <c r="AJ62" s="13">
        <f>AI62*VLOOKUP('Données projet'!$B$10,Paramètres!$A$1:$I$89,3,0)*VLOOKUP('Données projet'!$B$10,Paramètres!$A$1:$I$89,5,0)</f>
        <v>253.07359999999994</v>
      </c>
      <c r="AK62" s="13">
        <f t="shared" si="35"/>
        <v>61.243637233758619</v>
      </c>
      <c r="AL62" s="20">
        <f t="shared" si="4"/>
        <v>547.43585484879611</v>
      </c>
      <c r="AM62" s="59">
        <f t="shared" si="5"/>
        <v>840.76918818212948</v>
      </c>
      <c r="AN62" s="59">
        <f ca="1">AVERAGE(OFFSET($AM$3,0,0,'Données projet'!$E$10+1,1))-AVERAGE(OFFSET($H$3,0,0,'Données projet'!$E$10+1,1))</f>
        <v>298.32148815673816</v>
      </c>
      <c r="AO62" s="59">
        <f t="shared" si="36"/>
        <v>303.51754260758827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26.060039535542504</v>
      </c>
      <c r="AV62" s="21">
        <f>EXP(-LN(2)/25)*AV61+(1-EXP(-LN(2)/25))/(LN(2)/25)*Calculateur!AQ62*Calculateur!AS62*VLOOKUP('Données projet'!$B$10,Paramètres!$A$1:$I$89,3,0)*0.475*44/12</f>
        <v>30.222330967082446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56.28237050262495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8.6137500000000031</v>
      </c>
      <c r="BD62" s="12">
        <f>IF('Données projet'!$A$88&gt;35,BD61+BC62-BL61,IF(A62&lt;'Données projet'!$A$88,$BA$205^A62,IF(A62='Données projet'!$A$88,'Données projet'!$B$88,BD61+BC62-BL61)))</f>
        <v>287.25624999999985</v>
      </c>
      <c r="BE62" s="13">
        <f>BD62*VLOOKUP('Données projet'!$B$11,Paramètres!$A$1:$I$89,3,0)*VLOOKUP('Données projet'!$B$11,Paramètres!$A$1:$I$89,5,0)</f>
        <v>164.31057499999991</v>
      </c>
      <c r="BF62" s="13">
        <f t="shared" si="37"/>
        <v>41.813268220259054</v>
      </c>
      <c r="BG62" s="20">
        <f t="shared" si="7"/>
        <v>358.99902694195106</v>
      </c>
      <c r="BH62" s="59">
        <f t="shared" si="8"/>
        <v>652.33236027528437</v>
      </c>
      <c r="BI62" s="59">
        <f ca="1">AVERAGE(OFFSET($BH$3,0,0,'Données projet'!$E$11+1,1))-AVERAGE(OFFSET($H$3,0,0,'Données projet'!$E$11+1,1))</f>
        <v>287.9055604128643</v>
      </c>
      <c r="BJ62" s="59">
        <f t="shared" si="38"/>
        <v>197.74605993031139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15.003878023148815</v>
      </c>
      <c r="BQ62" s="21">
        <f>EXP(-LN(2)/25)*BQ61+(1-EXP(-LN(2)/25))/(LN(2)/25)*Calculateur!BL62*Calculateur!BN62*VLOOKUP('Données projet'!$B$11,Paramètres!$A$1:$I$89,3,0)*0.475*44/12</f>
        <v>26.850003359620604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41.853881382769416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3.2051282051282071</v>
      </c>
      <c r="BY62" s="12">
        <f>IF('Données projet'!$A$114&gt;35,BY61+BX62-CG61,IF(A62&lt;'Données projet'!$A$114,$BV$205^A62,IF(A62='Données projet'!$A$114,'Données projet'!$B$114,BY61+BX62-CG61)))</f>
        <v>117.94871794871788</v>
      </c>
      <c r="BZ62" s="13">
        <f>BY62*VLOOKUP('Données projet'!$B$12,Paramètres!$A$1:$I$89,3,0)*VLOOKUP('Données projet'!$B$12,Paramètres!$A$1:$I$89,5,0)</f>
        <v>103.03999999999995</v>
      </c>
      <c r="CA62" s="13">
        <f t="shared" si="39"/>
        <v>27.68496851505423</v>
      </c>
      <c r="CB62" s="20">
        <f t="shared" si="10"/>
        <v>227.67932016371932</v>
      </c>
      <c r="CC62" s="59">
        <f t="shared" si="11"/>
        <v>521.01265349705261</v>
      </c>
      <c r="CD62" s="59">
        <f ca="1">AVERAGE(OFFSET($CC$3,0,0,'Données projet'!$E$12+1,1))-AVERAGE(OFFSET($H$3,0,0,'Données projet'!$E$12+1,1))</f>
        <v>201.78062426023638</v>
      </c>
      <c r="CE62" s="59">
        <f t="shared" si="40"/>
        <v>183.0364139873468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11.392411005401998</v>
      </c>
      <c r="CL62" s="21">
        <f>EXP(-LN(2)/25)*CL61+(1-EXP(-LN(2)/25))/(LN(2)/25)*Calculateur!CG62*Calculateur!CI62*VLOOKUP('Données projet'!$B$12,Paramètres!$A$1:$I$89,3,0)*0.475*44/12</f>
        <v>7.9943792857727587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19.386790291174755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1.9655999999999973</v>
      </c>
      <c r="D63" s="11">
        <f t="shared" si="32"/>
        <v>0.83730632840564856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1.081823495174109</v>
      </c>
      <c r="H63" s="67">
        <f t="shared" si="1"/>
        <v>261.54839518863986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14.12</v>
      </c>
      <c r="M63" s="12">
        <f t="array" ref="M63">INDEX(L:L,MIN(IF(ISNUMBER(L63:L259),ROW(L63:L259),"")))</f>
        <v>14.12</v>
      </c>
      <c r="N63" s="13">
        <f>IF('Données projet'!$A$36&gt;35,N62+M63-V62,IF(A63&lt;'Données projet'!$A$36,$K$205^A63,IF(A63='Données projet'!$A$36,'Données projet'!$B$36,N62+M63-V62)))</f>
        <v>440.94000000000023</v>
      </c>
      <c r="O63" s="13">
        <f>N63*VLOOKUP('Données projet'!$B$9,Paramètres!$A$1:$I$89,3,0)*VLOOKUP('Données projet'!$B$9,Paramètres!$A$1:$I$89,5,0)</f>
        <v>263.68212000000017</v>
      </c>
      <c r="P63" s="13">
        <f t="shared" si="33"/>
        <v>63.506613606650063</v>
      </c>
      <c r="Q63" s="20">
        <f t="shared" si="53"/>
        <v>569.85371103158241</v>
      </c>
      <c r="R63" s="59">
        <f t="shared" si="0"/>
        <v>863.18704436491566</v>
      </c>
      <c r="S63" s="59">
        <f ca="1">AVERAGE(OFFSET($R$3,0,0,'Données projet'!$E$9+1,1))-AVERAGE(OFFSET($H$3,0,0,'Données projet'!$E$9+1,1))</f>
        <v>346.2919953121168</v>
      </c>
      <c r="T63" s="59">
        <f t="shared" si="34"/>
        <v>255.63939678041237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69.849999999999994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28.793477794497985</v>
      </c>
      <c r="AA63" s="21">
        <f>EXP(-LN(2)/25)*AA62+(1-EXP(-LN(2)/25))/(LN(2)/25)*Calculateur!V63*Calculateur!X63*VLOOKUP('Données projet'!$B$9,Paramètres!$A$1:$I$89,3,0)*0.475*44/12</f>
        <v>33.47616624647187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62.269644040969851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436.34</v>
      </c>
      <c r="AG63" s="12">
        <f>VLOOKUP(A63,'Données projet'!$A$61:$I$81,9,0)</f>
        <v>13.14</v>
      </c>
      <c r="AH63" s="12">
        <f t="array" ref="AH63">INDEX(AG:AG,MIN(IF(ISNUMBER(AG63:AG259),ROW(AG63:AG259),"")))</f>
        <v>13.14</v>
      </c>
      <c r="AI63" s="13">
        <f>IF('Données projet'!$A$62&gt;35,AI62+AH63-AQ62,IF(A63&lt;'Données projet'!$A$62,$AF$205^A63,IF(A63='Données projet'!$A$62,'Données projet'!$B$62,AI62+AH63-AQ62)))</f>
        <v>436.33999999999986</v>
      </c>
      <c r="AJ63" s="13">
        <f>AI63*VLOOKUP('Données projet'!$B$10,Paramètres!$A$1:$I$89,3,0)*VLOOKUP('Données projet'!$B$10,Paramètres!$A$1:$I$89,5,0)</f>
        <v>260.93131999999991</v>
      </c>
      <c r="AK63" s="13">
        <f t="shared" si="35"/>
        <v>62.92085641383472</v>
      </c>
      <c r="AL63" s="20">
        <f t="shared" si="4"/>
        <v>564.04254058742856</v>
      </c>
      <c r="AM63" s="59">
        <f t="shared" si="5"/>
        <v>857.37587392076193</v>
      </c>
      <c r="AN63" s="59">
        <f ca="1">AVERAGE(OFFSET($AM$3,0,0,'Données projet'!$E$10+1,1))-AVERAGE(OFFSET($H$3,0,0,'Données projet'!$E$10+1,1))</f>
        <v>298.32148815673816</v>
      </c>
      <c r="AO63" s="59">
        <f t="shared" si="36"/>
        <v>303.51754260758827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436.34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134.58381559852504</v>
      </c>
      <c r="AV63" s="21">
        <f>EXP(-LN(2)/25)*AV62+(1-EXP(-LN(2)/25))/(LN(2)/25)*Calculateur!AQ63*Calculateur!AS63*VLOOKUP('Données projet'!$B$10,Paramètres!$A$1:$I$89,3,0)*0.475*44/12</f>
        <v>75.941108023083117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210.52492362160814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295.87</v>
      </c>
      <c r="BB63" s="12">
        <f>VLOOKUP(A63,'Données projet'!$A$87:$I$107,9,0)</f>
        <v>8.6137500000000031</v>
      </c>
      <c r="BC63" s="12">
        <f t="array" ref="BC63">INDEX(BB:BB,MIN(IF(ISNUMBER(BB63:BB259),ROW(BB63:BB259),"")))</f>
        <v>8.6137500000000031</v>
      </c>
      <c r="BD63" s="12">
        <f>IF('Données projet'!$A$88&gt;35,BD62+BC63-BL62,IF(A63&lt;'Données projet'!$A$88,$BA$205^A63,IF(A63='Données projet'!$A$88,'Données projet'!$B$88,BD62+BC63-BL62)))</f>
        <v>295.86999999999983</v>
      </c>
      <c r="BE63" s="13">
        <f>BD63*VLOOKUP('Données projet'!$B$11,Paramètres!$A$1:$I$89,3,0)*VLOOKUP('Données projet'!$B$11,Paramètres!$A$1:$I$89,5,0)</f>
        <v>169.23763999999991</v>
      </c>
      <c r="BF63" s="13">
        <f t="shared" si="37"/>
        <v>42.919235667820544</v>
      </c>
      <c r="BG63" s="20">
        <f t="shared" si="7"/>
        <v>369.50655845478735</v>
      </c>
      <c r="BH63" s="59">
        <f t="shared" si="8"/>
        <v>662.83989178812067</v>
      </c>
      <c r="BI63" s="59">
        <f ca="1">AVERAGE(OFFSET($BH$3,0,0,'Données projet'!$E$11+1,1))-AVERAGE(OFFSET($H$3,0,0,'Données projet'!$E$11+1,1))</f>
        <v>287.9055604128643</v>
      </c>
      <c r="BJ63" s="59">
        <f t="shared" si="38"/>
        <v>197.74605993031139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41.67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24.669640510401113</v>
      </c>
      <c r="BQ63" s="21">
        <f>EXP(-LN(2)/25)*BQ62+(1-EXP(-LN(2)/25))/(LN(2)/25)*Calculateur!BL63*Calculateur!BN63*VLOOKUP('Données projet'!$B$11,Paramètres!$A$1:$I$89,3,0)*0.475*44/12</f>
        <v>30.367544241460255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55.037184751861368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121.15384615384616</v>
      </c>
      <c r="BW63" s="12">
        <f>VLOOKUP(A63,'Données projet'!$A$113:$I$133,9,0)</f>
        <v>3.2051282051282071</v>
      </c>
      <c r="BX63" s="12">
        <f t="array" ref="BX63">INDEX(BW:BW,MIN(IF(ISNUMBER(BW63:BW259),ROW(BW63:BW259),"")))</f>
        <v>3.2051282051282071</v>
      </c>
      <c r="BY63" s="12">
        <f>IF('Données projet'!$A$114&gt;35,BY62+BX63-CG62,IF(A63&lt;'Données projet'!$A$114,$BV$205^A63,IF(A63='Données projet'!$A$114,'Données projet'!$B$114,BY62+BX63-CG62)))</f>
        <v>121.15384615384609</v>
      </c>
      <c r="BZ63" s="13">
        <f>BY63*VLOOKUP('Données projet'!$B$12,Paramètres!$A$1:$I$89,3,0)*VLOOKUP('Données projet'!$B$12,Paramètres!$A$1:$I$89,5,0)</f>
        <v>105.83999999999995</v>
      </c>
      <c r="CA63" s="13">
        <f t="shared" si="39"/>
        <v>28.348667862741735</v>
      </c>
      <c r="CB63" s="20">
        <f t="shared" si="10"/>
        <v>233.71192986094175</v>
      </c>
      <c r="CC63" s="59">
        <f t="shared" si="11"/>
        <v>527.04526319427509</v>
      </c>
      <c r="CD63" s="59">
        <f ca="1">AVERAGE(OFFSET($CC$3,0,0,'Données projet'!$E$12+1,1))-AVERAGE(OFFSET($H$3,0,0,'Données projet'!$E$12+1,1))</f>
        <v>201.78062426023638</v>
      </c>
      <c r="CE63" s="59">
        <f t="shared" si="40"/>
        <v>183.0364139873468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10.256410256410255</v>
      </c>
      <c r="CH63" s="16">
        <f>IF(ISNA(VLOOKUP(A63,'Données projet'!$A$113:$I$133,5,0)),0%,VLOOKUP(A63,'Données projet'!$A$113:$I$133,5,0)*VLOOKUP('Données projet'!$B$12,Paramètres!$A$1:$I$89,7,0))</f>
        <v>0.25800000000000001</v>
      </c>
      <c r="CI63" s="16">
        <f>IF(ISNA(VLOOKUP(A63,'Données projet'!$A$113:$I$133,6,0)),0%,VLOOKUP(A63,'Données projet'!$A$113:$I$133,6,0)*VLOOKUP('Données projet'!$B$12,Paramètres!$A$1:$I$89,7,0))</f>
        <v>0.129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13.724506541229383</v>
      </c>
      <c r="CL63" s="21">
        <f>EXP(-LN(2)/25)*CL62+(1-EXP(-LN(2)/25))/(LN(2)/25)*Calculateur!CG63*Calculateur!CI63*VLOOKUP('Données projet'!$B$12,Paramètres!$A$1:$I$89,3,0)*0.475*44/12</f>
        <v>9.0484884709365421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22.772995012165925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1.9983599999999972</v>
      </c>
      <c r="D64" s="11">
        <f t="shared" si="32"/>
        <v>0.84962517232884882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1.0992223472146423</v>
      </c>
      <c r="H64" s="67">
        <f t="shared" si="1"/>
        <v>261.62690750847275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382.98700000000019</v>
      </c>
      <c r="O64" s="13">
        <f>N64*VLOOKUP('Données projet'!$B$9,Paramètres!$A$1:$I$89,3,0)*VLOOKUP('Données projet'!$B$9,Paramètres!$A$1:$I$89,5,0)</f>
        <v>229.02622600000012</v>
      </c>
      <c r="P64" s="13">
        <f t="shared" si="33"/>
        <v>56.072076861881605</v>
      </c>
      <c r="Q64" s="20">
        <f t="shared" si="53"/>
        <v>496.54621081777736</v>
      </c>
      <c r="R64" s="59">
        <f t="shared" si="0"/>
        <v>789.87954415111062</v>
      </c>
      <c r="S64" s="59">
        <f ca="1">AVERAGE(OFFSET($R$3,0,0,'Données projet'!$E$9+1,1))-AVERAGE(OFFSET($H$3,0,0,'Données projet'!$E$9+1,1))</f>
        <v>346.2919953121168</v>
      </c>
      <c r="T64" s="59">
        <f t="shared" si="34"/>
        <v>255.63939678041237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28.228855257235203</v>
      </c>
      <c r="AA64" s="21">
        <f>EXP(-LN(2)/25)*AA63+(1-EXP(-LN(2)/25))/(LN(2)/25)*Calculateur!V64*Calculateur!X64*VLOOKUP('Données projet'!$B$9,Paramètres!$A$1:$I$89,3,0)*0.475*44/12</f>
        <v>32.560758720027025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60.789613977262228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-6.7984728957526396E-14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298.32148815673816</v>
      </c>
      <c r="AO64" s="59">
        <f t="shared" si="36"/>
        <v>303.51754260758827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131.94470906265997</v>
      </c>
      <c r="AV64" s="21">
        <f>EXP(-LN(2)/25)*AV63+(1-EXP(-LN(2)/25))/(LN(2)/25)*Calculateur!AQ64*Calculateur!AS64*VLOOKUP('Données projet'!$B$10,Paramètres!$A$1:$I$89,3,0)*0.475*44/12</f>
        <v>73.864494430622599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205.80920349328255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7.6040000000000019</v>
      </c>
      <c r="BD64" s="12">
        <f>IF('Données projet'!$A$88&gt;35,BD63+BC64-BL63,IF(A64&lt;'Données projet'!$A$88,$BA$205^A64,IF(A64='Données projet'!$A$88,'Données projet'!$B$88,BD63+BC64-BL63)))</f>
        <v>261.8039999999998</v>
      </c>
      <c r="BE64" s="13">
        <f>BD64*VLOOKUP('Données projet'!$B$11,Paramètres!$A$1:$I$89,3,0)*VLOOKUP('Données projet'!$B$11,Paramètres!$A$1:$I$89,5,0)</f>
        <v>149.75188799999989</v>
      </c>
      <c r="BF64" s="13">
        <f t="shared" si="37"/>
        <v>38.522195847216238</v>
      </c>
      <c r="BG64" s="20">
        <f t="shared" si="7"/>
        <v>327.91069603390139</v>
      </c>
      <c r="BH64" s="59">
        <f t="shared" si="8"/>
        <v>621.2440293672347</v>
      </c>
      <c r="BI64" s="59">
        <f ca="1">AVERAGE(OFFSET($BH$3,0,0,'Données projet'!$E$11+1,1))-AVERAGE(OFFSET($H$3,0,0,'Données projet'!$E$11+1,1))</f>
        <v>287.9055604128643</v>
      </c>
      <c r="BJ64" s="59">
        <f t="shared" si="38"/>
        <v>197.74605993031139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24.18588390698709</v>
      </c>
      <c r="BQ64" s="21">
        <f>EXP(-LN(2)/25)*BQ63+(1-EXP(-LN(2)/25))/(LN(2)/25)*Calculateur!BL64*Calculateur!BN64*VLOOKUP('Données projet'!$B$11,Paramètres!$A$1:$I$89,3,0)*0.475*44/12</f>
        <v>29.537142147217779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53.723026054204865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2.8205128205128176</v>
      </c>
      <c r="BY64" s="12">
        <f>IF('Données projet'!$A$114&gt;35,BY63+BX64-CG63,IF(A64&lt;'Données projet'!$A$114,$BV$205^A64,IF(A64='Données projet'!$A$114,'Données projet'!$B$114,BY63+BX64-CG63)))</f>
        <v>113.71794871794864</v>
      </c>
      <c r="BZ64" s="13">
        <f>BY64*VLOOKUP('Données projet'!$B$12,Paramètres!$A$1:$I$89,3,0)*VLOOKUP('Données projet'!$B$12,Paramètres!$A$1:$I$89,5,0)</f>
        <v>99.343999999999951</v>
      </c>
      <c r="CA64" s="13">
        <f t="shared" si="39"/>
        <v>26.805654780620351</v>
      </c>
      <c r="CB64" s="20">
        <f t="shared" si="10"/>
        <v>219.71064874291369</v>
      </c>
      <c r="CC64" s="59">
        <f t="shared" si="11"/>
        <v>513.04398207624695</v>
      </c>
      <c r="CD64" s="59">
        <f ca="1">AVERAGE(OFFSET($CC$3,0,0,'Données projet'!$E$12+1,1))-AVERAGE(OFFSET($H$3,0,0,'Données projet'!$E$12+1,1))</f>
        <v>201.78062426023638</v>
      </c>
      <c r="CE64" s="59">
        <f t="shared" si="40"/>
        <v>183.0364139873468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13.455377339078286</v>
      </c>
      <c r="CL64" s="21">
        <f>EXP(-LN(2)/25)*CL63+(1-EXP(-LN(2)/25))/(LN(2)/25)*Calculateur!CG64*Calculateur!CI64*VLOOKUP('Données projet'!$B$12,Paramètres!$A$1:$I$89,3,0)*0.475*44/12</f>
        <v>8.8010570778594541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22.25643441693774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2.0311199999999974</v>
      </c>
      <c r="D65" s="11">
        <f t="shared" si="32"/>
        <v>0.86192053077581654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1.1166121346854019</v>
      </c>
      <c r="H65" s="67">
        <f t="shared" si="1"/>
        <v>261.70537892443457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394.88400000000019</v>
      </c>
      <c r="O65" s="13">
        <f>N65*VLOOKUP('Données projet'!$B$9,Paramètres!$A$1:$I$89,3,0)*VLOOKUP('Données projet'!$B$9,Paramètres!$A$1:$I$89,5,0)</f>
        <v>236.14063200000015</v>
      </c>
      <c r="P65" s="13">
        <f t="shared" si="33"/>
        <v>57.608386833134347</v>
      </c>
      <c r="Q65" s="20">
        <f t="shared" si="53"/>
        <v>511.61287446770933</v>
      </c>
      <c r="R65" s="59">
        <f t="shared" si="0"/>
        <v>804.94620780104265</v>
      </c>
      <c r="S65" s="59">
        <f ca="1">AVERAGE(OFFSET($R$3,0,0,'Données projet'!$E$9+1,1))-AVERAGE(OFFSET($H$3,0,0,'Données projet'!$E$9+1,1))</f>
        <v>346.2919953121168</v>
      </c>
      <c r="T65" s="59">
        <f t="shared" si="34"/>
        <v>255.63939678041237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27.675304623542402</v>
      </c>
      <c r="AA65" s="21">
        <f>EXP(-LN(2)/25)*AA64+(1-EXP(-LN(2)/25))/(LN(2)/25)*Calculateur!V65*Calculateur!X65*VLOOKUP('Données projet'!$B$9,Paramètres!$A$1:$I$89,3,0)*0.475*44/12</f>
        <v>31.670383060532004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59.345687684074406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-6.7984728957526396E-14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298.32148815673816</v>
      </c>
      <c r="AO65" s="59">
        <f t="shared" si="36"/>
        <v>303.51754260758827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129.35735379626715</v>
      </c>
      <c r="AV65" s="21">
        <f>EXP(-LN(2)/25)*AV64+(1-EXP(-LN(2)/25))/(LN(2)/25)*Calculateur!AQ65*Calculateur!AS65*VLOOKUP('Données projet'!$B$10,Paramètres!$A$1:$I$89,3,0)*0.475*44/12</f>
        <v>71.844665946052288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201.20201974231944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7.6040000000000019</v>
      </c>
      <c r="BD65" s="12">
        <f>IF('Données projet'!$A$88&gt;35,BD64+BC65-BL64,IF(A65&lt;'Données projet'!$A$88,$BA$205^A65,IF(A65='Données projet'!$A$88,'Données projet'!$B$88,BD64+BC65-BL64)))</f>
        <v>269.40799999999979</v>
      </c>
      <c r="BE65" s="13">
        <f>BD65*VLOOKUP('Données projet'!$B$11,Paramètres!$A$1:$I$89,3,0)*VLOOKUP('Données projet'!$B$11,Paramètres!$A$1:$I$89,5,0)</f>
        <v>154.1013759999999</v>
      </c>
      <c r="BF65" s="13">
        <f t="shared" si="37"/>
        <v>39.509169704527757</v>
      </c>
      <c r="BG65" s="20">
        <f t="shared" si="7"/>
        <v>337.20503376871898</v>
      </c>
      <c r="BH65" s="59">
        <f t="shared" si="8"/>
        <v>630.53836710205223</v>
      </c>
      <c r="BI65" s="59">
        <f ca="1">AVERAGE(OFFSET($BH$3,0,0,'Données projet'!$E$11+1,1))-AVERAGE(OFFSET($H$3,0,0,'Données projet'!$E$11+1,1))</f>
        <v>287.9055604128643</v>
      </c>
      <c r="BJ65" s="59">
        <f t="shared" si="38"/>
        <v>197.74605993031139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23.711613475503626</v>
      </c>
      <c r="BQ65" s="21">
        <f>EXP(-LN(2)/25)*BQ64+(1-EXP(-LN(2)/25))/(LN(2)/25)*Calculateur!BL65*Calculateur!BN65*VLOOKUP('Données projet'!$B$11,Paramètres!$A$1:$I$89,3,0)*0.475*44/12</f>
        <v>28.729447441911312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52.441060917414937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2.8205128205128176</v>
      </c>
      <c r="BY65" s="12">
        <f>IF('Données projet'!$A$114&gt;35,BY64+BX65-CG64,IF(A65&lt;'Données projet'!$A$114,$BV$205^A65,IF(A65='Données projet'!$A$114,'Données projet'!$B$114,BY64+BX65-CG64)))</f>
        <v>116.53846153846146</v>
      </c>
      <c r="BZ65" s="13">
        <f>BY65*VLOOKUP('Données projet'!$B$12,Paramètres!$A$1:$I$89,3,0)*VLOOKUP('Données projet'!$B$12,Paramètres!$A$1:$I$89,5,0)</f>
        <v>101.80799999999994</v>
      </c>
      <c r="CA65" s="13">
        <f t="shared" si="39"/>
        <v>27.392278397914453</v>
      </c>
      <c r="CB65" s="20">
        <f t="shared" si="10"/>
        <v>225.02381820970086</v>
      </c>
      <c r="CC65" s="59">
        <f t="shared" si="11"/>
        <v>518.35715154303421</v>
      </c>
      <c r="CD65" s="59">
        <f ca="1">AVERAGE(OFFSET($CC$3,0,0,'Données projet'!$E$12+1,1))-AVERAGE(OFFSET($H$3,0,0,'Données projet'!$E$12+1,1))</f>
        <v>201.78062426023638</v>
      </c>
      <c r="CE65" s="59">
        <f t="shared" si="40"/>
        <v>183.0364139873468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13.191525596428766</v>
      </c>
      <c r="CL65" s="21">
        <f>EXP(-LN(2)/25)*CL64+(1-EXP(-LN(2)/25))/(LN(2)/25)*Calculateur!CG65*Calculateur!CI65*VLOOKUP('Données projet'!$B$12,Paramètres!$A$1:$I$89,3,0)*0.475*44/12</f>
        <v>8.5603917092379103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21.751917305666677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2.0638799999999975</v>
      </c>
      <c r="D66" s="11">
        <f t="shared" si="32"/>
        <v>0.87419282627682782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1.1339930206682485</v>
      </c>
      <c r="H66" s="67">
        <f t="shared" si="1"/>
        <v>261.78381017243214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406.78100000000018</v>
      </c>
      <c r="O66" s="13">
        <f>N66*VLOOKUP('Données projet'!$B$9,Paramètres!$A$1:$I$89,3,0)*VLOOKUP('Données projet'!$B$9,Paramètres!$A$1:$I$89,5,0)</f>
        <v>243.25503800000013</v>
      </c>
      <c r="P66" s="13">
        <f t="shared" si="33"/>
        <v>59.139317725784991</v>
      </c>
      <c r="Q66" s="20">
        <f t="shared" si="53"/>
        <v>526.6701695557424</v>
      </c>
      <c r="R66" s="59">
        <f t="shared" si="0"/>
        <v>820.00350288907566</v>
      </c>
      <c r="S66" s="59">
        <f ca="1">AVERAGE(OFFSET($R$3,0,0,'Données projet'!$E$9+1,1))-AVERAGE(OFFSET($H$3,0,0,'Données projet'!$E$9+1,1))</f>
        <v>346.2919953121168</v>
      </c>
      <c r="T66" s="59">
        <f t="shared" si="34"/>
        <v>255.63939678041237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27.132608780143769</v>
      </c>
      <c r="AA66" s="21">
        <f>EXP(-LN(2)/25)*AA65+(1-EXP(-LN(2)/25))/(LN(2)/25)*Calculateur!V66*Calculateur!X66*VLOOKUP('Données projet'!$B$9,Paramètres!$A$1:$I$89,3,0)*0.475*44/12</f>
        <v>30.804354770268695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57.936963550412464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-6.7984728957526396E-14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298.32148815673816</v>
      </c>
      <c r="AO66" s="59">
        <f t="shared" si="36"/>
        <v>303.51754260758827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126.82073498851742</v>
      </c>
      <c r="AV66" s="21">
        <f>EXP(-LN(2)/25)*AV65+(1-EXP(-LN(2)/25))/(LN(2)/25)*Calculateur!AQ66*Calculateur!AS66*VLOOKUP('Données projet'!$B$10,Paramètres!$A$1:$I$89,3,0)*0.475*44/12</f>
        <v>69.880069777610714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196.70080476612813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7.6040000000000019</v>
      </c>
      <c r="BD66" s="12">
        <f>IF('Données projet'!$A$88&gt;35,BD65+BC66-BL65,IF(A66&lt;'Données projet'!$A$88,$BA$205^A66,IF(A66='Données projet'!$A$88,'Données projet'!$B$88,BD65+BC66-BL65)))</f>
        <v>277.01199999999977</v>
      </c>
      <c r="BE66" s="13">
        <f>BD66*VLOOKUP('Données projet'!$B$11,Paramètres!$A$1:$I$89,3,0)*VLOOKUP('Données projet'!$B$11,Paramètres!$A$1:$I$89,5,0)</f>
        <v>158.45086399999988</v>
      </c>
      <c r="BF66" s="13">
        <f t="shared" si="37"/>
        <v>40.492905851661241</v>
      </c>
      <c r="BG66" s="20">
        <f t="shared" si="7"/>
        <v>346.49373249164313</v>
      </c>
      <c r="BH66" s="59">
        <f t="shared" si="8"/>
        <v>639.82706582497644</v>
      </c>
      <c r="BI66" s="59">
        <f ca="1">AVERAGE(OFFSET($BH$3,0,0,'Données projet'!$E$11+1,1))-AVERAGE(OFFSET($H$3,0,0,'Données projet'!$E$11+1,1))</f>
        <v>287.9055604128643</v>
      </c>
      <c r="BJ66" s="59">
        <f t="shared" si="38"/>
        <v>197.74605993031139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23.246643197905151</v>
      </c>
      <c r="BQ66" s="21">
        <f>EXP(-LN(2)/25)*BQ65+(1-EXP(-LN(2)/25))/(LN(2)/25)*Calculateur!BL66*Calculateur!BN66*VLOOKUP('Données projet'!$B$11,Paramètres!$A$1:$I$89,3,0)*0.475*44/12</f>
        <v>27.943839190796268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51.190482388701419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2.8205128205128176</v>
      </c>
      <c r="BY66" s="12">
        <f>IF('Données projet'!$A$114&gt;35,BY65+BX66-CG65,IF(A66&lt;'Données projet'!$A$114,$BV$205^A66,IF(A66='Données projet'!$A$114,'Données projet'!$B$114,BY65+BX66-CG65)))</f>
        <v>119.35897435897428</v>
      </c>
      <c r="BZ66" s="13">
        <f>BY66*VLOOKUP('Données projet'!$B$12,Paramètres!$A$1:$I$89,3,0)*VLOOKUP('Données projet'!$B$12,Paramètres!$A$1:$I$89,5,0)</f>
        <v>104.27199999999995</v>
      </c>
      <c r="CA66" s="13">
        <f t="shared" si="39"/>
        <v>27.977251556977873</v>
      </c>
      <c r="CB66" s="20">
        <f t="shared" si="10"/>
        <v>230.334113128403</v>
      </c>
      <c r="CC66" s="59">
        <f t="shared" si="11"/>
        <v>523.66744646173629</v>
      </c>
      <c r="CD66" s="59">
        <f ca="1">AVERAGE(OFFSET($CC$3,0,0,'Données projet'!$E$12+1,1))-AVERAGE(OFFSET($H$3,0,0,'Données projet'!$E$12+1,1))</f>
        <v>201.78062426023638</v>
      </c>
      <c r="CE66" s="59">
        <f t="shared" si="40"/>
        <v>183.0364139873468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12.932847825518932</v>
      </c>
      <c r="CL66" s="21">
        <f>EXP(-LN(2)/25)*CL65+(1-EXP(-LN(2)/25))/(LN(2)/25)*Calculateur!CG66*Calculateur!CI66*VLOOKUP('Données projet'!$B$12,Paramètres!$A$1:$I$89,3,0)*0.475*44/12</f>
        <v>8.3263073477773641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21.259155173296296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2.0966399999999976</v>
      </c>
      <c r="D67" s="11">
        <f t="shared" si="32"/>
        <v>0.88644246717915032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1.1513651627708992</v>
      </c>
      <c r="H67" s="67">
        <f t="shared" si="1"/>
        <v>261.86220196367037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418.67800000000017</v>
      </c>
      <c r="O67" s="13">
        <f>N67*VLOOKUP('Données projet'!$B$9,Paramètres!$A$1:$I$89,3,0)*VLOOKUP('Données projet'!$B$9,Paramètres!$A$1:$I$89,5,0)</f>
        <v>250.36944400000013</v>
      </c>
      <c r="P67" s="13">
        <f t="shared" si="33"/>
        <v>60.665044924256527</v>
      </c>
      <c r="Q67" s="20">
        <f t="shared" ref="Q67:Q98" si="54">(O67+P67)*0.475*44/12</f>
        <v>541.71840154308029</v>
      </c>
      <c r="R67" s="59">
        <f t="shared" ref="R67:R130" si="55">Q67+(I67+J67)*44/12</f>
        <v>835.05173487641355</v>
      </c>
      <c r="S67" s="59">
        <f ca="1">AVERAGE(OFFSET($R$3,0,0,'Données projet'!$E$9+1,1))-AVERAGE(OFFSET($H$3,0,0,'Données projet'!$E$9+1,1))</f>
        <v>346.2919953121168</v>
      </c>
      <c r="T67" s="59">
        <f t="shared" si="34"/>
        <v>255.63939678041237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26.600554871222403</v>
      </c>
      <c r="AA67" s="21">
        <f>EXP(-LN(2)/25)*AA66+(1-EXP(-LN(2)/25))/(LN(2)/25)*Calculateur!V67*Calculateur!X67*VLOOKUP('Données projet'!$B$9,Paramètres!$A$1:$I$89,3,0)*0.475*44/12</f>
        <v>29.962008069145085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56.562562940367485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-6.7984728957526396E-14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298.32148815673816</v>
      </c>
      <c r="AO67" s="59">
        <f t="shared" si="36"/>
        <v>303.51754260758827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124.33385772840296</v>
      </c>
      <c r="AV67" s="21">
        <f>EXP(-LN(2)/25)*AV66+(1-EXP(-LN(2)/25))/(LN(2)/25)*Calculateur!AQ67*Calculateur!AS67*VLOOKUP('Données projet'!$B$10,Paramètres!$A$1:$I$89,3,0)*0.475*44/12</f>
        <v>67.969195594708793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192.30305332311175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7.6040000000000019</v>
      </c>
      <c r="BD67" s="12">
        <f>IF('Données projet'!$A$88&gt;35,BD66+BC67-BL66,IF(A67&lt;'Données projet'!$A$88,$BA$205^A67,IF(A67='Données projet'!$A$88,'Données projet'!$B$88,BD66+BC67-BL66)))</f>
        <v>284.61599999999976</v>
      </c>
      <c r="BE67" s="13">
        <f>BD67*VLOOKUP('Données projet'!$B$11,Paramètres!$A$1:$I$89,3,0)*VLOOKUP('Données projet'!$B$11,Paramètres!$A$1:$I$89,5,0)</f>
        <v>162.80035199999986</v>
      </c>
      <c r="BF67" s="13">
        <f t="shared" si="37"/>
        <v>41.47350337595487</v>
      </c>
      <c r="BG67" s="20">
        <f t="shared" si="7"/>
        <v>355.77696477978776</v>
      </c>
      <c r="BH67" s="59">
        <f t="shared" si="8"/>
        <v>649.11029811312108</v>
      </c>
      <c r="BI67" s="59">
        <f ca="1">AVERAGE(OFFSET($BH$3,0,0,'Données projet'!$E$11+1,1))-AVERAGE(OFFSET($H$3,0,0,'Données projet'!$E$11+1,1))</f>
        <v>287.9055604128643</v>
      </c>
      <c r="BJ67" s="59">
        <f t="shared" si="38"/>
        <v>197.74605993031139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22.790790703846515</v>
      </c>
      <c r="BQ67" s="21">
        <f>EXP(-LN(2)/25)*BQ66+(1-EXP(-LN(2)/25))/(LN(2)/25)*Calculateur!BL67*Calculateur!BN67*VLOOKUP('Données projet'!$B$11,Paramètres!$A$1:$I$89,3,0)*0.475*44/12</f>
        <v>27.179713438621306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49.970504142467817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2.8205128205128176</v>
      </c>
      <c r="BY67" s="12">
        <f>IF('Données projet'!$A$114&gt;35,BY66+BX67-CG66,IF(A67&lt;'Données projet'!$A$114,$BV$205^A67,IF(A67='Données projet'!$A$114,'Données projet'!$B$114,BY66+BX67-CG66)))</f>
        <v>122.1794871794871</v>
      </c>
      <c r="BZ67" s="13">
        <f>BY67*VLOOKUP('Données projet'!$B$12,Paramètres!$A$1:$I$89,3,0)*VLOOKUP('Données projet'!$B$12,Paramètres!$A$1:$I$89,5,0)</f>
        <v>106.73599999999995</v>
      </c>
      <c r="CA67" s="13">
        <f t="shared" si="39"/>
        <v>28.560617747062828</v>
      </c>
      <c r="CB67" s="20">
        <f t="shared" si="10"/>
        <v>235.641609242801</v>
      </c>
      <c r="CC67" s="59">
        <f t="shared" si="11"/>
        <v>528.97494257613425</v>
      </c>
      <c r="CD67" s="59">
        <f ca="1">AVERAGE(OFFSET($CC$3,0,0,'Données projet'!$E$12+1,1))-AVERAGE(OFFSET($H$3,0,0,'Données projet'!$E$12+1,1))</f>
        <v>201.78062426023638</v>
      </c>
      <c r="CE67" s="59">
        <f t="shared" si="40"/>
        <v>183.0364139873468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12.679242567918779</v>
      </c>
      <c r="CL67" s="21">
        <f>EXP(-LN(2)/25)*CL66+(1-EXP(-LN(2)/25))/(LN(2)/25)*Calculateur!CG67*Calculateur!CI67*VLOOKUP('Données projet'!$B$12,Paramètres!$A$1:$I$89,3,0)*0.475*44/12</f>
        <v>8.0986240354909196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20.777866603409699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2.1293999999999977</v>
      </c>
      <c r="D68" s="11">
        <f t="shared" si="32"/>
        <v>0.89866984833715002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1.1687287133932851</v>
      </c>
      <c r="H68" s="67">
        <f t="shared" ref="H68:H131" si="56">(B68+E68+F68)*44/12+(C68+D68)*0.475*44/12</f>
        <v>261.94055498585391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430.57500000000016</v>
      </c>
      <c r="O68" s="13">
        <f>N68*VLOOKUP('Données projet'!$B$9,Paramètres!$A$1:$I$89,3,0)*VLOOKUP('Données projet'!$B$9,Paramètres!$A$1:$I$89,5,0)</f>
        <v>257.48385000000013</v>
      </c>
      <c r="P68" s="13">
        <f t="shared" si="33"/>
        <v>62.185733278690435</v>
      </c>
      <c r="Q68" s="20">
        <f t="shared" si="54"/>
        <v>556.7578575437193</v>
      </c>
      <c r="R68" s="59">
        <f t="shared" si="55"/>
        <v>850.09119087705267</v>
      </c>
      <c r="S68" s="59">
        <f ca="1">AVERAGE(OFFSET($R$3,0,0,'Données projet'!$E$9+1,1))-AVERAGE(OFFSET($H$3,0,0,'Données projet'!$E$9+1,1))</f>
        <v>346.2919953121168</v>
      </c>
      <c r="T68" s="59">
        <f t="shared" si="34"/>
        <v>255.63939678041237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26.078934214934144</v>
      </c>
      <c r="AA68" s="21">
        <f>EXP(-LN(2)/25)*AA67+(1-EXP(-LN(2)/25))/(LN(2)/25)*Calculateur!V68*Calculateur!X68*VLOOKUP('Données projet'!$B$9,Paramètres!$A$1:$I$89,3,0)*0.475*44/12</f>
        <v>29.142695382860786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55.22162959779493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-6.7984728957526396E-14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298.32148815673816</v>
      </c>
      <c r="AO68" s="59">
        <f t="shared" si="36"/>
        <v>303.51754260758827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121.895746614514</v>
      </c>
      <c r="AV68" s="21">
        <f>EXP(-LN(2)/25)*AV67+(1-EXP(-LN(2)/25))/(LN(2)/25)*Calculateur!AQ68*Calculateur!AS68*VLOOKUP('Données projet'!$B$10,Paramètres!$A$1:$I$89,3,0)*0.475*44/12</f>
        <v>66.110574366826825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188.00632098134082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7.6040000000000019</v>
      </c>
      <c r="BD68" s="12">
        <f>IF('Données projet'!$A$88&gt;35,BD67+BC68-BL67,IF(A68&lt;'Données projet'!$A$88,$BA$205^A68,IF(A68='Données projet'!$A$88,'Données projet'!$B$88,BD67+BC68-BL67)))</f>
        <v>292.21999999999974</v>
      </c>
      <c r="BE68" s="13">
        <f>BD68*VLOOKUP('Données projet'!$B$11,Paramètres!$A$1:$I$89,3,0)*VLOOKUP('Données projet'!$B$11,Paramètres!$A$1:$I$89,5,0)</f>
        <v>167.14983999999984</v>
      </c>
      <c r="BF68" s="13">
        <f t="shared" si="37"/>
        <v>42.451055768721659</v>
      </c>
      <c r="BG68" s="20">
        <f t="shared" ref="BG68:BG131" si="61">(BE68+BF68)*0.475*44/12</f>
        <v>365.05489346385662</v>
      </c>
      <c r="BH68" s="59">
        <f t="shared" ref="BH68:BH131" si="62">BG68+(AY68+AZ68)*44/12</f>
        <v>658.38822679718987</v>
      </c>
      <c r="BI68" s="59">
        <f ca="1">AVERAGE(OFFSET($BH$3,0,0,'Données projet'!$E$11+1,1))-AVERAGE(OFFSET($H$3,0,0,'Données projet'!$E$11+1,1))</f>
        <v>287.9055604128643</v>
      </c>
      <c r="BJ68" s="59">
        <f t="shared" si="38"/>
        <v>197.74605993031139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22.343877199153802</v>
      </c>
      <c r="BQ68" s="21">
        <f>EXP(-LN(2)/25)*BQ67+(1-EXP(-LN(2)/25))/(LN(2)/25)*Calculateur!BL68*Calculateur!BN68*VLOOKUP('Données projet'!$B$11,Paramètres!$A$1:$I$89,3,0)*0.475*44/12</f>
        <v>26.436482745323197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48.780359944476999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125</v>
      </c>
      <c r="BW68" s="12">
        <f>VLOOKUP(A68,'Données projet'!$A$113:$I$133,9,0)</f>
        <v>2.8205128205128176</v>
      </c>
      <c r="BX68" s="12">
        <f t="array" ref="BX68">INDEX(BW:BW,MIN(IF(ISNUMBER(BW68:BW264),ROW(BW68:BW264),"")))</f>
        <v>2.8205128205128176</v>
      </c>
      <c r="BY68" s="12">
        <f>IF('Données projet'!$A$114&gt;35,BY67+BX68-CG67,IF(A68&lt;'Données projet'!$A$114,$BV$205^A68,IF(A68='Données projet'!$A$114,'Données projet'!$B$114,BY67+BX68-CG67)))</f>
        <v>124.99999999999991</v>
      </c>
      <c r="BZ68" s="13">
        <f>BY68*VLOOKUP('Données projet'!$B$12,Paramètres!$A$1:$I$89,3,0)*VLOOKUP('Données projet'!$B$12,Paramètres!$A$1:$I$89,5,0)</f>
        <v>109.19999999999993</v>
      </c>
      <c r="CA68" s="13">
        <f t="shared" si="39"/>
        <v>29.142418334948587</v>
      </c>
      <c r="CB68" s="20">
        <f t="shared" ref="CB68:CB131" si="64">(BZ68+CA68)*0.475*44/12</f>
        <v>240.94637860003536</v>
      </c>
      <c r="CC68" s="59">
        <f t="shared" ref="CC68:CC131" si="65">CB68+(BT68+BU68)*44/12</f>
        <v>534.27971193336862</v>
      </c>
      <c r="CD68" s="59">
        <f ca="1">AVERAGE(OFFSET($CC$3,0,0,'Données projet'!$E$12+1,1))-AVERAGE(OFFSET($H$3,0,0,'Données projet'!$E$12+1,1))</f>
        <v>201.78062426023638</v>
      </c>
      <c r="CE68" s="59">
        <f t="shared" si="40"/>
        <v>183.0364139873468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9.615384615384615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0.129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14.826385761260042</v>
      </c>
      <c r="CL68" s="21">
        <f>EXP(-LN(2)/25)*CL67+(1-EXP(-LN(2)/25))/(LN(2)/25)*Calculateur!CG68*Calculateur!CI68*VLOOKUP('Données projet'!$B$12,Paramètres!$A$1:$I$89,3,0)*0.475*44/12</f>
        <v>9.0703378982954561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23.896723659555498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2.1621599999999979</v>
      </c>
      <c r="D69" s="11">
        <f t="shared" ref="D69:D132" si="86">IFERROR(EXP(-1.0587+0.8836*LN(C69)+0.284),0)</f>
        <v>0.91087535175872691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1.1860838199770518</v>
      </c>
      <c r="H69" s="67">
        <f t="shared" si="56"/>
        <v>262.01886990431314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442.47200000000015</v>
      </c>
      <c r="O69" s="13">
        <f>N69*VLOOKUP('Données projet'!$B$9,Paramètres!$A$1:$I$89,3,0)*VLOOKUP('Données projet'!$B$9,Paramètres!$A$1:$I$89,5,0)</f>
        <v>264.59825600000011</v>
      </c>
      <c r="P69" s="13">
        <f t="shared" ref="P69:P132" si="87">EXP(-1.0587+0.8836*LN(O69)+0.284)</f>
        <v>63.701538011039567</v>
      </c>
      <c r="Q69" s="20">
        <f t="shared" si="54"/>
        <v>571.78880790256073</v>
      </c>
      <c r="R69" s="59">
        <f t="shared" si="55"/>
        <v>865.12214123589411</v>
      </c>
      <c r="S69" s="59">
        <f ca="1">AVERAGE(OFFSET($R$3,0,0,'Données projet'!$E$9+1,1))-AVERAGE(OFFSET($H$3,0,0,'Données projet'!$E$9+1,1))</f>
        <v>346.2919953121168</v>
      </c>
      <c r="T69" s="59">
        <f t="shared" ref="T69:T132" si="88">$T$3</f>
        <v>255.63939678041237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25.567542221558512</v>
      </c>
      <c r="AA69" s="21">
        <f>EXP(-LN(2)/25)*AA68+(1-EXP(-LN(2)/25))/(LN(2)/25)*Calculateur!V69*Calculateur!X69*VLOOKUP('Données projet'!$B$9,Paramètres!$A$1:$I$89,3,0)*0.475*44/12</f>
        <v>28.345786845068716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53.913329066627227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-6.7984728957526396E-14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298.32148815673816</v>
      </c>
      <c r="AO69" s="59">
        <f t="shared" ref="AO69:AO132" si="90">$AO$3</f>
        <v>303.51754260758827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119.50544537246745</v>
      </c>
      <c r="AV69" s="21">
        <f>EXP(-LN(2)/25)*AV68+(1-EXP(-LN(2)/25))/(LN(2)/25)*Calculateur!AQ69*Calculateur!AS69*VLOOKUP('Données projet'!$B$10,Paramètres!$A$1:$I$89,3,0)*0.475*44/12</f>
        <v>64.302777234161937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183.80822260662939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7.6040000000000019</v>
      </c>
      <c r="BD69" s="12">
        <f>IF('Données projet'!$A$88&gt;35,BD68+BC69-BL68,IF(A69&lt;'Données projet'!$A$88,$BA$205^A69,IF(A69='Données projet'!$A$88,'Données projet'!$B$88,BD68+BC69-BL68)))</f>
        <v>299.82399999999973</v>
      </c>
      <c r="BE69" s="13">
        <f>BD69*VLOOKUP('Données projet'!$B$11,Paramètres!$A$1:$I$89,3,0)*VLOOKUP('Données projet'!$B$11,Paramètres!$A$1:$I$89,5,0)</f>
        <v>171.49932799999988</v>
      </c>
      <c r="BF69" s="13">
        <f t="shared" ref="BF69:BF132" si="91">EXP(-1.0587+0.8836*LN(BE69)+0.284)</f>
        <v>43.425651378570286</v>
      </c>
      <c r="BG69" s="20">
        <f t="shared" si="61"/>
        <v>374.3276724176763</v>
      </c>
      <c r="BH69" s="59">
        <f t="shared" si="62"/>
        <v>667.66100575100961</v>
      </c>
      <c r="BI69" s="59">
        <f ca="1">AVERAGE(OFFSET($BH$3,0,0,'Données projet'!$E$11+1,1))-AVERAGE(OFFSET($H$3,0,0,'Données projet'!$E$11+1,1))</f>
        <v>287.9055604128643</v>
      </c>
      <c r="BJ69" s="59">
        <f t="shared" ref="BJ69:BJ132" si="92">$BJ$3</f>
        <v>197.74605993031139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21.905727395697792</v>
      </c>
      <c r="BQ69" s="21">
        <f>EXP(-LN(2)/25)*BQ68+(1-EXP(-LN(2)/25))/(LN(2)/25)*Calculateur!BL69*Calculateur!BN69*VLOOKUP('Données projet'!$B$11,Paramètres!$A$1:$I$89,3,0)*0.475*44/12</f>
        <v>25.713575734418129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47.619303130115924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2.6923076923076907</v>
      </c>
      <c r="BY69" s="12">
        <f>IF('Données projet'!$A$114&gt;35,BY68+BX69-CG68,IF(A69&lt;'Données projet'!$A$114,$BV$205^A69,IF(A69='Données projet'!$A$114,'Données projet'!$B$114,BY68+BX69-CG68)))</f>
        <v>118.07692307692299</v>
      </c>
      <c r="BZ69" s="13">
        <f>BY69*VLOOKUP('Données projet'!$B$12,Paramètres!$A$1:$I$89,3,0)*VLOOKUP('Données projet'!$B$12,Paramètres!$A$1:$I$89,5,0)</f>
        <v>103.15199999999993</v>
      </c>
      <c r="CA69" s="13">
        <f t="shared" ref="CA69:CA132" si="93">EXP(-1.0587+0.8836*LN(BZ69)+0.284)</f>
        <v>27.711556440369876</v>
      </c>
      <c r="CB69" s="20">
        <f t="shared" si="64"/>
        <v>227.92069413364405</v>
      </c>
      <c r="CC69" s="59">
        <f t="shared" si="65"/>
        <v>521.25402746697739</v>
      </c>
      <c r="CD69" s="59">
        <f ca="1">AVERAGE(OFFSET($CC$3,0,0,'Données projet'!$E$12+1,1))-AVERAGE(OFFSET($H$3,0,0,'Données projet'!$E$12+1,1))</f>
        <v>201.78062426023638</v>
      </c>
      <c r="CE69" s="59">
        <f t="shared" ref="CE69:CE132" si="94">$CE$3</f>
        <v>183.0364139873468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14.535649379684104</v>
      </c>
      <c r="CL69" s="21">
        <f>EXP(-LN(2)/25)*CL68+(1-EXP(-LN(2)/25))/(LN(2)/25)*Calculateur!CG69*Calculateur!CI69*VLOOKUP('Données projet'!$B$12,Paramètres!$A$1:$I$89,3,0)*0.475*44/12</f>
        <v>8.8223090314782269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23.357958411162329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2.194919999999998</v>
      </c>
      <c r="D70" s="11">
        <f t="shared" si="86"/>
        <v>0.92305934721145844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1.2034306252395097</v>
      </c>
      <c r="H70" s="67">
        <f t="shared" si="56"/>
        <v>262.09714736305995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454.36900000000014</v>
      </c>
      <c r="O70" s="13">
        <f>N70*VLOOKUP('Données projet'!$B$9,Paramètres!$A$1:$I$89,3,0)*VLOOKUP('Données projet'!$B$9,Paramètres!$A$1:$I$89,5,0)</f>
        <v>271.71266200000014</v>
      </c>
      <c r="P70" s="13">
        <f t="shared" si="87"/>
        <v>65.212605520968935</v>
      </c>
      <c r="Q70" s="20">
        <f t="shared" si="54"/>
        <v>586.81150759902118</v>
      </c>
      <c r="R70" s="59">
        <f t="shared" si="55"/>
        <v>880.14484093235455</v>
      </c>
      <c r="S70" s="59">
        <f ca="1">AVERAGE(OFFSET($R$3,0,0,'Données projet'!$E$9+1,1))-AVERAGE(OFFSET($H$3,0,0,'Données projet'!$E$9+1,1))</f>
        <v>346.2919953121168</v>
      </c>
      <c r="T70" s="59">
        <f t="shared" si="88"/>
        <v>255.63939678041237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25.06617831325466</v>
      </c>
      <c r="AA70" s="21">
        <f>EXP(-LN(2)/25)*AA69+(1-EXP(-LN(2)/25))/(LN(2)/25)*Calculateur!V70*Calculateur!X70*VLOOKUP('Données projet'!$B$9,Paramètres!$A$1:$I$89,3,0)*0.475*44/12</f>
        <v>27.570669813150168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52.636848126404828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-6.7984728957526396E-14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298.32148815673816</v>
      </c>
      <c r="AO70" s="59">
        <f t="shared" si="90"/>
        <v>303.51754260758827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117.16201647983763</v>
      </c>
      <c r="AV70" s="21">
        <f>EXP(-LN(2)/25)*AV69+(1-EXP(-LN(2)/25))/(LN(2)/25)*Calculateur!AQ70*Calculateur!AS70*VLOOKUP('Données projet'!$B$10,Paramètres!$A$1:$I$89,3,0)*0.475*44/12</f>
        <v>62.544414409157689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179.70643088899533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7.6040000000000019</v>
      </c>
      <c r="BD70" s="12">
        <f>IF('Données projet'!$A$88&gt;35,BD69+BC70-BL69,IF(A70&lt;'Données projet'!$A$88,$BA$205^A70,IF(A70='Données projet'!$A$88,'Données projet'!$B$88,BD69+BC70-BL69)))</f>
        <v>307.42799999999971</v>
      </c>
      <c r="BE70" s="13">
        <f>BD70*VLOOKUP('Données projet'!$B$11,Paramètres!$A$1:$I$89,3,0)*VLOOKUP('Données projet'!$B$11,Paramètres!$A$1:$I$89,5,0)</f>
        <v>175.84881599999986</v>
      </c>
      <c r="BF70" s="13">
        <f t="shared" si="91"/>
        <v>44.397373817443622</v>
      </c>
      <c r="BG70" s="20">
        <f t="shared" si="61"/>
        <v>383.5954472653807</v>
      </c>
      <c r="BH70" s="59">
        <f t="shared" si="62"/>
        <v>676.92878059871396</v>
      </c>
      <c r="BI70" s="59">
        <f ca="1">AVERAGE(OFFSET($BH$3,0,0,'Données projet'!$E$11+1,1))-AVERAGE(OFFSET($H$3,0,0,'Données projet'!$E$11+1,1))</f>
        <v>287.9055604128643</v>
      </c>
      <c r="BJ70" s="59">
        <f t="shared" si="92"/>
        <v>197.74605993031139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21.476169442642561</v>
      </c>
      <c r="BQ70" s="21">
        <f>EXP(-LN(2)/25)*BQ69+(1-EXP(-LN(2)/25))/(LN(2)/25)*Calculateur!BL70*Calculateur!BN70*VLOOKUP('Données projet'!$B$11,Paramètres!$A$1:$I$89,3,0)*0.475*44/12</f>
        <v>25.010436653742286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46.486606096384847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2.6923076923076907</v>
      </c>
      <c r="BY70" s="12">
        <f>IF('Données projet'!$A$114&gt;35,BY69+BX70-CG69,IF(A70&lt;'Données projet'!$A$114,$BV$205^A70,IF(A70='Données projet'!$A$114,'Données projet'!$B$114,BY69+BX70-CG69)))</f>
        <v>120.76923076923069</v>
      </c>
      <c r="BZ70" s="13">
        <f>BY70*VLOOKUP('Données projet'!$B$12,Paramètres!$A$1:$I$89,3,0)*VLOOKUP('Données projet'!$B$12,Paramètres!$A$1:$I$89,5,0)</f>
        <v>105.50399999999993</v>
      </c>
      <c r="CA70" s="13">
        <f t="shared" si="93"/>
        <v>28.269132889790804</v>
      </c>
      <c r="CB70" s="20">
        <f t="shared" si="64"/>
        <v>232.98820644971886</v>
      </c>
      <c r="CC70" s="59">
        <f t="shared" si="65"/>
        <v>526.32153978305223</v>
      </c>
      <c r="CD70" s="59">
        <f ca="1">AVERAGE(OFFSET($CC$3,0,0,'Données projet'!$E$12+1,1))-AVERAGE(OFFSET($H$3,0,0,'Données projet'!$E$12+1,1))</f>
        <v>201.78062426023638</v>
      </c>
      <c r="CE70" s="59">
        <f t="shared" si="94"/>
        <v>183.0364139873468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14.250614161219188</v>
      </c>
      <c r="CL70" s="21">
        <f>EXP(-LN(2)/25)*CL69+(1-EXP(-LN(2)/25))/(LN(2)/25)*Calculateur!CG70*Calculateur!CI70*VLOOKUP('Données projet'!$B$12,Paramètres!$A$1:$I$89,3,0)*0.475*44/12</f>
        <v>8.5810625270673864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22.831676688286574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2.2276799999999981</v>
      </c>
      <c r="D71" s="11">
        <f t="shared" si="86"/>
        <v>0.93522219279152863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1.2207692673932209</v>
      </c>
      <c r="H71" s="67">
        <f t="shared" si="56"/>
        <v>262.17538798577857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466.26600000000013</v>
      </c>
      <c r="O71" s="13">
        <f>N71*VLOOKUP('Données projet'!$B$9,Paramètres!$A$1:$I$89,3,0)*VLOOKUP('Données projet'!$B$9,Paramètres!$A$1:$I$89,5,0)</f>
        <v>278.82706800000011</v>
      </c>
      <c r="P71" s="13">
        <f t="shared" si="87"/>
        <v>66.719074104976841</v>
      </c>
      <c r="Q71" s="20">
        <f t="shared" si="54"/>
        <v>601.82619749950163</v>
      </c>
      <c r="R71" s="59">
        <f t="shared" si="55"/>
        <v>895.15953083283489</v>
      </c>
      <c r="S71" s="59">
        <f ca="1">AVERAGE(OFFSET($R$3,0,0,'Données projet'!$E$9+1,1))-AVERAGE(OFFSET($H$3,0,0,'Données projet'!$E$9+1,1))</f>
        <v>346.2919953121168</v>
      </c>
      <c r="T71" s="59">
        <f t="shared" si="88"/>
        <v>255.63939678041237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24.574645845390858</v>
      </c>
      <c r="AA71" s="21">
        <f>EXP(-LN(2)/25)*AA70+(1-EXP(-LN(2)/25))/(LN(2)/25)*Calculateur!V71*Calculateur!X71*VLOOKUP('Données projet'!$B$9,Paramètres!$A$1:$I$89,3,0)*0.475*44/12</f>
        <v>26.816748397231066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51.391394242621928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-6.7984728957526396E-14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298.32148815673816</v>
      </c>
      <c r="AO71" s="59">
        <f t="shared" si="90"/>
        <v>303.51754260758827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114.86454079844181</v>
      </c>
      <c r="AV71" s="21">
        <f>EXP(-LN(2)/25)*AV70+(1-EXP(-LN(2)/25))/(LN(2)/25)*Calculateur!AQ71*Calculateur!AS71*VLOOKUP('Données projet'!$B$10,Paramètres!$A$1:$I$89,3,0)*0.475*44/12</f>
        <v>60.834134108071467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175.69867490651328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7.6040000000000019</v>
      </c>
      <c r="BD71" s="12">
        <f>IF('Données projet'!$A$88&gt;35,BD70+BC71-BL70,IF(A71&lt;'Données projet'!$A$88,$BA$205^A71,IF(A71='Données projet'!$A$88,'Données projet'!$B$88,BD70+BC71-BL70)))</f>
        <v>315.0319999999997</v>
      </c>
      <c r="BE71" s="13">
        <f>BD71*VLOOKUP('Données projet'!$B$11,Paramètres!$A$1:$I$89,3,0)*VLOOKUP('Données projet'!$B$11,Paramètres!$A$1:$I$89,5,0)</f>
        <v>180.19830399999984</v>
      </c>
      <c r="BF71" s="13">
        <f t="shared" si="91"/>
        <v>45.366302325354525</v>
      </c>
      <c r="BG71" s="20">
        <f t="shared" si="61"/>
        <v>392.85835601665889</v>
      </c>
      <c r="BH71" s="59">
        <f t="shared" si="62"/>
        <v>686.1916893499922</v>
      </c>
      <c r="BI71" s="59">
        <f ca="1">AVERAGE(OFFSET($BH$3,0,0,'Données projet'!$E$11+1,1))-AVERAGE(OFFSET($H$3,0,0,'Données projet'!$E$11+1,1))</f>
        <v>287.9055604128643</v>
      </c>
      <c r="BJ71" s="59">
        <f t="shared" si="92"/>
        <v>197.74605993031139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21.055034859042266</v>
      </c>
      <c r="BQ71" s="21">
        <f>EXP(-LN(2)/25)*BQ70+(1-EXP(-LN(2)/25))/(LN(2)/25)*Calculateur!BL71*Calculateur!BN71*VLOOKUP('Données projet'!$B$11,Paramètres!$A$1:$I$89,3,0)*0.475*44/12</f>
        <v>24.326524948204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45.381559807246262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2.6923076923076907</v>
      </c>
      <c r="BY71" s="12">
        <f>IF('Données projet'!$A$114&gt;35,BY70+BX71-CG70,IF(A71&lt;'Données projet'!$A$114,$BV$205^A71,IF(A71='Données projet'!$A$114,'Données projet'!$B$114,BY70+BX71-CG70)))</f>
        <v>123.46153846153838</v>
      </c>
      <c r="BZ71" s="13">
        <f>BY71*VLOOKUP('Données projet'!$B$12,Paramètres!$A$1:$I$89,3,0)*VLOOKUP('Données projet'!$B$12,Paramètres!$A$1:$I$89,5,0)</f>
        <v>107.85599999999994</v>
      </c>
      <c r="CA71" s="13">
        <f t="shared" si="93"/>
        <v>28.825264230687974</v>
      </c>
      <c r="CB71" s="20">
        <f t="shared" si="64"/>
        <v>238.05320186844804</v>
      </c>
      <c r="CC71" s="59">
        <f t="shared" si="65"/>
        <v>531.38653520178138</v>
      </c>
      <c r="CD71" s="59">
        <f ca="1">AVERAGE(OFFSET($CC$3,0,0,'Données projet'!$E$12+1,1))-AVERAGE(OFFSET($H$3,0,0,'Données projet'!$E$12+1,1))</f>
        <v>201.78062426023638</v>
      </c>
      <c r="CE71" s="59">
        <f t="shared" si="94"/>
        <v>183.0364139873468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13.971168309534052</v>
      </c>
      <c r="CL71" s="21">
        <f>EXP(-LN(2)/25)*CL70+(1-EXP(-LN(2)/25))/(LN(2)/25)*Calculateur!CG71*Calculateur!CI71*VLOOKUP('Données projet'!$B$12,Paramètres!$A$1:$I$89,3,0)*0.475*44/12</f>
        <v>8.3464129210062623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22.317581230540313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2.2604399999999982</v>
      </c>
      <c r="D72" s="11">
        <f t="shared" si="86"/>
        <v>0.94736423545824033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1.2380998803523027</v>
      </c>
      <c r="H72" s="67">
        <f t="shared" si="56"/>
        <v>262.25359237675644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478.16300000000012</v>
      </c>
      <c r="O72" s="13">
        <f>N72*VLOOKUP('Données projet'!$B$9,Paramètres!$A$1:$I$89,3,0)*VLOOKUP('Données projet'!$B$9,Paramètres!$A$1:$I$89,5,0)</f>
        <v>285.94147400000008</v>
      </c>
      <c r="P72" s="13">
        <f t="shared" si="87"/>
        <v>68.221074600056156</v>
      </c>
      <c r="Q72" s="20">
        <f t="shared" si="54"/>
        <v>616.83310547843132</v>
      </c>
      <c r="R72" s="59">
        <f t="shared" si="55"/>
        <v>910.16643881176469</v>
      </c>
      <c r="S72" s="59">
        <f ca="1">AVERAGE(OFFSET($R$3,0,0,'Données projet'!$E$9+1,1))-AVERAGE(OFFSET($H$3,0,0,'Données projet'!$E$9+1,1))</f>
        <v>346.2919953121168</v>
      </c>
      <c r="T72" s="59">
        <f t="shared" si="88"/>
        <v>255.63939678041237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24.092752029416662</v>
      </c>
      <c r="AA72" s="21">
        <f>EXP(-LN(2)/25)*AA71+(1-EXP(-LN(2)/25))/(LN(2)/25)*Calculateur!V72*Calculateur!X72*VLOOKUP('Données projet'!$B$9,Paramètres!$A$1:$I$89,3,0)*0.475*44/12</f>
        <v>26.083443002077274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50.176195031493933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-6.7984728957526396E-14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298.32148815673816</v>
      </c>
      <c r="AO72" s="59">
        <f t="shared" si="90"/>
        <v>303.51754260758827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112.61211721383636</v>
      </c>
      <c r="AV72" s="21">
        <f>EXP(-LN(2)/25)*AV71+(1-EXP(-LN(2)/25))/(LN(2)/25)*Calculateur!AQ72*Calculateur!AS72*VLOOKUP('Données projet'!$B$10,Paramètres!$A$1:$I$89,3,0)*0.475*44/12</f>
        <v>59.170621511758178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171.78273872559453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7.6040000000000019</v>
      </c>
      <c r="BD72" s="12">
        <f>IF('Données projet'!$A$88&gt;35,BD71+BC72-BL71,IF(A72&lt;'Données projet'!$A$88,$BA$205^A72,IF(A72='Données projet'!$A$88,'Données projet'!$B$88,BD71+BC72-BL71)))</f>
        <v>322.63599999999968</v>
      </c>
      <c r="BE72" s="13">
        <f>BD72*VLOOKUP('Données projet'!$B$11,Paramètres!$A$1:$I$89,3,0)*VLOOKUP('Données projet'!$B$11,Paramètres!$A$1:$I$89,5,0)</f>
        <v>184.54779199999984</v>
      </c>
      <c r="BF72" s="13">
        <f t="shared" si="91"/>
        <v>46.332512098914904</v>
      </c>
      <c r="BG72" s="20">
        <f t="shared" si="61"/>
        <v>402.11652963894318</v>
      </c>
      <c r="BH72" s="59">
        <f t="shared" si="62"/>
        <v>695.44986297227649</v>
      </c>
      <c r="BI72" s="59">
        <f ca="1">AVERAGE(OFFSET($BH$3,0,0,'Données projet'!$E$11+1,1))-AVERAGE(OFFSET($H$3,0,0,'Données projet'!$E$11+1,1))</f>
        <v>287.9055604128643</v>
      </c>
      <c r="BJ72" s="59">
        <f t="shared" si="92"/>
        <v>197.74605993031139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20.642158467759639</v>
      </c>
      <c r="BQ72" s="21">
        <f>EXP(-LN(2)/25)*BQ71+(1-EXP(-LN(2)/25))/(LN(2)/25)*Calculateur!BL72*Calculateur!BN72*VLOOKUP('Données projet'!$B$11,Paramètres!$A$1:$I$89,3,0)*0.475*44/12</f>
        <v>23.661314844219014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44.303473311978649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2.6923076923076907</v>
      </c>
      <c r="BY72" s="12">
        <f>IF('Données projet'!$A$114&gt;35,BY71+BX72-CG71,IF(A72&lt;'Données projet'!$A$114,$BV$205^A72,IF(A72='Données projet'!$A$114,'Données projet'!$B$114,BY71+BX72-CG71)))</f>
        <v>126.15384615384608</v>
      </c>
      <c r="BZ72" s="13">
        <f>BY72*VLOOKUP('Données projet'!$B$12,Paramètres!$A$1:$I$89,3,0)*VLOOKUP('Données projet'!$B$12,Paramètres!$A$1:$I$89,5,0)</f>
        <v>110.20799999999994</v>
      </c>
      <c r="CA72" s="13">
        <f t="shared" si="93"/>
        <v>29.379985605489026</v>
      </c>
      <c r="CB72" s="20">
        <f t="shared" si="64"/>
        <v>243.1157415962266</v>
      </c>
      <c r="CC72" s="59">
        <f t="shared" si="65"/>
        <v>536.44907492955986</v>
      </c>
      <c r="CD72" s="59">
        <f ca="1">AVERAGE(OFFSET($CC$3,0,0,'Données projet'!$E$12+1,1))-AVERAGE(OFFSET($H$3,0,0,'Données projet'!$E$12+1,1))</f>
        <v>201.78062426023638</v>
      </c>
      <c r="CE72" s="59">
        <f t="shared" si="94"/>
        <v>183.0364139873468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13.697202220555322</v>
      </c>
      <c r="CL72" s="21">
        <f>EXP(-LN(2)/25)*CL71+(1-EXP(-LN(2)/25))/(LN(2)/25)*Calculateur!CG72*Calculateur!CI72*VLOOKUP('Données projet'!$B$12,Paramètres!$A$1:$I$89,3,0)*0.475*44/12</f>
        <v>8.1181798207625668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21.815382041317889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2.2931999999999984</v>
      </c>
      <c r="D73" s="11">
        <f t="shared" si="86"/>
        <v>0.95948581153666079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1.2554225939264301</v>
      </c>
      <c r="H73" s="67">
        <f t="shared" si="56"/>
        <v>262.33176112175971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490.06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490.06000000000012</v>
      </c>
      <c r="O73" s="13">
        <f>N73*VLOOKUP('Données projet'!$B$9,Paramètres!$A$1:$I$89,3,0)*VLOOKUP('Données projet'!$B$9,Paramètres!$A$1:$I$89,5,0)</f>
        <v>293.05588000000012</v>
      </c>
      <c r="P73" s="13">
        <f t="shared" si="87"/>
        <v>69.718730961493122</v>
      </c>
      <c r="Q73" s="20">
        <f t="shared" si="54"/>
        <v>631.83244742460067</v>
      </c>
      <c r="R73" s="59">
        <f t="shared" si="55"/>
        <v>925.16578075793404</v>
      </c>
      <c r="S73" s="59">
        <f ca="1">AVERAGE(OFFSET($R$3,0,0,'Données projet'!$E$9+1,1))-AVERAGE(OFFSET($H$3,0,0,'Données projet'!$E$9+1,1))</f>
        <v>346.2919953121168</v>
      </c>
      <c r="T73" s="59">
        <f t="shared" si="88"/>
        <v>255.63939678041237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0.315</v>
      </c>
      <c r="X73" s="16">
        <f>IF(ISNA(VLOOKUP(A73,'Données projet'!$A$35:$I$55,6,0)),0%,VLOOKUP(A73,'Données projet'!$A$35:$I$55,6,0)*VLOOKUP('Données projet'!$B$9,Paramètres!$A$1:$I$89,7,0))</f>
        <v>0.13500000000000001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40.582498023708915</v>
      </c>
      <c r="AA73" s="21">
        <f>EXP(-LN(2)/25)*AA72+(1-EXP(-LN(2)/25))/(LN(2)/25)*Calculateur!V73*Calculateur!X73*VLOOKUP('Données projet'!$B$9,Paramètres!$A$1:$I$89,3,0)*0.475*44/12</f>
        <v>32.611077121806055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73.19357514551497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-6.7984728957526396E-14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298.32148815673816</v>
      </c>
      <c r="AO73" s="59">
        <f t="shared" si="90"/>
        <v>303.51754260758827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110.40386228188228</v>
      </c>
      <c r="AV73" s="21">
        <f>EXP(-LN(2)/25)*AV72+(1-EXP(-LN(2)/25))/(LN(2)/25)*Calculateur!AQ73*Calculateur!AS73*VLOOKUP('Données projet'!$B$10,Paramètres!$A$1:$I$89,3,0)*0.475*44/12</f>
        <v>57.5525977548714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167.9564600367537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330.24</v>
      </c>
      <c r="BB73" s="12">
        <f>VLOOKUP(A73,'Données projet'!$A$87:$I$107,9,0)</f>
        <v>7.6040000000000019</v>
      </c>
      <c r="BC73" s="12">
        <f t="array" ref="BC73">INDEX(BB:BB,MIN(IF(ISNUMBER(BB73:BB269),ROW(BB73:BB269),"")))</f>
        <v>7.6040000000000019</v>
      </c>
      <c r="BD73" s="12">
        <f>IF('Données projet'!$A$88&gt;35,BD72+BC73-BL72,IF(A73&lt;'Données projet'!$A$88,$BA$205^A73,IF(A73='Données projet'!$A$88,'Données projet'!$B$88,BD72+BC73-BL72)))</f>
        <v>330.23999999999967</v>
      </c>
      <c r="BE73" s="13">
        <f>BD73*VLOOKUP('Données projet'!$B$11,Paramètres!$A$1:$I$89,3,0)*VLOOKUP('Données projet'!$B$11,Paramètres!$A$1:$I$89,5,0)</f>
        <v>188.89727999999982</v>
      </c>
      <c r="BF73" s="13">
        <f t="shared" si="91"/>
        <v>47.296074588020424</v>
      </c>
      <c r="BG73" s="20">
        <f t="shared" si="61"/>
        <v>411.37009257413524</v>
      </c>
      <c r="BH73" s="59">
        <f t="shared" si="62"/>
        <v>704.7034259074685</v>
      </c>
      <c r="BI73" s="59">
        <f ca="1">AVERAGE(OFFSET($BH$3,0,0,'Données projet'!$E$11+1,1))-AVERAGE(OFFSET($H$3,0,0,'Données projet'!$E$11+1,1))</f>
        <v>287.9055604128643</v>
      </c>
      <c r="BJ73" s="59">
        <f t="shared" si="92"/>
        <v>197.74605993031139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50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0.13500000000000001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32.188397509735154</v>
      </c>
      <c r="BQ73" s="21">
        <f>EXP(-LN(2)/25)*BQ72+(1-EXP(-LN(2)/25))/(LN(2)/25)*Calculateur!BL73*Calculateur!BN73*VLOOKUP('Données projet'!$B$11,Paramètres!$A$1:$I$89,3,0)*0.475*44/12</f>
        <v>28.115993572445763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60.304391082180913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128.84615384615384</v>
      </c>
      <c r="BW73" s="12">
        <f>VLOOKUP(A73,'Données projet'!$A$113:$I$133,9,0)</f>
        <v>2.6923076923076907</v>
      </c>
      <c r="BX73" s="12">
        <f t="array" ref="BX73">INDEX(BW:BW,MIN(IF(ISNUMBER(BW73:BW269),ROW(BW73:BW269),"")))</f>
        <v>2.6923076923076907</v>
      </c>
      <c r="BY73" s="12">
        <f>IF('Données projet'!$A$114&gt;35,BY72+BX73-CG72,IF(A73&lt;'Données projet'!$A$114,$BV$205^A73,IF(A73='Données projet'!$A$114,'Données projet'!$B$114,BY72+BX73-CG72)))</f>
        <v>128.84615384615375</v>
      </c>
      <c r="BZ73" s="13">
        <f>BY73*VLOOKUP('Données projet'!$B$12,Paramètres!$A$1:$I$89,3,0)*VLOOKUP('Données projet'!$B$12,Paramètres!$A$1:$I$89,5,0)</f>
        <v>112.55999999999993</v>
      </c>
      <c r="CA73" s="13">
        <f t="shared" si="93"/>
        <v>29.933330570949398</v>
      </c>
      <c r="CB73" s="20">
        <f t="shared" si="64"/>
        <v>248.17588407773675</v>
      </c>
      <c r="CC73" s="59">
        <f t="shared" si="65"/>
        <v>541.50921741107004</v>
      </c>
      <c r="CD73" s="59">
        <f ca="1">AVERAGE(OFFSET($CC$3,0,0,'Données projet'!$E$12+1,1))-AVERAGE(OFFSET($H$3,0,0,'Données projet'!$E$12+1,1))</f>
        <v>201.78062426023638</v>
      </c>
      <c r="CE73" s="59">
        <f t="shared" si="94"/>
        <v>183.0364139873468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8.9743589743589745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0.129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15.664665485567541</v>
      </c>
      <c r="CL73" s="21">
        <f>EXP(-LN(2)/25)*CL72+(1-EXP(-LN(2)/25))/(LN(2)/25)*Calculateur!CG73*Calculateur!CI73*VLOOKUP('Données projet'!$B$12,Paramètres!$A$1:$I$89,3,0)*0.475*44/12</f>
        <v>9.0098141853942444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24.674479670961787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2.3259599999999985</v>
      </c>
      <c r="D74" s="11">
        <f t="shared" si="86"/>
        <v>0.97158724719072775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1.2727375340034384</v>
      </c>
      <c r="H74" s="67">
        <f t="shared" si="56"/>
        <v>262.40989478885717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9.782</v>
      </c>
      <c r="N74" s="13">
        <f>IF('Données projet'!$A$36&gt;35,N73+M74-V73,IF(A74&lt;'Données projet'!$A$36,$K$205^A74,IF(A74='Données projet'!$A$36,'Données projet'!$B$36,N73+M74-V73)))</f>
        <v>431.9620000000001</v>
      </c>
      <c r="O74" s="13">
        <f>N74*VLOOKUP('Données projet'!$B$9,Paramètres!$A$1:$I$89,3,0)*VLOOKUP('Données projet'!$B$9,Paramètres!$A$1:$I$89,5,0)</f>
        <v>258.31327600000009</v>
      </c>
      <c r="P74" s="13">
        <f t="shared" si="87"/>
        <v>62.362700481716175</v>
      </c>
      <c r="Q74" s="20">
        <f t="shared" si="54"/>
        <v>558.51065903898916</v>
      </c>
      <c r="R74" s="59">
        <f t="shared" si="55"/>
        <v>851.84399237232242</v>
      </c>
      <c r="S74" s="59">
        <f ca="1">AVERAGE(OFFSET($R$3,0,0,'Données projet'!$E$9+1,1))-AVERAGE(OFFSET($H$3,0,0,'Données projet'!$E$9+1,1))</f>
        <v>346.2919953121168</v>
      </c>
      <c r="T74" s="59">
        <f t="shared" si="88"/>
        <v>255.63939678041237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39.786699990343635</v>
      </c>
      <c r="AA74" s="21">
        <f>EXP(-LN(2)/25)*AA73+(1-EXP(-LN(2)/25))/(LN(2)/25)*Calculateur!V74*Calculateur!X74*VLOOKUP('Données projet'!$B$9,Paramètres!$A$1:$I$89,3,0)*0.475*44/12</f>
        <v>31.719325502968257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71.506025493311896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-6.7984728957526396E-14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298.32148815673816</v>
      </c>
      <c r="AO74" s="59">
        <f t="shared" si="90"/>
        <v>303.51754260758827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108.23890988224132</v>
      </c>
      <c r="AV74" s="21">
        <f>EXP(-LN(2)/25)*AV73+(1-EXP(-LN(2)/25))/(LN(2)/25)*Calculateur!AQ74*Calculateur!AS74*VLOOKUP('Données projet'!$B$10,Paramètres!$A$1:$I$89,3,0)*0.475*44/12</f>
        <v>55.978818942704862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164.21772882494616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6.5490000000000013</v>
      </c>
      <c r="BD74" s="12">
        <f>IF('Données projet'!$A$88&gt;35,BD73+BC74-BL73,IF(A74&lt;'Données projet'!$A$88,$BA$205^A74,IF(A74='Données projet'!$A$88,'Données projet'!$B$88,BD73+BC74-BL73)))</f>
        <v>286.78899999999965</v>
      </c>
      <c r="BE74" s="13">
        <f>BD74*VLOOKUP('Données projet'!$B$11,Paramètres!$A$1:$I$89,3,0)*VLOOKUP('Données projet'!$B$11,Paramètres!$A$1:$I$89,5,0)</f>
        <v>164.0433079999998</v>
      </c>
      <c r="BF74" s="13">
        <f t="shared" si="91"/>
        <v>41.753165963203386</v>
      </c>
      <c r="BG74" s="20">
        <f t="shared" si="61"/>
        <v>358.42885881924553</v>
      </c>
      <c r="BH74" s="59">
        <f t="shared" si="62"/>
        <v>651.76219215257879</v>
      </c>
      <c r="BI74" s="59">
        <f ca="1">AVERAGE(OFFSET($BH$3,0,0,'Données projet'!$E$11+1,1))-AVERAGE(OFFSET($H$3,0,0,'Données projet'!$E$11+1,1))</f>
        <v>287.9055604128643</v>
      </c>
      <c r="BJ74" s="59">
        <f t="shared" si="92"/>
        <v>197.74605993031139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31.557202667553131</v>
      </c>
      <c r="BQ74" s="21">
        <f>EXP(-LN(2)/25)*BQ73+(1-EXP(-LN(2)/25))/(LN(2)/25)*Calculateur!BL74*Calculateur!BN74*VLOOKUP('Données projet'!$B$11,Paramètres!$A$1:$I$89,3,0)*0.475*44/12</f>
        <v>27.347160249651392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58.904362917204523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2.1794871794871766</v>
      </c>
      <c r="BY74" s="12">
        <f>IF('Données projet'!$A$114&gt;35,BY73+BX74-CG73,IF(A74&lt;'Données projet'!$A$114,$BV$205^A74,IF(A74='Données projet'!$A$114,'Données projet'!$B$114,BY73+BX74-CG73)))</f>
        <v>122.05128205128196</v>
      </c>
      <c r="BZ74" s="13">
        <f>BY74*VLOOKUP('Données projet'!$B$12,Paramètres!$A$1:$I$89,3,0)*VLOOKUP('Données projet'!$B$12,Paramètres!$A$1:$I$89,5,0)</f>
        <v>106.62399999999994</v>
      </c>
      <c r="CA74" s="13">
        <f t="shared" si="93"/>
        <v>28.534135371802059</v>
      </c>
      <c r="CB74" s="20">
        <f t="shared" si="64"/>
        <v>235.40041910588843</v>
      </c>
      <c r="CC74" s="59">
        <f t="shared" si="65"/>
        <v>528.73375243922169</v>
      </c>
      <c r="CD74" s="59">
        <f ca="1">AVERAGE(OFFSET($CC$3,0,0,'Données projet'!$E$12+1,1))-AVERAGE(OFFSET($H$3,0,0,'Données projet'!$E$12+1,1))</f>
        <v>201.78062426023638</v>
      </c>
      <c r="CE74" s="59">
        <f t="shared" si="94"/>
        <v>183.0364139873468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15.357490949898079</v>
      </c>
      <c r="CL74" s="21">
        <f>EXP(-LN(2)/25)*CL73+(1-EXP(-LN(2)/25))/(LN(2)/25)*Calculateur!CG74*Calculateur!CI74*VLOOKUP('Données projet'!$B$12,Paramètres!$A$1:$I$89,3,0)*0.475*44/12</f>
        <v>8.763440342689103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24.12093129258718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2.3587199999999986</v>
      </c>
      <c r="D75" s="11">
        <f t="shared" si="86"/>
        <v>0.98366885886894473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1.2900448227213466</v>
      </c>
      <c r="H75" s="67">
        <f t="shared" si="56"/>
        <v>262.48799392919676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9.782</v>
      </c>
      <c r="N75" s="13">
        <f>IF('Données projet'!$A$36&gt;35,N74+M75-V74,IF(A75&lt;'Données projet'!$A$36,$K$205^A75,IF(A75='Données projet'!$A$36,'Données projet'!$B$36,N74+M75-V74)))</f>
        <v>441.74400000000009</v>
      </c>
      <c r="O75" s="13">
        <f>N75*VLOOKUP('Données projet'!$B$9,Paramètres!$A$1:$I$89,3,0)*VLOOKUP('Données projet'!$B$9,Paramètres!$A$1:$I$89,5,0)</f>
        <v>264.16291200000006</v>
      </c>
      <c r="P75" s="13">
        <f t="shared" si="87"/>
        <v>63.608920560680907</v>
      </c>
      <c r="Q75" s="20">
        <f t="shared" si="54"/>
        <v>570.86927504318601</v>
      </c>
      <c r="R75" s="59">
        <f t="shared" si="55"/>
        <v>864.20260837651927</v>
      </c>
      <c r="S75" s="59">
        <f ca="1">AVERAGE(OFFSET($R$3,0,0,'Données projet'!$E$9+1,1))-AVERAGE(OFFSET($H$3,0,0,'Données projet'!$E$9+1,1))</f>
        <v>346.2919953121168</v>
      </c>
      <c r="T75" s="59">
        <f t="shared" si="88"/>
        <v>255.63939678041237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39.006507071023776</v>
      </c>
      <c r="AA75" s="21">
        <f>EXP(-LN(2)/25)*AA74+(1-EXP(-LN(2)/25))/(LN(2)/25)*Calculateur!V75*Calculateur!X75*VLOOKUP('Données projet'!$B$9,Paramètres!$A$1:$I$89,3,0)*0.475*44/12</f>
        <v>30.851958879042758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69.858465950066531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-6.7984728957526396E-14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298.32148815673816</v>
      </c>
      <c r="AO75" s="59">
        <f t="shared" si="90"/>
        <v>303.51754260758827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106.11641087866674</v>
      </c>
      <c r="AV75" s="21">
        <f>EXP(-LN(2)/25)*AV74+(1-EXP(-LN(2)/25))/(LN(2)/25)*Calculateur!AQ75*Calculateur!AS75*VLOOKUP('Données projet'!$B$10,Paramètres!$A$1:$I$89,3,0)*0.475*44/12</f>
        <v>54.448075194918452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160.56448607358519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6.5490000000000013</v>
      </c>
      <c r="BD75" s="12">
        <f>IF('Données projet'!$A$88&gt;35,BD74+BC75-BL74,IF(A75&lt;'Données projet'!$A$88,$BA$205^A75,IF(A75='Données projet'!$A$88,'Données projet'!$B$88,BD74+BC75-BL74)))</f>
        <v>293.33799999999962</v>
      </c>
      <c r="BE75" s="13">
        <f>BD75*VLOOKUP('Données projet'!$B$11,Paramètres!$A$1:$I$89,3,0)*VLOOKUP('Données projet'!$B$11,Paramètres!$A$1:$I$89,5,0)</f>
        <v>167.78933599999979</v>
      </c>
      <c r="BF75" s="13">
        <f t="shared" si="91"/>
        <v>42.59453184586949</v>
      </c>
      <c r="BG75" s="20">
        <f t="shared" si="61"/>
        <v>366.41856983155566</v>
      </c>
      <c r="BH75" s="59">
        <f t="shared" si="62"/>
        <v>659.75190316488897</v>
      </c>
      <c r="BI75" s="59">
        <f ca="1">AVERAGE(OFFSET($BH$3,0,0,'Données projet'!$E$11+1,1))-AVERAGE(OFFSET($H$3,0,0,'Données projet'!$E$11+1,1))</f>
        <v>287.9055604128643</v>
      </c>
      <c r="BJ75" s="59">
        <f t="shared" si="92"/>
        <v>197.74605993031139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30.93838517123546</v>
      </c>
      <c r="BQ75" s="21">
        <f>EXP(-LN(2)/25)*BQ74+(1-EXP(-LN(2)/25))/(LN(2)/25)*Calculateur!BL75*Calculateur!BN75*VLOOKUP('Données projet'!$B$11,Paramètres!$A$1:$I$89,3,0)*0.475*44/12</f>
        <v>26.599350714500019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57.537735885735479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2.1794871794871766</v>
      </c>
      <c r="BY75" s="12">
        <f>IF('Données projet'!$A$114&gt;35,BY74+BX75-CG74,IF(A75&lt;'Données projet'!$A$114,$BV$205^A75,IF(A75='Données projet'!$A$114,'Données projet'!$B$114,BY74+BX75-CG74)))</f>
        <v>124.23076923076914</v>
      </c>
      <c r="BZ75" s="13">
        <f>BY75*VLOOKUP('Données projet'!$B$12,Paramètres!$A$1:$I$89,3,0)*VLOOKUP('Données projet'!$B$12,Paramètres!$A$1:$I$89,5,0)</f>
        <v>108.52799999999993</v>
      </c>
      <c r="CA75" s="13">
        <f t="shared" si="93"/>
        <v>28.983898429855078</v>
      </c>
      <c r="CB75" s="20">
        <f t="shared" si="64"/>
        <v>239.49988976533083</v>
      </c>
      <c r="CC75" s="59">
        <f t="shared" si="65"/>
        <v>532.83322309866412</v>
      </c>
      <c r="CD75" s="59">
        <f ca="1">AVERAGE(OFFSET($CC$3,0,0,'Données projet'!$E$12+1,1))-AVERAGE(OFFSET($H$3,0,0,'Données projet'!$E$12+1,1))</f>
        <v>201.78062426023638</v>
      </c>
      <c r="CE75" s="59">
        <f t="shared" si="94"/>
        <v>183.0364139873468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15.056339919515128</v>
      </c>
      <c r="CL75" s="21">
        <f>EXP(-LN(2)/25)*CL74+(1-EXP(-LN(2)/25))/(LN(2)/25)*Calculateur!CG75*Calculateur!CI75*VLOOKUP('Données projet'!$B$12,Paramètres!$A$1:$I$89,3,0)*0.475*44/12</f>
        <v>8.5238036056689701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23.580143525184099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2.3914799999999987</v>
      </c>
      <c r="D76" s="11">
        <f t="shared" si="86"/>
        <v>0.99573095372461151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1.3073445786305513</v>
      </c>
      <c r="H76" s="67">
        <f t="shared" si="56"/>
        <v>262.56605907773707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9.782</v>
      </c>
      <c r="N76" s="13">
        <f>IF('Données projet'!$A$36&gt;35,N75+M76-V75,IF(A76&lt;'Données projet'!$A$36,$K$205^A76,IF(A76='Données projet'!$A$36,'Données projet'!$B$36,N75+M76-V75)))</f>
        <v>451.52600000000007</v>
      </c>
      <c r="O76" s="13">
        <f>N76*VLOOKUP('Données projet'!$B$9,Paramètres!$A$1:$I$89,3,0)*VLOOKUP('Données projet'!$B$9,Paramètres!$A$1:$I$89,5,0)</f>
        <v>270.01254800000004</v>
      </c>
      <c r="P76" s="13">
        <f t="shared" si="87"/>
        <v>64.851932282926271</v>
      </c>
      <c r="Q76" s="20">
        <f t="shared" si="54"/>
        <v>583.22230315943</v>
      </c>
      <c r="R76" s="59">
        <f t="shared" si="55"/>
        <v>876.55563649276337</v>
      </c>
      <c r="S76" s="59">
        <f ca="1">AVERAGE(OFFSET($R$3,0,0,'Données projet'!$E$9+1,1))-AVERAGE(OFFSET($H$3,0,0,'Données projet'!$E$9+1,1))</f>
        <v>346.2919953121168</v>
      </c>
      <c r="T76" s="59">
        <f t="shared" si="88"/>
        <v>255.63939678041237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38.241613258981083</v>
      </c>
      <c r="AA76" s="21">
        <f>EXP(-LN(2)/25)*AA75+(1-EXP(-LN(2)/25))/(LN(2)/25)*Calculateur!V76*Calculateur!X76*VLOOKUP('Données projet'!$B$9,Paramètres!$A$1:$I$89,3,0)*0.475*44/12</f>
        <v>30.008310441061329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68.249923700042416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-6.7984728957526396E-14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298.32148815673816</v>
      </c>
      <c r="AO76" s="59">
        <f t="shared" si="90"/>
        <v>303.51754260758827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104.0355327859557</v>
      </c>
      <c r="AV76" s="21">
        <f>EXP(-LN(2)/25)*AV75+(1-EXP(-LN(2)/25))/(LN(2)/25)*Calculateur!AQ76*Calculateur!AS76*VLOOKUP('Données projet'!$B$10,Paramètres!$A$1:$I$89,3,0)*0.475*44/12</f>
        <v>52.959189715413572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156.99472250136927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6.5490000000000013</v>
      </c>
      <c r="BD76" s="12">
        <f>IF('Données projet'!$A$88&gt;35,BD75+BC76-BL75,IF(A76&lt;'Données projet'!$A$88,$BA$205^A76,IF(A76='Données projet'!$A$88,'Données projet'!$B$88,BD75+BC76-BL75)))</f>
        <v>299.8869999999996</v>
      </c>
      <c r="BE76" s="13">
        <f>BD76*VLOOKUP('Données projet'!$B$11,Paramètres!$A$1:$I$89,3,0)*VLOOKUP('Données projet'!$B$11,Paramètres!$A$1:$I$89,5,0)</f>
        <v>171.53536399999979</v>
      </c>
      <c r="BF76" s="13">
        <f t="shared" si="91"/>
        <v>43.433713900216532</v>
      </c>
      <c r="BG76" s="20">
        <f t="shared" si="61"/>
        <v>374.40447734287676</v>
      </c>
      <c r="BH76" s="59">
        <f t="shared" si="62"/>
        <v>667.73781067621007</v>
      </c>
      <c r="BI76" s="59">
        <f ca="1">AVERAGE(OFFSET($BH$3,0,0,'Données projet'!$E$11+1,1))-AVERAGE(OFFSET($H$3,0,0,'Données projet'!$E$11+1,1))</f>
        <v>287.9055604128643</v>
      </c>
      <c r="BJ76" s="59">
        <f t="shared" si="92"/>
        <v>197.74605993031139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30.331702308579175</v>
      </c>
      <c r="BQ76" s="21">
        <f>EXP(-LN(2)/25)*BQ75+(1-EXP(-LN(2)/25))/(LN(2)/25)*Calculateur!BL76*Calculateur!BN76*VLOOKUP('Données projet'!$B$11,Paramètres!$A$1:$I$89,3,0)*0.475*44/12</f>
        <v>25.871990070412956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56.20369237899213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2.1794871794871766</v>
      </c>
      <c r="BY76" s="12">
        <f>IF('Données projet'!$A$114&gt;35,BY75+BX76-CG75,IF(A76&lt;'Données projet'!$A$114,$BV$205^A76,IF(A76='Données projet'!$A$114,'Données projet'!$B$114,BY75+BX76-CG75)))</f>
        <v>126.41025641025632</v>
      </c>
      <c r="BZ76" s="13">
        <f>BY76*VLOOKUP('Données projet'!$B$12,Paramètres!$A$1:$I$89,3,0)*VLOOKUP('Données projet'!$B$12,Paramètres!$A$1:$I$89,5,0)</f>
        <v>110.43199999999995</v>
      </c>
      <c r="CA76" s="13">
        <f t="shared" si="93"/>
        <v>29.432743911799658</v>
      </c>
      <c r="CB76" s="20">
        <f t="shared" si="64"/>
        <v>243.59776231305094</v>
      </c>
      <c r="CC76" s="59">
        <f t="shared" si="65"/>
        <v>536.93109564638428</v>
      </c>
      <c r="CD76" s="59">
        <f ca="1">AVERAGE(OFFSET($CC$3,0,0,'Données projet'!$E$12+1,1))-AVERAGE(OFFSET($H$3,0,0,'Données projet'!$E$12+1,1))</f>
        <v>201.78062426023638</v>
      </c>
      <c r="CE76" s="59">
        <f t="shared" si="94"/>
        <v>183.0364139873468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14.761094277153996</v>
      </c>
      <c r="CL76" s="21">
        <f>EXP(-LN(2)/25)*CL75+(1-EXP(-LN(2)/25))/(LN(2)/25)*Calculateur!CG76*Calculateur!CI76*VLOOKUP('Données projet'!$B$12,Paramètres!$A$1:$I$89,3,0)*0.475*44/12</f>
        <v>8.2907197478246015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23.051814024978597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2.4242399999999988</v>
      </c>
      <c r="D77" s="11">
        <f t="shared" si="86"/>
        <v>1.0077738300123724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1.3246369168468803</v>
      </c>
      <c r="H77" s="67">
        <f t="shared" si="56"/>
        <v>262.64409075393826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9.782</v>
      </c>
      <c r="N77" s="13">
        <f>IF('Données projet'!$A$36&gt;35,N76+M77-V76,IF(A77&lt;'Données projet'!$A$36,$K$205^A77,IF(A77='Données projet'!$A$36,'Données projet'!$B$36,N76+M77-V76)))</f>
        <v>461.30800000000005</v>
      </c>
      <c r="O77" s="13">
        <f>N77*VLOOKUP('Données projet'!$B$9,Paramètres!$A$1:$I$89,3,0)*VLOOKUP('Données projet'!$B$9,Paramètres!$A$1:$I$89,5,0)</f>
        <v>275.86218400000007</v>
      </c>
      <c r="P77" s="13">
        <f t="shared" si="87"/>
        <v>66.091813160377626</v>
      </c>
      <c r="Q77" s="20">
        <f t="shared" si="54"/>
        <v>595.5698783876577</v>
      </c>
      <c r="R77" s="59">
        <f t="shared" si="55"/>
        <v>888.90321172099107</v>
      </c>
      <c r="S77" s="59">
        <f ca="1">AVERAGE(OFFSET($R$3,0,0,'Données projet'!$E$9+1,1))-AVERAGE(OFFSET($H$3,0,0,'Données projet'!$E$9+1,1))</f>
        <v>346.2919953121168</v>
      </c>
      <c r="T77" s="59">
        <f t="shared" si="88"/>
        <v>255.63939678041237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37.491718548053392</v>
      </c>
      <c r="AA77" s="21">
        <f>EXP(-LN(2)/25)*AA76+(1-EXP(-LN(2)/25))/(LN(2)/25)*Calculateur!V77*Calculateur!X77*VLOOKUP('Données projet'!$B$9,Paramètres!$A$1:$I$89,3,0)*0.475*44/12</f>
        <v>29.187731613982045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66.679450162035437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-6.7984728957526396E-14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298.32148815673816</v>
      </c>
      <c r="AO77" s="59">
        <f t="shared" si="90"/>
        <v>303.51754260758827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101.9954594434324</v>
      </c>
      <c r="AV77" s="21">
        <f>EXP(-LN(2)/25)*AV76+(1-EXP(-LN(2)/25))/(LN(2)/25)*Calculateur!AQ77*Calculateur!AS77*VLOOKUP('Données projet'!$B$10,Paramètres!$A$1:$I$89,3,0)*0.475*44/12</f>
        <v>51.511017887642844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153.50647733107525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6.5490000000000013</v>
      </c>
      <c r="BD77" s="12">
        <f>IF('Données projet'!$A$88&gt;35,BD76+BC77-BL76,IF(A77&lt;'Données projet'!$A$88,$BA$205^A77,IF(A77='Données projet'!$A$88,'Données projet'!$B$88,BD76+BC77-BL76)))</f>
        <v>306.43599999999958</v>
      </c>
      <c r="BE77" s="13">
        <f>BD77*VLOOKUP('Données projet'!$B$11,Paramètres!$A$1:$I$89,3,0)*VLOOKUP('Données projet'!$B$11,Paramètres!$A$1:$I$89,5,0)</f>
        <v>175.28139199999978</v>
      </c>
      <c r="BF77" s="13">
        <f t="shared" si="91"/>
        <v>44.270765309331445</v>
      </c>
      <c r="BG77" s="20">
        <f t="shared" si="61"/>
        <v>382.38667398041849</v>
      </c>
      <c r="BH77" s="59">
        <f t="shared" si="62"/>
        <v>675.72000731375181</v>
      </c>
      <c r="BI77" s="59">
        <f ca="1">AVERAGE(OFFSET($BH$3,0,0,'Données projet'!$E$11+1,1))-AVERAGE(OFFSET($H$3,0,0,'Données projet'!$E$11+1,1))</f>
        <v>287.9055604128643</v>
      </c>
      <c r="BJ77" s="59">
        <f t="shared" si="92"/>
        <v>197.74605993031139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29.736916126819573</v>
      </c>
      <c r="BQ77" s="21">
        <f>EXP(-LN(2)/25)*BQ76+(1-EXP(-LN(2)/25))/(LN(2)/25)*Calculateur!BL77*Calculateur!BN77*VLOOKUP('Données projet'!$B$11,Paramètres!$A$1:$I$89,3,0)*0.475*44/12</f>
        <v>25.164519141388688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54.90143526820826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2.1794871794871766</v>
      </c>
      <c r="BY77" s="12">
        <f>IF('Données projet'!$A$114&gt;35,BY76+BX77-CG76,IF(A77&lt;'Données projet'!$A$114,$BV$205^A77,IF(A77='Données projet'!$A$114,'Données projet'!$B$114,BY76+BX77-CG76)))</f>
        <v>128.58974358974351</v>
      </c>
      <c r="BZ77" s="13">
        <f>BY77*VLOOKUP('Données projet'!$B$12,Paramètres!$A$1:$I$89,3,0)*VLOOKUP('Données projet'!$B$12,Paramètres!$A$1:$I$89,5,0)</f>
        <v>112.33599999999994</v>
      </c>
      <c r="CA77" s="13">
        <f t="shared" si="93"/>
        <v>29.880689463445172</v>
      </c>
      <c r="CB77" s="20">
        <f t="shared" si="64"/>
        <v>247.69406748216684</v>
      </c>
      <c r="CC77" s="59">
        <f t="shared" si="65"/>
        <v>541.02740081550019</v>
      </c>
      <c r="CD77" s="59">
        <f ca="1">AVERAGE(OFFSET($CC$3,0,0,'Données projet'!$E$12+1,1))-AVERAGE(OFFSET($H$3,0,0,'Données projet'!$E$12+1,1))</f>
        <v>201.78062426023638</v>
      </c>
      <c r="CE77" s="59">
        <f t="shared" si="94"/>
        <v>183.0364139873468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14.471638221757505</v>
      </c>
      <c r="CL77" s="21">
        <f>EXP(-LN(2)/25)*CL76+(1-EXP(-LN(2)/25))/(LN(2)/25)*Calculateur!CG77*Calculateur!CI77*VLOOKUP('Données projet'!$B$12,Paramètres!$A$1:$I$89,3,0)*0.475*44/12</f>
        <v>8.0640095803303353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22.535647802087841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2.456999999999999</v>
      </c>
      <c r="D78" s="11">
        <f t="shared" si="86"/>
        <v>1.019797777462722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1.3419219491961381</v>
      </c>
      <c r="H78" s="67">
        <f t="shared" si="56"/>
        <v>262.72208946241426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9.782</v>
      </c>
      <c r="N78" s="13">
        <f>IF('Données projet'!$A$36&gt;35,N77+M78-V77,IF(A78&lt;'Données projet'!$A$36,$K$205^A78,IF(A78='Données projet'!$A$36,'Données projet'!$B$36,N77+M78-V77)))</f>
        <v>471.09000000000003</v>
      </c>
      <c r="O78" s="13">
        <f>N78*VLOOKUP('Données projet'!$B$9,Paramètres!$A$1:$I$89,3,0)*VLOOKUP('Données projet'!$B$9,Paramètres!$A$1:$I$89,5,0)</f>
        <v>281.71182000000005</v>
      </c>
      <c r="P78" s="13">
        <f t="shared" si="87"/>
        <v>67.328637229880215</v>
      </c>
      <c r="Q78" s="20">
        <f t="shared" si="54"/>
        <v>607.91212967537479</v>
      </c>
      <c r="R78" s="59">
        <f t="shared" si="55"/>
        <v>901.24546300870816</v>
      </c>
      <c r="S78" s="59">
        <f ca="1">AVERAGE(OFFSET($R$3,0,0,'Données projet'!$E$9+1,1))-AVERAGE(OFFSET($H$3,0,0,'Données projet'!$E$9+1,1))</f>
        <v>346.2919953121168</v>
      </c>
      <c r="T78" s="59">
        <f t="shared" si="88"/>
        <v>255.63939678041237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36.756528815016381</v>
      </c>
      <c r="AA78" s="21">
        <f>EXP(-LN(2)/25)*AA77+(1-EXP(-LN(2)/25))/(LN(2)/25)*Calculateur!V78*Calculateur!X78*VLOOKUP('Données projet'!$B$9,Paramètres!$A$1:$I$89,3,0)*0.475*44/12</f>
        <v>28.389591558081609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65.146120373097986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-6.7984728957526396E-14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298.32148815673816</v>
      </c>
      <c r="AO78" s="59">
        <f t="shared" si="90"/>
        <v>303.51754260758827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99.995390694834114</v>
      </c>
      <c r="AV78" s="21">
        <f>EXP(-LN(2)/25)*AV77+(1-EXP(-LN(2)/25))/(LN(2)/25)*Calculateur!AQ78*Calculateur!AS78*VLOOKUP('Données projet'!$B$10,Paramètres!$A$1:$I$89,3,0)*0.475*44/12</f>
        <v>50.10244639465855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150.09783708949266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6.5490000000000013</v>
      </c>
      <c r="BD78" s="12">
        <f>IF('Données projet'!$A$88&gt;35,BD77+BC78-BL77,IF(A78&lt;'Données projet'!$A$88,$BA$205^A78,IF(A78='Données projet'!$A$88,'Données projet'!$B$88,BD77+BC78-BL77)))</f>
        <v>312.98499999999956</v>
      </c>
      <c r="BE78" s="13">
        <f>BD78*VLOOKUP('Données projet'!$B$11,Paramètres!$A$1:$I$89,3,0)*VLOOKUP('Données projet'!$B$11,Paramètres!$A$1:$I$89,5,0)</f>
        <v>179.02741999999975</v>
      </c>
      <c r="BF78" s="13">
        <f t="shared" si="91"/>
        <v>45.105736853235101</v>
      </c>
      <c r="BG78" s="20">
        <f t="shared" si="61"/>
        <v>390.36524818605068</v>
      </c>
      <c r="BH78" s="59">
        <f t="shared" si="62"/>
        <v>683.69858151938399</v>
      </c>
      <c r="BI78" s="59">
        <f ca="1">AVERAGE(OFFSET($BH$3,0,0,'Données projet'!$E$11+1,1))-AVERAGE(OFFSET($H$3,0,0,'Données projet'!$E$11+1,1))</f>
        <v>287.9055604128643</v>
      </c>
      <c r="BJ78" s="59">
        <f t="shared" si="92"/>
        <v>197.74605993031139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29.153793339300528</v>
      </c>
      <c r="BQ78" s="21">
        <f>EXP(-LN(2)/25)*BQ77+(1-EXP(-LN(2)/25))/(LN(2)/25)*Calculateur!BL78*Calculateur!BN78*VLOOKUP('Données projet'!$B$11,Paramètres!$A$1:$I$89,3,0)*0.475*44/12</f>
        <v>24.476394042122866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53.630187381423397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130.76923076923075</v>
      </c>
      <c r="BW78" s="12">
        <f>VLOOKUP(A78,'Données projet'!$A$113:$I$133,9,0)</f>
        <v>2.1794871794871766</v>
      </c>
      <c r="BX78" s="12">
        <f t="array" ref="BX78">INDEX(BW:BW,MIN(IF(ISNUMBER(BW78:BW274),ROW(BW78:BW274),"")))</f>
        <v>2.1794871794871766</v>
      </c>
      <c r="BY78" s="12">
        <f>IF('Données projet'!$A$114&gt;35,BY77+BX78-CG77,IF(A78&lt;'Données projet'!$A$114,$BV$205^A78,IF(A78='Données projet'!$A$114,'Données projet'!$B$114,BY77+BX78-CG77)))</f>
        <v>130.76923076923069</v>
      </c>
      <c r="BZ78" s="13">
        <f>BY78*VLOOKUP('Données projet'!$B$12,Paramètres!$A$1:$I$89,3,0)*VLOOKUP('Données projet'!$B$12,Paramètres!$A$1:$I$89,5,0)</f>
        <v>114.23999999999995</v>
      </c>
      <c r="CA78" s="13">
        <f t="shared" si="93"/>
        <v>30.327752098158388</v>
      </c>
      <c r="CB78" s="20">
        <f t="shared" si="64"/>
        <v>251.78883490429243</v>
      </c>
      <c r="CC78" s="59">
        <f t="shared" si="65"/>
        <v>545.12216823762571</v>
      </c>
      <c r="CD78" s="59">
        <f ca="1">AVERAGE(OFFSET($CC$3,0,0,'Données projet'!$E$12+1,1))-AVERAGE(OFFSET($H$3,0,0,'Données projet'!$E$12+1,1))</f>
        <v>201.78062426023638</v>
      </c>
      <c r="CE78" s="59">
        <f t="shared" si="94"/>
        <v>183.0364139873468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7.6923076923076916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0.129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16.104478548275626</v>
      </c>
      <c r="CL78" s="21">
        <f>EXP(-LN(2)/25)*CL77+(1-EXP(-LN(2)/25))/(LN(2)/25)*Calculateur!CG78*Calculateur!CI78*VLOOKUP('Données projet'!$B$12,Paramètres!$A$1:$I$89,3,0)*0.475*44/12</f>
        <v>8.7980357446429007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24.902514292918525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2.4897599999999991</v>
      </c>
      <c r="D79" s="11">
        <f t="shared" si="86"/>
        <v>1.0318030776359652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1.3591997843507233</v>
      </c>
      <c r="H79" s="67">
        <f t="shared" si="56"/>
        <v>262.80005569354933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9.782</v>
      </c>
      <c r="N79" s="13">
        <f>IF('Données projet'!$A$36&gt;35,N78+M79-V78,IF(A79&lt;'Données projet'!$A$36,$K$205^A79,IF(A79='Données projet'!$A$36,'Données projet'!$B$36,N78+M79-V78)))</f>
        <v>480.87200000000001</v>
      </c>
      <c r="O79" s="13">
        <f>N79*VLOOKUP('Données projet'!$B$9,Paramètres!$A$1:$I$89,3,0)*VLOOKUP('Données projet'!$B$9,Paramètres!$A$1:$I$89,5,0)</f>
        <v>287.56145600000002</v>
      </c>
      <c r="P79" s="13">
        <f t="shared" si="87"/>
        <v>68.562475277867222</v>
      </c>
      <c r="Q79" s="20">
        <f t="shared" si="54"/>
        <v>620.24918030895208</v>
      </c>
      <c r="R79" s="59">
        <f t="shared" si="55"/>
        <v>913.58251364228545</v>
      </c>
      <c r="S79" s="59">
        <f ca="1">AVERAGE(OFFSET($R$3,0,0,'Données projet'!$E$9+1,1))-AVERAGE(OFFSET($H$3,0,0,'Données projet'!$E$9+1,1))</f>
        <v>346.2919953121168</v>
      </c>
      <c r="T79" s="59">
        <f t="shared" si="88"/>
        <v>255.63939678041237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36.035755704222765</v>
      </c>
      <c r="AA79" s="21">
        <f>EXP(-LN(2)/25)*AA78+(1-EXP(-LN(2)/25))/(LN(2)/25)*Calculateur!V79*Calculateur!X79*VLOOKUP('Données projet'!$B$9,Paramètres!$A$1:$I$89,3,0)*0.475*44/12</f>
        <v>27.613276683982132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63.649032388204901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-6.7984728957526396E-14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298.32148815673816</v>
      </c>
      <c r="AO79" s="59">
        <f t="shared" si="90"/>
        <v>303.51754260758827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98.034542074474359</v>
      </c>
      <c r="AV79" s="21">
        <f>EXP(-LN(2)/25)*AV78+(1-EXP(-LN(2)/25))/(LN(2)/25)*Calculateur!AQ79*Calculateur!AS79*VLOOKUP('Données projet'!$B$10,Paramètres!$A$1:$I$89,3,0)*0.475*44/12</f>
        <v>48.732392363223468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146.76693443769784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6.5490000000000013</v>
      </c>
      <c r="BD79" s="12">
        <f>IF('Données projet'!$A$88&gt;35,BD78+BC79-BL78,IF(A79&lt;'Données projet'!$A$88,$BA$205^A79,IF(A79='Données projet'!$A$88,'Données projet'!$B$88,BD78+BC79-BL78)))</f>
        <v>319.53399999999954</v>
      </c>
      <c r="BE79" s="13">
        <f>BD79*VLOOKUP('Données projet'!$B$11,Paramètres!$A$1:$I$89,3,0)*VLOOKUP('Données projet'!$B$11,Paramètres!$A$1:$I$89,5,0)</f>
        <v>182.77344799999972</v>
      </c>
      <c r="BF79" s="13">
        <f t="shared" si="91"/>
        <v>45.938677065437702</v>
      </c>
      <c r="BG79" s="20">
        <f t="shared" si="61"/>
        <v>398.34028448897016</v>
      </c>
      <c r="BH79" s="59">
        <f t="shared" si="62"/>
        <v>691.67361782230341</v>
      </c>
      <c r="BI79" s="59">
        <f ca="1">AVERAGE(OFFSET($BH$3,0,0,'Données projet'!$E$11+1,1))-AVERAGE(OFFSET($H$3,0,0,'Données projet'!$E$11+1,1))</f>
        <v>287.9055604128643</v>
      </c>
      <c r="BJ79" s="59">
        <f t="shared" si="92"/>
        <v>197.74605993031139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28.58210523397495</v>
      </c>
      <c r="BQ79" s="21">
        <f>EXP(-LN(2)/25)*BQ78+(1-EXP(-LN(2)/25))/(LN(2)/25)*Calculateur!BL79*Calculateur!BN79*VLOOKUP('Données projet'!$B$11,Paramètres!$A$1:$I$89,3,0)*0.475*44/12</f>
        <v>23.807085759883396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52.38919099385835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2.0512820512820582</v>
      </c>
      <c r="BY79" s="12">
        <f>IF('Données projet'!$A$114&gt;35,BY78+BX79-CG78,IF(A79&lt;'Données projet'!$A$114,$BV$205^A79,IF(A79='Données projet'!$A$114,'Données projet'!$B$114,BY78+BX79-CG78)))</f>
        <v>125.12820512820507</v>
      </c>
      <c r="BZ79" s="13">
        <f>BY79*VLOOKUP('Données projet'!$B$12,Paramètres!$A$1:$I$89,3,0)*VLOOKUP('Données projet'!$B$12,Paramètres!$A$1:$I$89,5,0)</f>
        <v>109.31199999999997</v>
      </c>
      <c r="CA79" s="13">
        <f t="shared" si="93"/>
        <v>29.168827262472519</v>
      </c>
      <c r="CB79" s="20">
        <f t="shared" si="64"/>
        <v>241.18744081547288</v>
      </c>
      <c r="CC79" s="59">
        <f t="shared" si="65"/>
        <v>534.52077414880614</v>
      </c>
      <c r="CD79" s="59">
        <f ca="1">AVERAGE(OFFSET($CC$3,0,0,'Données projet'!$E$12+1,1))-AVERAGE(OFFSET($H$3,0,0,'Données projet'!$E$12+1,1))</f>
        <v>201.78062426023638</v>
      </c>
      <c r="CE79" s="59">
        <f t="shared" si="94"/>
        <v>183.0364139873468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15.788679546705938</v>
      </c>
      <c r="CL79" s="21">
        <f>EXP(-LN(2)/25)*CL78+(1-EXP(-LN(2)/25))/(LN(2)/25)*Calculateur!CG79*Calculateur!CI79*VLOOKUP('Données projet'!$B$12,Paramètres!$A$1:$I$89,3,0)*0.475*44/12</f>
        <v>8.5574529945370497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24.346132541242987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2.5225199999999992</v>
      </c>
      <c r="D80" s="11">
        <f t="shared" si="86"/>
        <v>1.0437900042570221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1.3764705279588503</v>
      </c>
      <c r="H80" s="67">
        <f t="shared" si="56"/>
        <v>262.87798992408102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9.782</v>
      </c>
      <c r="N80" s="13">
        <f>IF('Données projet'!$A$36&gt;35,N79+M80-V79,IF(A80&lt;'Données projet'!$A$36,$K$205^A80,IF(A80='Données projet'!$A$36,'Données projet'!$B$36,N79+M80-V79)))</f>
        <v>490.654</v>
      </c>
      <c r="O80" s="13">
        <f>N80*VLOOKUP('Données projet'!$B$9,Paramètres!$A$1:$I$89,3,0)*VLOOKUP('Données projet'!$B$9,Paramètres!$A$1:$I$89,5,0)</f>
        <v>293.411092</v>
      </c>
      <c r="P80" s="13">
        <f t="shared" si="87"/>
        <v>69.79339504623151</v>
      </c>
      <c r="Q80" s="20">
        <f t="shared" si="54"/>
        <v>632.58114827218651</v>
      </c>
      <c r="R80" s="59">
        <f t="shared" si="55"/>
        <v>925.91448160551977</v>
      </c>
      <c r="S80" s="59">
        <f ca="1">AVERAGE(OFFSET($R$3,0,0,'Données projet'!$E$9+1,1))-AVERAGE(OFFSET($H$3,0,0,'Données projet'!$E$9+1,1))</f>
        <v>346.2919953121168</v>
      </c>
      <c r="T80" s="59">
        <f t="shared" si="88"/>
        <v>255.63939678041237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35.329116514503625</v>
      </c>
      <c r="AA80" s="21">
        <f>EXP(-LN(2)/25)*AA79+(1-EXP(-LN(2)/25))/(LN(2)/25)*Calculateur!V80*Calculateur!X80*VLOOKUP('Données projet'!$B$9,Paramètres!$A$1:$I$89,3,0)*0.475*44/12</f>
        <v>26.85819018093953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62.187306695443155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298.32148815673816</v>
      </c>
      <c r="AO80" s="59">
        <f t="shared" si="90"/>
        <v>303.51754260758827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96.112144499560301</v>
      </c>
      <c r="AV80" s="21">
        <f>EXP(-LN(2)/25)*AV79+(1-EXP(-LN(2)/25))/(LN(2)/25)*Calculateur!AQ80*Calculateur!AS80*VLOOKUP('Données projet'!$B$10,Paramètres!$A$1:$I$89,3,0)*0.475*44/12</f>
        <v>47.399802531325989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143.51194703088629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6.5490000000000013</v>
      </c>
      <c r="BD80" s="12">
        <f>IF('Données projet'!$A$88&gt;35,BD79+BC80-BL79,IF(A80&lt;'Données projet'!$A$88,$BA$205^A80,IF(A80='Données projet'!$A$88,'Données projet'!$B$88,BD79+BC80-BL79)))</f>
        <v>326.08299999999952</v>
      </c>
      <c r="BE80" s="13">
        <f>BD80*VLOOKUP('Données projet'!$B$11,Paramètres!$A$1:$I$89,3,0)*VLOOKUP('Données projet'!$B$11,Paramètres!$A$1:$I$89,5,0)</f>
        <v>186.51947599999974</v>
      </c>
      <c r="BF80" s="13">
        <f t="shared" si="91"/>
        <v>46.769632376297373</v>
      </c>
      <c r="BG80" s="20">
        <f t="shared" si="61"/>
        <v>406.31186375538414</v>
      </c>
      <c r="BH80" s="59">
        <f t="shared" si="62"/>
        <v>699.6451970887174</v>
      </c>
      <c r="BI80" s="59">
        <f ca="1">AVERAGE(OFFSET($BH$3,0,0,'Données projet'!$E$11+1,1))-AVERAGE(OFFSET($H$3,0,0,'Données projet'!$E$11+1,1))</f>
        <v>287.9055604128643</v>
      </c>
      <c r="BJ80" s="59">
        <f t="shared" si="92"/>
        <v>197.74605993031139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28.021627583699491</v>
      </c>
      <c r="BQ80" s="21">
        <f>EXP(-LN(2)/25)*BQ79+(1-EXP(-LN(2)/25))/(LN(2)/25)*Calculateur!BL80*Calculateur!BN80*VLOOKUP('Données projet'!$B$11,Paramètres!$A$1:$I$89,3,0)*0.475*44/12</f>
        <v>23.156079747819156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51.177707331518647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2.0512820512820582</v>
      </c>
      <c r="BY80" s="12">
        <f>IF('Données projet'!$A$114&gt;35,BY79+BX80-CG79,IF(A80&lt;'Données projet'!$A$114,$BV$205^A80,IF(A80='Données projet'!$A$114,'Données projet'!$B$114,BY79+BX80-CG79)))</f>
        <v>127.17948717948713</v>
      </c>
      <c r="BZ80" s="13">
        <f>BY80*VLOOKUP('Données projet'!$B$12,Paramètres!$A$1:$I$89,3,0)*VLOOKUP('Données projet'!$B$12,Paramètres!$A$1:$I$89,5,0)</f>
        <v>111.10399999999997</v>
      </c>
      <c r="CA80" s="13">
        <f t="shared" si="93"/>
        <v>29.590944212805727</v>
      </c>
      <c r="CB80" s="20">
        <f t="shared" si="64"/>
        <v>245.04369450396993</v>
      </c>
      <c r="CC80" s="59">
        <f t="shared" si="65"/>
        <v>538.37702783730322</v>
      </c>
      <c r="CD80" s="59">
        <f ca="1">AVERAGE(OFFSET($CC$3,0,0,'Données projet'!$E$12+1,1))-AVERAGE(OFFSET($H$3,0,0,'Données projet'!$E$12+1,1))</f>
        <v>201.78062426023638</v>
      </c>
      <c r="CE80" s="59">
        <f t="shared" si="94"/>
        <v>183.0364139873468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15.47907317093866</v>
      </c>
      <c r="CL80" s="21">
        <f>EXP(-LN(2)/25)*CL79+(1-EXP(-LN(2)/25))/(LN(2)/25)*Calculateur!CG80*Calculateur!CI80*VLOOKUP('Données projet'!$B$12,Paramètres!$A$1:$I$89,3,0)*0.475*44/12</f>
        <v>8.3234489923845398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23.8025221633232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2.5552799999999993</v>
      </c>
      <c r="D81" s="11">
        <f t="shared" si="86"/>
        <v>1.0557588235323416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1.3937342827668686</v>
      </c>
      <c r="H81" s="67">
        <f t="shared" si="56"/>
        <v>262.95589261765218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9.782</v>
      </c>
      <c r="N81" s="13">
        <f>IF('Données projet'!$A$36&gt;35,N80+M81-V80,IF(A81&lt;'Données projet'!$A$36,$K$205^A81,IF(A81='Données projet'!$A$36,'Données projet'!$B$36,N80+M81-V80)))</f>
        <v>500.43599999999998</v>
      </c>
      <c r="O81" s="13">
        <f>N81*VLOOKUP('Données projet'!$B$9,Paramètres!$A$1:$I$89,3,0)*VLOOKUP('Données projet'!$B$9,Paramètres!$A$1:$I$89,5,0)</f>
        <v>299.26072800000003</v>
      </c>
      <c r="P81" s="13">
        <f t="shared" si="87"/>
        <v>71.021461421315166</v>
      </c>
      <c r="Q81" s="20">
        <f t="shared" si="54"/>
        <v>644.90814657545729</v>
      </c>
      <c r="R81" s="59">
        <f t="shared" si="55"/>
        <v>938.24147990879055</v>
      </c>
      <c r="S81" s="59">
        <f ca="1">AVERAGE(OFFSET($R$3,0,0,'Données projet'!$E$9+1,1))-AVERAGE(OFFSET($H$3,0,0,'Données projet'!$E$9+1,1))</f>
        <v>346.2919953121168</v>
      </c>
      <c r="T81" s="59">
        <f t="shared" si="88"/>
        <v>255.63939678041237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34.636334088287533</v>
      </c>
      <c r="AA81" s="21">
        <f>EXP(-LN(2)/25)*AA80+(1-EXP(-LN(2)/25))/(LN(2)/25)*Calculateur!V81*Calculateur!X81*VLOOKUP('Données projet'!$B$9,Paramètres!$A$1:$I$89,3,0)*0.475*44/12</f>
        <v>26.123751558030904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60.760085646318437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298.32148815673816</v>
      </c>
      <c r="AO81" s="59">
        <f t="shared" si="90"/>
        <v>303.51754260758827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94.227443968543568</v>
      </c>
      <c r="AV81" s="21">
        <f>EXP(-LN(2)/25)*AV80+(1-EXP(-LN(2)/25))/(LN(2)/25)*Calculateur!AQ81*Calculateur!AS81*VLOOKUP('Données projet'!$B$10,Paramètres!$A$1:$I$89,3,0)*0.475*44/12</f>
        <v>46.103652438459598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140.33109640700317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6.5490000000000013</v>
      </c>
      <c r="BD81" s="12">
        <f>IF('Données projet'!$A$88&gt;35,BD80+BC81-BL80,IF(A81&lt;'Données projet'!$A$88,$BA$205^A81,IF(A81='Données projet'!$A$88,'Données projet'!$B$88,BD80+BC81-BL80)))</f>
        <v>332.63199999999949</v>
      </c>
      <c r="BE81" s="13">
        <f>BD81*VLOOKUP('Données projet'!$B$11,Paramètres!$A$1:$I$89,3,0)*VLOOKUP('Données projet'!$B$11,Paramètres!$A$1:$I$89,5,0)</f>
        <v>190.26550399999971</v>
      </c>
      <c r="BF81" s="13">
        <f t="shared" si="91"/>
        <v>47.598647244536394</v>
      </c>
      <c r="BG81" s="20">
        <f t="shared" si="61"/>
        <v>414.28006341756708</v>
      </c>
      <c r="BH81" s="59">
        <f t="shared" si="62"/>
        <v>707.61339675090039</v>
      </c>
      <c r="BI81" s="59">
        <f ca="1">AVERAGE(OFFSET($BH$3,0,0,'Données projet'!$E$11+1,1))-AVERAGE(OFFSET($H$3,0,0,'Données projet'!$E$11+1,1))</f>
        <v>287.9055604128643</v>
      </c>
      <c r="BJ81" s="59">
        <f t="shared" si="92"/>
        <v>197.74605993031139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27.472140558288324</v>
      </c>
      <c r="BQ81" s="21">
        <f>EXP(-LN(2)/25)*BQ80+(1-EXP(-LN(2)/25))/(LN(2)/25)*Calculateur!BL81*Calculateur!BN81*VLOOKUP('Données projet'!$B$11,Paramètres!$A$1:$I$89,3,0)*0.475*44/12</f>
        <v>22.522875529389733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49.995016087678053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2.0512820512820582</v>
      </c>
      <c r="BY81" s="12">
        <f>IF('Données projet'!$A$114&gt;35,BY80+BX81-CG80,IF(A81&lt;'Données projet'!$A$114,$BV$205^A81,IF(A81='Données projet'!$A$114,'Données projet'!$B$114,BY80+BX81-CG80)))</f>
        <v>129.23076923076917</v>
      </c>
      <c r="BZ81" s="13">
        <f>BY81*VLOOKUP('Données projet'!$B$12,Paramètres!$A$1:$I$89,3,0)*VLOOKUP('Données projet'!$B$12,Paramètres!$A$1:$I$89,5,0)</f>
        <v>112.89599999999996</v>
      </c>
      <c r="CA81" s="13">
        <f t="shared" si="93"/>
        <v>30.012269379763534</v>
      </c>
      <c r="CB81" s="20">
        <f t="shared" si="64"/>
        <v>248.89856916975472</v>
      </c>
      <c r="CC81" s="59">
        <f t="shared" si="65"/>
        <v>542.23190250308801</v>
      </c>
      <c r="CD81" s="59">
        <f ca="1">AVERAGE(OFFSET($CC$3,0,0,'Données projet'!$E$12+1,1))-AVERAGE(OFFSET($H$3,0,0,'Données projet'!$E$12+1,1))</f>
        <v>201.78062426023638</v>
      </c>
      <c r="CE81" s="59">
        <f t="shared" si="94"/>
        <v>183.0364139873468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15.175537987358936</v>
      </c>
      <c r="CL81" s="21">
        <f>EXP(-LN(2)/25)*CL80+(1-EXP(-LN(2)/25))/(LN(2)/25)*Calculateur!CG81*Calculateur!CI81*VLOOKUP('Données projet'!$B$12,Paramètres!$A$1:$I$89,3,0)*0.475*44/12</f>
        <v>8.0958438419766257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23.27138182933556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2.5880399999999995</v>
      </c>
      <c r="D82" s="11">
        <f t="shared" si="86"/>
        <v>1.0677097944501022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1.4109911487351272</v>
      </c>
      <c r="H82" s="67">
        <f t="shared" si="56"/>
        <v>263.03376422533393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9.782</v>
      </c>
      <c r="N82" s="13">
        <f>IF('Données projet'!$A$36&gt;35,N81+M82-V81,IF(A82&lt;'Données projet'!$A$36,$K$205^A82,IF(A82='Données projet'!$A$36,'Données projet'!$B$36,N81+M82-V81)))</f>
        <v>510.21799999999996</v>
      </c>
      <c r="O82" s="13">
        <f>N82*VLOOKUP('Données projet'!$B$9,Paramètres!$A$1:$I$89,3,0)*VLOOKUP('Données projet'!$B$9,Paramètres!$A$1:$I$89,5,0)</f>
        <v>305.110364</v>
      </c>
      <c r="P82" s="13">
        <f t="shared" si="87"/>
        <v>72.246736607705117</v>
      </c>
      <c r="Q82" s="20">
        <f t="shared" si="54"/>
        <v>657.23028355841973</v>
      </c>
      <c r="R82" s="59">
        <f t="shared" si="55"/>
        <v>950.5636168917531</v>
      </c>
      <c r="S82" s="59">
        <f ca="1">AVERAGE(OFFSET($R$3,0,0,'Données projet'!$E$9+1,1))-AVERAGE(OFFSET($H$3,0,0,'Données projet'!$E$9+1,1))</f>
        <v>346.2919953121168</v>
      </c>
      <c r="T82" s="59">
        <f t="shared" si="88"/>
        <v>255.63939678041237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33.957136702893983</v>
      </c>
      <c r="AA82" s="21">
        <f>EXP(-LN(2)/25)*AA81+(1-EXP(-LN(2)/25))/(LN(2)/25)*Calculateur!V82*Calculateur!X82*VLOOKUP('Données projet'!$B$9,Paramètres!$A$1:$I$89,3,0)*0.475*44/12</f>
        <v>25.40939619788816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59.366532900782147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298.32148815673816</v>
      </c>
      <c r="AO82" s="59">
        <f t="shared" si="90"/>
        <v>303.51754260758827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92.379701265386259</v>
      </c>
      <c r="AV82" s="21">
        <f>EXP(-LN(2)/25)*AV81+(1-EXP(-LN(2)/25))/(LN(2)/25)*Calculateur!AQ82*Calculateur!AS82*VLOOKUP('Données projet'!$B$10,Paramètres!$A$1:$I$89,3,0)*0.475*44/12</f>
        <v>44.842945638044206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137.22264690343047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6.5490000000000013</v>
      </c>
      <c r="BD82" s="12">
        <f>IF('Données projet'!$A$88&gt;35,BD81+BC82-BL81,IF(A82&lt;'Données projet'!$A$88,$BA$205^A82,IF(A82='Données projet'!$A$88,'Données projet'!$B$88,BD81+BC82-BL81)))</f>
        <v>339.18099999999947</v>
      </c>
      <c r="BE82" s="13">
        <f>BD82*VLOOKUP('Données projet'!$B$11,Paramètres!$A$1:$I$89,3,0)*VLOOKUP('Données projet'!$B$11,Paramètres!$A$1:$I$89,5,0)</f>
        <v>194.01153199999973</v>
      </c>
      <c r="BF82" s="13">
        <f t="shared" si="91"/>
        <v>48.425764278108019</v>
      </c>
      <c r="BG82" s="20">
        <f t="shared" si="61"/>
        <v>422.24495768437095</v>
      </c>
      <c r="BH82" s="59">
        <f t="shared" si="62"/>
        <v>715.57829101770426</v>
      </c>
      <c r="BI82" s="59">
        <f ca="1">AVERAGE(OFFSET($BH$3,0,0,'Données projet'!$E$11+1,1))-AVERAGE(OFFSET($H$3,0,0,'Données projet'!$E$11+1,1))</f>
        <v>287.9055604128643</v>
      </c>
      <c r="BJ82" s="59">
        <f t="shared" si="92"/>
        <v>197.74605993031139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26.933428638291478</v>
      </c>
      <c r="BQ82" s="21">
        <f>EXP(-LN(2)/25)*BQ81+(1-EXP(-LN(2)/25))/(LN(2)/25)*Calculateur!BL82*Calculateur!BN82*VLOOKUP('Données projet'!$B$11,Paramètres!$A$1:$I$89,3,0)*0.475*44/12</f>
        <v>21.906986313612023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48.840414951903497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2.0512820512820582</v>
      </c>
      <c r="BY82" s="12">
        <f>IF('Données projet'!$A$114&gt;35,BY81+BX82-CG81,IF(A82&lt;'Données projet'!$A$114,$BV$205^A82,IF(A82='Données projet'!$A$114,'Données projet'!$B$114,BY81+BX82-CG81)))</f>
        <v>131.28205128205121</v>
      </c>
      <c r="BZ82" s="13">
        <f>BY82*VLOOKUP('Données projet'!$B$12,Paramètres!$A$1:$I$89,3,0)*VLOOKUP('Données projet'!$B$12,Paramètres!$A$1:$I$89,5,0)</f>
        <v>114.68799999999995</v>
      </c>
      <c r="CA82" s="13">
        <f t="shared" si="93"/>
        <v>30.432816782482064</v>
      </c>
      <c r="CB82" s="20">
        <f t="shared" si="64"/>
        <v>252.75208922948948</v>
      </c>
      <c r="CC82" s="59">
        <f t="shared" si="65"/>
        <v>546.08542256282283</v>
      </c>
      <c r="CD82" s="59">
        <f ca="1">AVERAGE(OFFSET($CC$3,0,0,'Données projet'!$E$12+1,1))-AVERAGE(OFFSET($H$3,0,0,'Données projet'!$E$12+1,1))</f>
        <v>201.78062426023638</v>
      </c>
      <c r="CE82" s="59">
        <f t="shared" si="94"/>
        <v>183.0364139873468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14.87795494359103</v>
      </c>
      <c r="CL82" s="21">
        <f>EXP(-LN(2)/25)*CL81+(1-EXP(-LN(2)/25))/(LN(2)/25)*Calculateur!CG82*Calculateur!CI82*VLOOKUP('Données projet'!$B$12,Paramètres!$A$1:$I$89,3,0)*0.475*44/12</f>
        <v>7.8744625663758505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22.752417509966882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2.6207999999999996</v>
      </c>
      <c r="D83" s="11">
        <f t="shared" si="86"/>
        <v>1.0796431690647792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1.4282412231478097</v>
      </c>
      <c r="H83" s="67">
        <f t="shared" si="56"/>
        <v>263.11160518612115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</v>
      </c>
      <c r="L83" s="12">
        <f>VLOOKUP(A83,'Données projet'!$A$35:$I$55,9,0)</f>
        <v>9.782</v>
      </c>
      <c r="M83" s="12">
        <f t="array" ref="M83">INDEX(L:L,MIN(IF(ISNUMBER(L83:L279),ROW(L83:L279),"")))</f>
        <v>9.782</v>
      </c>
      <c r="N83" s="13">
        <f>IF('Données projet'!$A$36&gt;35,N82+M83-V82,IF(A83&lt;'Données projet'!$A$36,$K$205^A83,IF(A83='Données projet'!$A$36,'Données projet'!$B$36,N82+M83-V82)))</f>
        <v>520</v>
      </c>
      <c r="O83" s="13">
        <f>N83*VLOOKUP('Données projet'!$B$9,Paramètres!$A$1:$I$89,3,0)*VLOOKUP('Données projet'!$B$9,Paramètres!$A$1:$I$89,5,0)</f>
        <v>310.96000000000004</v>
      </c>
      <c r="P83" s="13">
        <f t="shared" si="87"/>
        <v>73.469280288324128</v>
      </c>
      <c r="Q83" s="20">
        <f t="shared" si="54"/>
        <v>669.54766316883126</v>
      </c>
      <c r="R83" s="59">
        <f t="shared" si="55"/>
        <v>962.88099650216463</v>
      </c>
      <c r="S83" s="59">
        <f ca="1">AVERAGE(OFFSET($R$3,0,0,'Données projet'!$E$9+1,1))-AVERAGE(OFFSET($H$3,0,0,'Données projet'!$E$9+1,1))</f>
        <v>346.2919953121168</v>
      </c>
      <c r="T83" s="59">
        <f t="shared" si="88"/>
        <v>255.63939678041237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</v>
      </c>
      <c r="W83" s="16">
        <f>IF(ISNA(VLOOKUP(A83,'Données projet'!$A$35:$I$55,5,0)),0%,VLOOKUP(A83,'Données projet'!$A$35:$I$55,5,0)*VLOOKUP('Données projet'!$B$9,Paramètres!$A$1:$I$89,7,0))</f>
        <v>0.315</v>
      </c>
      <c r="X83" s="16">
        <f>IF(ISNA(VLOOKUP(A83,'Données projet'!$A$35:$I$55,6,0)),0%,VLOOKUP(A83,'Données projet'!$A$35:$I$55,6,0)*VLOOKUP('Données projet'!$B$9,Paramètres!$A$1:$I$89,7,0))</f>
        <v>0.13500000000000001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163.23143012895457</v>
      </c>
      <c r="AA83" s="21">
        <f>EXP(-LN(2)/25)*AA82+(1-EXP(-LN(2)/25))/(LN(2)/25)*Calculateur!V83*Calculateur!X83*VLOOKUP('Données projet'!$B$9,Paramètres!$A$1:$I$89,3,0)*0.475*44/12</f>
        <v>80.183952720961372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243.41538284991594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298.32148815673816</v>
      </c>
      <c r="AO83" s="59">
        <f t="shared" si="90"/>
        <v>303.51754260758827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90.568191669626103</v>
      </c>
      <c r="AV83" s="21">
        <f>EXP(-LN(2)/25)*AV82+(1-EXP(-LN(2)/25))/(LN(2)/25)*Calculateur!AQ83*Calculateur!AS83*VLOOKUP('Données projet'!$B$10,Paramètres!$A$1:$I$89,3,0)*0.475*44/12</f>
        <v>43.616712931383866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134.18490460100998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345.73</v>
      </c>
      <c r="BB83" s="12">
        <f>VLOOKUP(A83,'Données projet'!$A$87:$I$107,9,0)</f>
        <v>6.5490000000000013</v>
      </c>
      <c r="BC83" s="12">
        <f t="array" ref="BC83">INDEX(BB:BB,MIN(IF(ISNUMBER(BB83:BB279),ROW(BB83:BB279),"")))</f>
        <v>6.5490000000000013</v>
      </c>
      <c r="BD83" s="12">
        <f>IF('Données projet'!$A$88&gt;35,BD82+BC83-BL82,IF(A83&lt;'Données projet'!$A$88,$BA$205^A83,IF(A83='Données projet'!$A$88,'Données projet'!$B$88,BD82+BC83-BL82)))</f>
        <v>345.72999999999945</v>
      </c>
      <c r="BE83" s="13">
        <f>BD83*VLOOKUP('Données projet'!$B$11,Paramètres!$A$1:$I$89,3,0)*VLOOKUP('Données projet'!$B$11,Paramètres!$A$1:$I$89,5,0)</f>
        <v>197.7575599999997</v>
      </c>
      <c r="BF83" s="13">
        <f t="shared" si="91"/>
        <v>49.251024345463584</v>
      </c>
      <c r="BG83" s="20">
        <f t="shared" si="61"/>
        <v>430.20661773501519</v>
      </c>
      <c r="BH83" s="59">
        <f t="shared" si="62"/>
        <v>723.5399510683485</v>
      </c>
      <c r="BI83" s="59">
        <f ca="1">AVERAGE(OFFSET($BH$3,0,0,'Données projet'!$E$11+1,1))-AVERAGE(OFFSET($H$3,0,0,'Données projet'!$E$11+1,1))</f>
        <v>287.9055604128643</v>
      </c>
      <c r="BJ83" s="59">
        <f t="shared" si="92"/>
        <v>197.74605993031139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39.97</v>
      </c>
      <c r="BM83" s="16">
        <f>IF(ISNA(VLOOKUP(A83,'Données projet'!$A$87:$I$107,5,0)),0%,VLOOKUP(A83,'Données projet'!$A$87:$I$107,5,0)*VLOOKUP('Données projet'!$B$11,Paramètres!$A$1:$I$89,7,0))</f>
        <v>0.315</v>
      </c>
      <c r="BN83" s="16">
        <f>IF(ISNA(VLOOKUP(A83,'Données projet'!$A$87:$I$107,6,0)),0%,VLOOKUP(A83,'Données projet'!$A$87:$I$107,6,0)*VLOOKUP('Données projet'!$B$11,Paramètres!$A$1:$I$89,7,0))</f>
        <v>0.13500000000000001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35.958925262200367</v>
      </c>
      <c r="BQ83" s="21">
        <f>EXP(-LN(2)/25)*BQ82+(1-EXP(-LN(2)/25))/(LN(2)/25)*Calculateur!BL83*Calculateur!BN83*VLOOKUP('Données projet'!$B$11,Paramètres!$A$1:$I$89,3,0)*0.475*44/12</f>
        <v>25.386236503200909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61.345161765401272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133.33333333333334</v>
      </c>
      <c r="BW83" s="12">
        <f>VLOOKUP(A83,'Données projet'!$A$113:$I$133,9,0)</f>
        <v>2.0512820512820582</v>
      </c>
      <c r="BX83" s="12">
        <f t="array" ref="BX83">INDEX(BW:BW,MIN(IF(ISNUMBER(BW83:BW279),ROW(BW83:BW279),"")))</f>
        <v>2.0512820512820582</v>
      </c>
      <c r="BY83" s="12">
        <f>IF('Données projet'!$A$114&gt;35,BY82+BX83-CG82,IF(A83&lt;'Données projet'!$A$114,$BV$205^A83,IF(A83='Données projet'!$A$114,'Données projet'!$B$114,BY82+BX83-CG82)))</f>
        <v>133.33333333333326</v>
      </c>
      <c r="BZ83" s="13">
        <f>BY83*VLOOKUP('Données projet'!$B$12,Paramètres!$A$1:$I$89,3,0)*VLOOKUP('Données projet'!$B$12,Paramètres!$A$1:$I$89,5,0)</f>
        <v>116.47999999999995</v>
      </c>
      <c r="CA83" s="13">
        <f t="shared" si="93"/>
        <v>30.852599976867037</v>
      </c>
      <c r="CB83" s="20">
        <f t="shared" si="64"/>
        <v>256.60427829304331</v>
      </c>
      <c r="CC83" s="59">
        <f t="shared" si="65"/>
        <v>549.93761162637657</v>
      </c>
      <c r="CD83" s="59">
        <f ca="1">AVERAGE(OFFSET($CC$3,0,0,'Données projet'!$E$12+1,1))-AVERAGE(OFFSET($H$3,0,0,'Données projet'!$E$12+1,1))</f>
        <v>201.78062426023638</v>
      </c>
      <c r="CE83" s="59">
        <f t="shared" si="94"/>
        <v>183.0364139873468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7.0512820512820511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0.129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16.343109286587804</v>
      </c>
      <c r="CL83" s="21">
        <f>EXP(-LN(2)/25)*CL82+(1-EXP(-LN(2)/25))/(LN(2)/25)*Calculateur!CG83*Calculateur!CI83*VLOOKUP('Données projet'!$B$12,Paramètres!$A$1:$I$89,3,0)*0.475*44/12</f>
        <v>8.5341271595566344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24.877236446144437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2.6535599999999997</v>
      </c>
      <c r="D84" s="11">
        <f t="shared" si="86"/>
        <v>1.0915591927670798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1.4454846007171185</v>
      </c>
      <c r="H84" s="67">
        <f t="shared" si="56"/>
        <v>263.18941592740271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346.2919953121168</v>
      </c>
      <c r="T84" s="59">
        <f t="shared" si="88"/>
        <v>255.63939678041237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160.03056134546728</v>
      </c>
      <c r="AA84" s="21">
        <f>EXP(-LN(2)/25)*AA83+(1-EXP(-LN(2)/25))/(LN(2)/25)*Calculateur!V84*Calculateur!X84*VLOOKUP('Données projet'!$B$9,Paramètres!$A$1:$I$89,3,0)*0.475*44/12</f>
        <v>77.991318317115869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238.02187966258316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298.32148815673816</v>
      </c>
      <c r="AO84" s="59">
        <f t="shared" si="90"/>
        <v>303.51754260758827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88.792204672127042</v>
      </c>
      <c r="AV84" s="21">
        <f>EXP(-LN(2)/25)*AV83+(1-EXP(-LN(2)/25))/(LN(2)/25)*Calculateur!AQ84*Calculateur!AS84*VLOOKUP('Données projet'!$B$10,Paramètres!$A$1:$I$89,3,0)*0.475*44/12</f>
        <v>42.424011622571925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131.21621629469897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5.669999999999999</v>
      </c>
      <c r="BD84" s="12">
        <f>IF('Données projet'!$A$88&gt;35,BD83+BC84-BL83,IF(A84&lt;'Données projet'!$A$88,$BA$205^A84,IF(A84='Données projet'!$A$88,'Données projet'!$B$88,BD83+BC84-BL83)))</f>
        <v>311.4299999999995</v>
      </c>
      <c r="BE84" s="13">
        <f>BD84*VLOOKUP('Données projet'!$B$11,Paramètres!$A$1:$I$89,3,0)*VLOOKUP('Données projet'!$B$11,Paramètres!$A$1:$I$89,5,0)</f>
        <v>178.13795999999971</v>
      </c>
      <c r="BF84" s="13">
        <f t="shared" si="91"/>
        <v>44.907666192193211</v>
      </c>
      <c r="BG84" s="20">
        <f t="shared" si="61"/>
        <v>388.47113228473592</v>
      </c>
      <c r="BH84" s="59">
        <f t="shared" si="62"/>
        <v>681.80446561806923</v>
      </c>
      <c r="BI84" s="59">
        <f ca="1">AVERAGE(OFFSET($BH$3,0,0,'Données projet'!$E$11+1,1))-AVERAGE(OFFSET($H$3,0,0,'Données projet'!$E$11+1,1))</f>
        <v>287.9055604128643</v>
      </c>
      <c r="BJ84" s="59">
        <f t="shared" si="92"/>
        <v>197.74605993031139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35.253792670587345</v>
      </c>
      <c r="BQ84" s="21">
        <f>EXP(-LN(2)/25)*BQ83+(1-EXP(-LN(2)/25))/(LN(2)/25)*Calculateur!BL84*Calculateur!BN84*VLOOKUP('Données projet'!$B$11,Paramètres!$A$1:$I$89,3,0)*0.475*44/12</f>
        <v>24.692048531016724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59.945841201604068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1.7948717948717898</v>
      </c>
      <c r="BY84" s="12">
        <f>IF('Données projet'!$A$114&gt;35,BY83+BX84-CG83,IF(A84&lt;'Données projet'!$A$114,$BV$205^A84,IF(A84='Données projet'!$A$114,'Données projet'!$B$114,BY83+BX84-CG83)))</f>
        <v>128.07692307692301</v>
      </c>
      <c r="BZ84" s="13">
        <f>BY84*VLOOKUP('Données projet'!$B$12,Paramètres!$A$1:$I$89,3,0)*VLOOKUP('Données projet'!$B$12,Paramètres!$A$1:$I$89,5,0)</f>
        <v>111.88799999999995</v>
      </c>
      <c r="CA84" s="13">
        <f t="shared" si="93"/>
        <v>29.775370562311142</v>
      </c>
      <c r="CB84" s="20">
        <f t="shared" si="64"/>
        <v>246.73037039602514</v>
      </c>
      <c r="CC84" s="59">
        <f t="shared" si="65"/>
        <v>540.06370372935839</v>
      </c>
      <c r="CD84" s="59">
        <f ca="1">AVERAGE(OFFSET($CC$3,0,0,'Données projet'!$E$12+1,1))-AVERAGE(OFFSET($H$3,0,0,'Données projet'!$E$12+1,1))</f>
        <v>201.78062426023638</v>
      </c>
      <c r="CE84" s="59">
        <f t="shared" si="94"/>
        <v>183.0364139873468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16.022630881790192</v>
      </c>
      <c r="CL84" s="21">
        <f>EXP(-LN(2)/25)*CL83+(1-EXP(-LN(2)/25))/(LN(2)/25)*Calculateur!CG84*Calculateur!CI84*VLOOKUP('Données projet'!$B$12,Paramètres!$A$1:$I$89,3,0)*0.475*44/12</f>
        <v>8.300761003588315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24.323391885378506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2.6863199999999998</v>
      </c>
      <c r="D85" s="11">
        <f t="shared" si="86"/>
        <v>1.1034581045401648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1.4627213736821689</v>
      </c>
      <c r="H85" s="67">
        <f t="shared" si="56"/>
        <v>263.26719686540747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346.2919953121168</v>
      </c>
      <c r="T85" s="59">
        <f t="shared" si="88"/>
        <v>255.63939678041237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156.892459646487</v>
      </c>
      <c r="AA85" s="21">
        <f>EXP(-LN(2)/25)*AA84+(1-EXP(-LN(2)/25))/(LN(2)/25)*Calculateur!V85*Calculateur!X85*VLOOKUP('Données projet'!$B$9,Paramètres!$A$1:$I$89,3,0)*0.475*44/12</f>
        <v>75.858641616349161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232.75110126283616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298.32148815673816</v>
      </c>
      <c r="AO85" s="59">
        <f t="shared" si="90"/>
        <v>303.51754260758827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87.051043696403838</v>
      </c>
      <c r="AV85" s="21">
        <f>EXP(-LN(2)/25)*AV84+(1-EXP(-LN(2)/25))/(LN(2)/25)*Calculateur!AQ85*Calculateur!AS85*VLOOKUP('Données projet'!$B$10,Paramètres!$A$1:$I$89,3,0)*0.475*44/12</f>
        <v>41.263924793770883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128.31496849017472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5.669999999999999</v>
      </c>
      <c r="BD85" s="12">
        <f>IF('Données projet'!$A$88&gt;35,BD84+BC85-BL84,IF(A85&lt;'Données projet'!$A$88,$BA$205^A85,IF(A85='Données projet'!$A$88,'Données projet'!$B$88,BD84+BC85-BL84)))</f>
        <v>317.09999999999951</v>
      </c>
      <c r="BE85" s="13">
        <f>BD85*VLOOKUP('Données projet'!$B$11,Paramètres!$A$1:$I$89,3,0)*VLOOKUP('Données projet'!$B$11,Paramètres!$A$1:$I$89,5,0)</f>
        <v>181.38119999999972</v>
      </c>
      <c r="BF85" s="13">
        <f t="shared" si="91"/>
        <v>45.629340877028937</v>
      </c>
      <c r="BG85" s="20">
        <f t="shared" si="61"/>
        <v>395.37669202749157</v>
      </c>
      <c r="BH85" s="59">
        <f t="shared" si="62"/>
        <v>688.71002536082483</v>
      </c>
      <c r="BI85" s="59">
        <f ca="1">AVERAGE(OFFSET($BH$3,0,0,'Données projet'!$E$11+1,1))-AVERAGE(OFFSET($H$3,0,0,'Données projet'!$E$11+1,1))</f>
        <v>287.9055604128643</v>
      </c>
      <c r="BJ85" s="59">
        <f t="shared" si="92"/>
        <v>197.74605993031139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34.562487299007444</v>
      </c>
      <c r="BQ85" s="21">
        <f>EXP(-LN(2)/25)*BQ84+(1-EXP(-LN(2)/25))/(LN(2)/25)*Calculateur!BL85*Calculateur!BN85*VLOOKUP('Données projet'!$B$11,Paramètres!$A$1:$I$89,3,0)*0.475*44/12</f>
        <v>24.016843165437674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58.579330464445121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1.7948717948717898</v>
      </c>
      <c r="BY85" s="12">
        <f>IF('Données projet'!$A$114&gt;35,BY84+BX85-CG84,IF(A85&lt;'Données projet'!$A$114,$BV$205^A85,IF(A85='Données projet'!$A$114,'Données projet'!$B$114,BY84+BX85-CG84)))</f>
        <v>129.8717948717948</v>
      </c>
      <c r="BZ85" s="13">
        <f>BY85*VLOOKUP('Données projet'!$B$12,Paramètres!$A$1:$I$89,3,0)*VLOOKUP('Données projet'!$B$12,Paramètres!$A$1:$I$89,5,0)</f>
        <v>113.45599999999996</v>
      </c>
      <c r="CA85" s="13">
        <f t="shared" si="93"/>
        <v>30.143773345943128</v>
      </c>
      <c r="CB85" s="20">
        <f t="shared" si="64"/>
        <v>250.10293857751753</v>
      </c>
      <c r="CC85" s="59">
        <f t="shared" si="65"/>
        <v>543.43627191085079</v>
      </c>
      <c r="CD85" s="59">
        <f ca="1">AVERAGE(OFFSET($CC$3,0,0,'Données projet'!$E$12+1,1))-AVERAGE(OFFSET($H$3,0,0,'Données projet'!$E$12+1,1))</f>
        <v>201.78062426023638</v>
      </c>
      <c r="CE85" s="59">
        <f t="shared" si="94"/>
        <v>183.0364139873468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15.708436863038136</v>
      </c>
      <c r="CL85" s="21">
        <f>EXP(-LN(2)/25)*CL84+(1-EXP(-LN(2)/25))/(LN(2)/25)*Calculateur!CG85*Calculateur!CI85*VLOOKUP('Données projet'!$B$12,Paramètres!$A$1:$I$89,3,0)*0.475*44/12</f>
        <v>8.0737762574271432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23.782213120465279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2.7190799999999999</v>
      </c>
      <c r="D86" s="11">
        <f t="shared" si="86"/>
        <v>1.1153401372030198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1.4799516319029202</v>
      </c>
      <c r="H86" s="67">
        <f t="shared" si="56"/>
        <v>263.3449484056286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346.2919953121168</v>
      </c>
      <c r="T86" s="59">
        <f t="shared" si="88"/>
        <v>255.63939678041237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153.81589420777067</v>
      </c>
      <c r="AA86" s="21">
        <f>EXP(-LN(2)/25)*AA85+(1-EXP(-LN(2)/25))/(LN(2)/25)*Calculateur!V86*Calculateur!X86*VLOOKUP('Données projet'!$B$9,Paramètres!$A$1:$I$89,3,0)*0.475*44/12</f>
        <v>73.784283072117503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227.60017727988816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298.32148815673816</v>
      </c>
      <c r="AO86" s="59">
        <f t="shared" si="90"/>
        <v>303.51754260758827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85.344025825411222</v>
      </c>
      <c r="AV86" s="21">
        <f>EXP(-LN(2)/25)*AV85+(1-EXP(-LN(2)/25))/(LN(2)/25)*Calculateur!AQ86*Calculateur!AS86*VLOOKUP('Données projet'!$B$10,Paramètres!$A$1:$I$89,3,0)*0.475*44/12</f>
        <v>40.135560600309724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125.47958642572095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5.669999999999999</v>
      </c>
      <c r="BD86" s="12">
        <f>IF('Données projet'!$A$88&gt;35,BD85+BC86-BL85,IF(A86&lt;'Données projet'!$A$88,$BA$205^A86,IF(A86='Données projet'!$A$88,'Données projet'!$B$88,BD85+BC86-BL85)))</f>
        <v>322.76999999999953</v>
      </c>
      <c r="BE86" s="13">
        <f>BD86*VLOOKUP('Données projet'!$B$11,Paramètres!$A$1:$I$89,3,0)*VLOOKUP('Données projet'!$B$11,Paramètres!$A$1:$I$89,5,0)</f>
        <v>184.62443999999974</v>
      </c>
      <c r="BF86" s="13">
        <f t="shared" si="91"/>
        <v>46.349515000158355</v>
      </c>
      <c r="BG86" s="20">
        <f t="shared" si="61"/>
        <v>402.27963829194204</v>
      </c>
      <c r="BH86" s="59">
        <f t="shared" si="62"/>
        <v>695.61297162527535</v>
      </c>
      <c r="BI86" s="59">
        <f ca="1">AVERAGE(OFFSET($BH$3,0,0,'Données projet'!$E$11+1,1))-AVERAGE(OFFSET($H$3,0,0,'Données projet'!$E$11+1,1))</f>
        <v>287.9055604128643</v>
      </c>
      <c r="BJ86" s="59">
        <f t="shared" si="92"/>
        <v>197.74605993031139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33.884738004109579</v>
      </c>
      <c r="BQ86" s="21">
        <f>EXP(-LN(2)/25)*BQ85+(1-EXP(-LN(2)/25))/(LN(2)/25)*Calculateur!BL86*Calculateur!BN86*VLOOKUP('Données projet'!$B$11,Paramètres!$A$1:$I$89,3,0)*0.475*44/12</f>
        <v>23.360101326087889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57.244839330197465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1.7948717948717898</v>
      </c>
      <c r="BY86" s="12">
        <f>IF('Données projet'!$A$114&gt;35,BY85+BX86-CG85,IF(A86&lt;'Données projet'!$A$114,$BV$205^A86,IF(A86='Données projet'!$A$114,'Données projet'!$B$114,BY85+BX86-CG85)))</f>
        <v>131.6666666666666</v>
      </c>
      <c r="BZ86" s="13">
        <f>BY86*VLOOKUP('Données projet'!$B$12,Paramètres!$A$1:$I$89,3,0)*VLOOKUP('Données projet'!$B$12,Paramètres!$A$1:$I$89,5,0)</f>
        <v>115.02399999999996</v>
      </c>
      <c r="CA86" s="13">
        <f t="shared" si="93"/>
        <v>30.511583941282172</v>
      </c>
      <c r="CB86" s="20">
        <f t="shared" si="64"/>
        <v>253.47447536439972</v>
      </c>
      <c r="CC86" s="59">
        <f t="shared" si="65"/>
        <v>546.80780869773298</v>
      </c>
      <c r="CD86" s="59">
        <f ca="1">AVERAGE(OFFSET($CC$3,0,0,'Données projet'!$E$12+1,1))-AVERAGE(OFFSET($H$3,0,0,'Données projet'!$E$12+1,1))</f>
        <v>201.78062426023638</v>
      </c>
      <c r="CE86" s="59">
        <f t="shared" si="94"/>
        <v>183.0364139873468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15.400403997354379</v>
      </c>
      <c r="CL86" s="21">
        <f>EXP(-LN(2)/25)*CL85+(1-EXP(-LN(2)/25))/(LN(2)/25)*Calculateur!CG86*Calculateur!CI86*VLOOKUP('Données projet'!$B$12,Paramètres!$A$1:$I$89,3,0)*0.475*44/12</f>
        <v>7.8529984210863573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23.253402418440736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2.7518400000000001</v>
      </c>
      <c r="D87" s="11">
        <f t="shared" si="86"/>
        <v>1.1272055176417599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1.4971754629494516</v>
      </c>
      <c r="H87" s="67">
        <f t="shared" si="56"/>
        <v>263.42267094322608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346.2919953121168</v>
      </c>
      <c r="T87" s="59">
        <f t="shared" si="88"/>
        <v>255.63939678041237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150.79965834078794</v>
      </c>
      <c r="AA87" s="21">
        <f>EXP(-LN(2)/25)*AA86+(1-EXP(-LN(2)/25))/(LN(2)/25)*Calculateur!V87*Calculateur!X87*VLOOKUP('Données projet'!$B$9,Paramètres!$A$1:$I$89,3,0)*0.475*44/12</f>
        <v>71.766647971363639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222.5663063121516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298.32148815673816</v>
      </c>
      <c r="AO87" s="59">
        <f t="shared" si="90"/>
        <v>303.51754260758827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83.67048153369069</v>
      </c>
      <c r="AV87" s="21">
        <f>EXP(-LN(2)/25)*AV86+(1-EXP(-LN(2)/25))/(LN(2)/25)*Calculateur!AQ87*Calculateur!AS87*VLOOKUP('Données projet'!$B$10,Paramètres!$A$1:$I$89,3,0)*0.475*44/12</f>
        <v>39.038051585056856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122.70853311874754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5.669999999999999</v>
      </c>
      <c r="BD87" s="12">
        <f>IF('Données projet'!$A$88&gt;35,BD86+BC87-BL86,IF(A87&lt;'Données projet'!$A$88,$BA$205^A87,IF(A87='Données projet'!$A$88,'Données projet'!$B$88,BD86+BC87-BL86)))</f>
        <v>328.43999999999954</v>
      </c>
      <c r="BE87" s="13">
        <f>BD87*VLOOKUP('Données projet'!$B$11,Paramètres!$A$1:$I$89,3,0)*VLOOKUP('Données projet'!$B$11,Paramètres!$A$1:$I$89,5,0)</f>
        <v>187.86767999999975</v>
      </c>
      <c r="BF87" s="13">
        <f t="shared" si="91"/>
        <v>47.068217962755867</v>
      </c>
      <c r="BG87" s="20">
        <f t="shared" si="61"/>
        <v>409.18002228513274</v>
      </c>
      <c r="BH87" s="59">
        <f t="shared" si="62"/>
        <v>702.51335561846599</v>
      </c>
      <c r="BI87" s="59">
        <f ca="1">AVERAGE(OFFSET($BH$3,0,0,'Données projet'!$E$11+1,1))-AVERAGE(OFFSET($H$3,0,0,'Données projet'!$E$11+1,1))</f>
        <v>287.9055604128643</v>
      </c>
      <c r="BJ87" s="59">
        <f t="shared" si="92"/>
        <v>197.74605993031139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33.220278959498408</v>
      </c>
      <c r="BQ87" s="21">
        <f>EXP(-LN(2)/25)*BQ86+(1-EXP(-LN(2)/25))/(LN(2)/25)*Calculateur!BL87*Calculateur!BN87*VLOOKUP('Données projet'!$B$11,Paramètres!$A$1:$I$89,3,0)*0.475*44/12</f>
        <v>22.721318126871676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55.941597086370081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1.7948717948717898</v>
      </c>
      <c r="BY87" s="12">
        <f>IF('Données projet'!$A$114&gt;35,BY86+BX87-CG86,IF(A87&lt;'Données projet'!$A$114,$BV$205^A87,IF(A87='Données projet'!$A$114,'Données projet'!$B$114,BY86+BX87-CG86)))</f>
        <v>133.4615384615384</v>
      </c>
      <c r="BZ87" s="13">
        <f>BY87*VLOOKUP('Données projet'!$B$12,Paramètres!$A$1:$I$89,3,0)*VLOOKUP('Données projet'!$B$12,Paramètres!$A$1:$I$89,5,0)</f>
        <v>116.59199999999996</v>
      </c>
      <c r="CA87" s="13">
        <f t="shared" si="93"/>
        <v>30.87881135407634</v>
      </c>
      <c r="CB87" s="20">
        <f t="shared" si="64"/>
        <v>256.84499644168284</v>
      </c>
      <c r="CC87" s="59">
        <f t="shared" si="65"/>
        <v>550.17832977501621</v>
      </c>
      <c r="CD87" s="59">
        <f ca="1">AVERAGE(OFFSET($CC$3,0,0,'Données projet'!$E$12+1,1))-AVERAGE(OFFSET($H$3,0,0,'Données projet'!$E$12+1,1))</f>
        <v>201.78062426023638</v>
      </c>
      <c r="CE87" s="59">
        <f t="shared" si="94"/>
        <v>183.0364139873468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15.098411468285185</v>
      </c>
      <c r="CL87" s="21">
        <f>EXP(-LN(2)/25)*CL86+(1-EXP(-LN(2)/25))/(LN(2)/25)*Calculateur!CG87*Calculateur!CI87*VLOOKUP('Données projet'!$B$12,Paramètres!$A$1:$I$89,3,0)*0.475*44/12</f>
        <v>7.6382577662905122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22.736669234575697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2.7846000000000002</v>
      </c>
      <c r="D88" s="11">
        <f t="shared" si="86"/>
        <v>1.1390544670296083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1.5143929521868669</v>
      </c>
      <c r="H88" s="67">
        <f t="shared" si="56"/>
        <v>263.50036486340991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346.2919953121168</v>
      </c>
      <c r="T88" s="59">
        <f t="shared" si="88"/>
        <v>255.63939678041237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147.84256901943453</v>
      </c>
      <c r="AA88" s="21">
        <f>EXP(-LN(2)/25)*AA87+(1-EXP(-LN(2)/25))/(LN(2)/25)*Calculateur!V88*Calculateur!X88*VLOOKUP('Données projet'!$B$9,Paramètres!$A$1:$I$89,3,0)*0.475*44/12</f>
        <v>69.804185208542705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217.64675422797723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298.32148815673816</v>
      </c>
      <c r="AO88" s="59">
        <f t="shared" si="90"/>
        <v>303.51754260758827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82.029754424769564</v>
      </c>
      <c r="AV88" s="21">
        <f>EXP(-LN(2)/25)*AV87+(1-EXP(-LN(2)/25))/(LN(2)/25)*Calculateur!AQ88*Calculateur!AS88*VLOOKUP('Données projet'!$B$10,Paramètres!$A$1:$I$89,3,0)*0.475*44/12</f>
        <v>37.970554011541566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120.00030843631113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5.669999999999999</v>
      </c>
      <c r="BD88" s="12">
        <f>IF('Données projet'!$A$88&gt;35,BD87+BC88-BL87,IF(A88&lt;'Données projet'!$A$88,$BA$205^A88,IF(A88='Données projet'!$A$88,'Données projet'!$B$88,BD87+BC88-BL87)))</f>
        <v>334.10999999999956</v>
      </c>
      <c r="BE88" s="13">
        <f>BD88*VLOOKUP('Données projet'!$B$11,Paramètres!$A$1:$I$89,3,0)*VLOOKUP('Données projet'!$B$11,Paramètres!$A$1:$I$89,5,0)</f>
        <v>191.11091999999974</v>
      </c>
      <c r="BF88" s="13">
        <f t="shared" si="91"/>
        <v>47.785478092704174</v>
      </c>
      <c r="BG88" s="20">
        <f t="shared" si="61"/>
        <v>416.07789334479259</v>
      </c>
      <c r="BH88" s="59">
        <f t="shared" si="62"/>
        <v>709.4112266781259</v>
      </c>
      <c r="BI88" s="59">
        <f ca="1">AVERAGE(OFFSET($BH$3,0,0,'Données projet'!$E$11+1,1))-AVERAGE(OFFSET($H$3,0,0,'Données projet'!$E$11+1,1))</f>
        <v>287.9055604128643</v>
      </c>
      <c r="BJ88" s="59">
        <f t="shared" si="92"/>
        <v>197.74605993031139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32.56884955147207</v>
      </c>
      <c r="BQ88" s="21">
        <f>EXP(-LN(2)/25)*BQ87+(1-EXP(-LN(2)/25))/(LN(2)/25)*Calculateur!BL88*Calculateur!BN88*VLOOKUP('Données projet'!$B$11,Paramètres!$A$1:$I$89,3,0)*0.475*44/12</f>
        <v>22.100002487830182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54.668852039302251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135.25641025641025</v>
      </c>
      <c r="BW88" s="12">
        <f>VLOOKUP(A88,'Données projet'!$A$113:$I$133,9,0)</f>
        <v>1.7948717948717898</v>
      </c>
      <c r="BX88" s="12">
        <f t="array" ref="BX88">INDEX(BW:BW,MIN(IF(ISNUMBER(BW88:BW284),ROW(BW88:BW284),"")))</f>
        <v>1.7948717948717898</v>
      </c>
      <c r="BY88" s="12">
        <f>IF('Données projet'!$A$114&gt;35,BY87+BX88-CG87,IF(A88&lt;'Données projet'!$A$114,$BV$205^A88,IF(A88='Données projet'!$A$114,'Données projet'!$B$114,BY87+BX88-CG87)))</f>
        <v>135.25641025641019</v>
      </c>
      <c r="BZ88" s="13">
        <f>BY88*VLOOKUP('Données projet'!$B$12,Paramètres!$A$1:$I$89,3,0)*VLOOKUP('Données projet'!$B$12,Paramètres!$A$1:$I$89,5,0)</f>
        <v>118.15999999999995</v>
      </c>
      <c r="CA88" s="13">
        <f t="shared" si="93"/>
        <v>31.245464333923785</v>
      </c>
      <c r="CB88" s="20">
        <f t="shared" si="64"/>
        <v>260.21451704825046</v>
      </c>
      <c r="CC88" s="59">
        <f t="shared" si="65"/>
        <v>553.54785038158377</v>
      </c>
      <c r="CD88" s="59">
        <f ca="1">AVERAGE(OFFSET($CC$3,0,0,'Données projet'!$E$12+1,1))-AVERAGE(OFFSET($H$3,0,0,'Données projet'!$E$12+1,1))</f>
        <v>201.78062426023638</v>
      </c>
      <c r="CE88" s="59">
        <f t="shared" si="94"/>
        <v>183.0364139873468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6.4102564102564097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0.129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16.399524432862989</v>
      </c>
      <c r="CL88" s="21">
        <f>EXP(-LN(2)/25)*CL87+(1-EXP(-LN(2)/25))/(LN(2)/25)*Calculateur!CG88*Calculateur!CI88*VLOOKUP('Données projet'!$B$12,Paramètres!$A$1:$I$89,3,0)*0.475*44/12</f>
        <v>8.2248366479548896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24.624361080817877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2.8173600000000003</v>
      </c>
      <c r="D89" s="11">
        <f t="shared" si="86"/>
        <v>1.1508872010362257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1.5316041828560873</v>
      </c>
      <c r="H89" s="67">
        <f t="shared" si="56"/>
        <v>263.57803054180476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346.2919953121168</v>
      </c>
      <c r="T89" s="59">
        <f t="shared" si="88"/>
        <v>255.63939678041237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144.94346641602647</v>
      </c>
      <c r="AA89" s="21">
        <f>EXP(-LN(2)/25)*AA88+(1-EXP(-LN(2)/25))/(LN(2)/25)*Calculateur!V89*Calculateur!X89*VLOOKUP('Données projet'!$B$9,Paramètres!$A$1:$I$89,3,0)*0.475*44/12</f>
        <v>67.895386093172547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212.838852509199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298.32148815673816</v>
      </c>
      <c r="AO89" s="59">
        <f t="shared" si="90"/>
        <v>303.51754260758827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80.421200973709659</v>
      </c>
      <c r="AV89" s="21">
        <f>EXP(-LN(2)/25)*AV88+(1-EXP(-LN(2)/25))/(LN(2)/25)*Calculateur!AQ89*Calculateur!AS89*VLOOKUP('Données projet'!$B$10,Paramètres!$A$1:$I$89,3,0)*0.475*44/12</f>
        <v>36.932247215311307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117.35344818902097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5.669999999999999</v>
      </c>
      <c r="BD89" s="12">
        <f>IF('Données projet'!$A$88&gt;35,BD88+BC89-BL88,IF(A89&lt;'Données projet'!$A$88,$BA$205^A89,IF(A89='Données projet'!$A$88,'Données projet'!$B$88,BD88+BC89-BL88)))</f>
        <v>339.77999999999957</v>
      </c>
      <c r="BE89" s="13">
        <f>BD89*VLOOKUP('Données projet'!$B$11,Paramètres!$A$1:$I$89,3,0)*VLOOKUP('Données projet'!$B$11,Paramètres!$A$1:$I$89,5,0)</f>
        <v>194.35415999999978</v>
      </c>
      <c r="BF89" s="13">
        <f t="shared" si="91"/>
        <v>48.501322701312205</v>
      </c>
      <c r="BG89" s="20">
        <f t="shared" si="61"/>
        <v>422.97329903811834</v>
      </c>
      <c r="BH89" s="59">
        <f t="shared" si="62"/>
        <v>716.30663237145166</v>
      </c>
      <c r="BI89" s="59">
        <f ca="1">AVERAGE(OFFSET($BH$3,0,0,'Données projet'!$E$11+1,1))-AVERAGE(OFFSET($H$3,0,0,'Données projet'!$E$11+1,1))</f>
        <v>287.9055604128643</v>
      </c>
      <c r="BJ89" s="59">
        <f t="shared" si="92"/>
        <v>197.74605993031139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31.930194276804421</v>
      </c>
      <c r="BQ89" s="21">
        <f>EXP(-LN(2)/25)*BQ88+(1-EXP(-LN(2)/25))/(LN(2)/25)*Calculateur!BL89*Calculateur!BN89*VLOOKUP('Données projet'!$B$11,Paramètres!$A$1:$I$89,3,0)*0.475*44/12</f>
        <v>21.495676757611843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53.425871034416261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1.7948717948717956</v>
      </c>
      <c r="BY89" s="12">
        <f>IF('Données projet'!$A$114&gt;35,BY88+BX89-CG88,IF(A89&lt;'Données projet'!$A$114,$BV$205^A89,IF(A89='Données projet'!$A$114,'Données projet'!$B$114,BY88+BX89-CG88)))</f>
        <v>130.64102564102558</v>
      </c>
      <c r="BZ89" s="13">
        <f>BY89*VLOOKUP('Données projet'!$B$12,Paramètres!$A$1:$I$89,3,0)*VLOOKUP('Données projet'!$B$12,Paramètres!$A$1:$I$89,5,0)</f>
        <v>114.12799999999996</v>
      </c>
      <c r="CA89" s="13">
        <f t="shared" si="93"/>
        <v>30.301478439970456</v>
      </c>
      <c r="CB89" s="20">
        <f t="shared" si="64"/>
        <v>251.54800828294844</v>
      </c>
      <c r="CC89" s="59">
        <f t="shared" si="65"/>
        <v>544.88134161628182</v>
      </c>
      <c r="CD89" s="59">
        <f ca="1">AVERAGE(OFFSET($CC$3,0,0,'Données projet'!$E$12+1,1))-AVERAGE(OFFSET($H$3,0,0,'Données projet'!$E$12+1,1))</f>
        <v>201.78062426023638</v>
      </c>
      <c r="CE89" s="59">
        <f t="shared" si="94"/>
        <v>183.0364139873468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16.077939761456765</v>
      </c>
      <c r="CL89" s="21">
        <f>EXP(-LN(2)/25)*CL88+(1-EXP(-LN(2)/25))/(LN(2)/25)*Calculateur!CG89*Calculateur!CI89*VLOOKUP('Données projet'!$B$12,Paramètres!$A$1:$I$89,3,0)*0.475*44/12</f>
        <v>7.9999280572912017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24.077867818747968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2.8501200000000004</v>
      </c>
      <c r="D90" s="11">
        <f t="shared" si="86"/>
        <v>1.1627039300270281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1.5488092361507835</v>
      </c>
      <c r="H90" s="67">
        <f t="shared" si="56"/>
        <v>263.65566834479711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346.2919953121168</v>
      </c>
      <c r="T90" s="59">
        <f t="shared" si="88"/>
        <v>255.63939678041237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142.10121344639325</v>
      </c>
      <c r="AA90" s="21">
        <f>EXP(-LN(2)/25)*AA89+(1-EXP(-LN(2)/25))/(LN(2)/25)*Calculateur!V90*Calculateur!X90*VLOOKUP('Données projet'!$B$9,Paramètres!$A$1:$I$89,3,0)*0.475*44/12</f>
        <v>66.038783189991562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208.13999663638481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298.32148815673816</v>
      </c>
      <c r="AO90" s="59">
        <f t="shared" si="90"/>
        <v>303.51754260758827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78.844190274704317</v>
      </c>
      <c r="AV90" s="21">
        <f>EXP(-LN(2)/25)*AV89+(1-EXP(-LN(2)/25))/(LN(2)/25)*Calculateur!AQ90*Calculateur!AS90*VLOOKUP('Données projet'!$B$10,Paramètres!$A$1:$I$89,3,0)*0.475*44/12</f>
        <v>35.922332973026151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114.76652324773048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5.669999999999999</v>
      </c>
      <c r="BD90" s="12">
        <f>IF('Données projet'!$A$88&gt;35,BD89+BC90-BL89,IF(A90&lt;'Données projet'!$A$88,$BA$205^A90,IF(A90='Données projet'!$A$88,'Données projet'!$B$88,BD89+BC90-BL89)))</f>
        <v>345.44999999999959</v>
      </c>
      <c r="BE90" s="13">
        <f>BD90*VLOOKUP('Données projet'!$B$11,Paramètres!$A$1:$I$89,3,0)*VLOOKUP('Données projet'!$B$11,Paramètres!$A$1:$I$89,5,0)</f>
        <v>197.59739999999977</v>
      </c>
      <c r="BF90" s="13">
        <f t="shared" si="91"/>
        <v>49.215778136139598</v>
      </c>
      <c r="BG90" s="20">
        <f t="shared" si="61"/>
        <v>429.86628525377608</v>
      </c>
      <c r="BH90" s="59">
        <f t="shared" si="62"/>
        <v>723.1996185871094</v>
      </c>
      <c r="BI90" s="59">
        <f ca="1">AVERAGE(OFFSET($BH$3,0,0,'Données projet'!$E$11+1,1))-AVERAGE(OFFSET($H$3,0,0,'Données projet'!$E$11+1,1))</f>
        <v>287.9055604128643</v>
      </c>
      <c r="BJ90" s="59">
        <f t="shared" si="92"/>
        <v>197.74605993031139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31.304062642531751</v>
      </c>
      <c r="BQ90" s="21">
        <f>EXP(-LN(2)/25)*BQ89+(1-EXP(-LN(2)/25))/(LN(2)/25)*Calculateur!BL90*Calculateur!BN90*VLOOKUP('Données projet'!$B$11,Paramètres!$A$1:$I$89,3,0)*0.475*44/12</f>
        <v>20.907876346266434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52.211938988798181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1.7948717948717956</v>
      </c>
      <c r="BY90" s="12">
        <f>IF('Données projet'!$A$114&gt;35,BY89+BX90-CG89,IF(A90&lt;'Données projet'!$A$114,$BV$205^A90,IF(A90='Données projet'!$A$114,'Données projet'!$B$114,BY89+BX90-CG89)))</f>
        <v>132.43589743589737</v>
      </c>
      <c r="BZ90" s="13">
        <f>BY90*VLOOKUP('Données projet'!$B$12,Paramètres!$A$1:$I$89,3,0)*VLOOKUP('Données projet'!$B$12,Paramètres!$A$1:$I$89,5,0)</f>
        <v>115.69599999999996</v>
      </c>
      <c r="CA90" s="13">
        <f t="shared" si="93"/>
        <v>30.669038012373807</v>
      </c>
      <c r="CB90" s="20">
        <f t="shared" si="64"/>
        <v>254.91910787155098</v>
      </c>
      <c r="CC90" s="59">
        <f t="shared" si="65"/>
        <v>548.25244120488424</v>
      </c>
      <c r="CD90" s="59">
        <f ca="1">AVERAGE(OFFSET($CC$3,0,0,'Données projet'!$E$12+1,1))-AVERAGE(OFFSET($H$3,0,0,'Données projet'!$E$12+1,1))</f>
        <v>201.78062426023638</v>
      </c>
      <c r="CE90" s="59">
        <f t="shared" si="94"/>
        <v>183.0364139873468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15.762661169309533</v>
      </c>
      <c r="CL90" s="21">
        <f>EXP(-LN(2)/25)*CL89+(1-EXP(-LN(2)/25))/(LN(2)/25)*Calculateur!CG90*Calculateur!CI90*VLOOKUP('Données projet'!$B$12,Paramètres!$A$1:$I$89,3,0)*0.475*44/12</f>
        <v>7.7811696038666414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23.543830773176175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2.8828800000000006</v>
      </c>
      <c r="D91" s="11">
        <f t="shared" si="86"/>
        <v>1.1745048592530778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1.5660081912906623</v>
      </c>
      <c r="H91" s="67">
        <f t="shared" si="56"/>
        <v>263.73327862986582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346.2919953121168</v>
      </c>
      <c r="T91" s="59">
        <f t="shared" si="88"/>
        <v>255.63939678041237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139.31469532389141</v>
      </c>
      <c r="AA91" s="21">
        <f>EXP(-LN(2)/25)*AA90+(1-EXP(-LN(2)/25))/(LN(2)/25)*Calculateur!V91*Calculateur!X91*VLOOKUP('Données projet'!$B$9,Paramètres!$A$1:$I$89,3,0)*0.475*44/12</f>
        <v>64.232949190832571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203.54764451472397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298.32148815673816</v>
      </c>
      <c r="AO91" s="59">
        <f t="shared" si="90"/>
        <v>303.51754260758827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77.298103793624918</v>
      </c>
      <c r="AV91" s="21">
        <f>EXP(-LN(2)/25)*AV90+(1-EXP(-LN(2)/25))/(LN(2)/25)*Calculateur!AQ91*Calculateur!AS91*VLOOKUP('Données projet'!$B$10,Paramètres!$A$1:$I$89,3,0)*0.475*44/12</f>
        <v>34.940034888805364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112.23813868243028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5.669999999999999</v>
      </c>
      <c r="BD91" s="12">
        <f>IF('Données projet'!$A$88&gt;35,BD90+BC91-BL90,IF(A91&lt;'Données projet'!$A$88,$BA$205^A91,IF(A91='Données projet'!$A$88,'Données projet'!$B$88,BD90+BC91-BL90)))</f>
        <v>351.11999999999961</v>
      </c>
      <c r="BE91" s="13">
        <f>BD91*VLOOKUP('Données projet'!$B$11,Paramètres!$A$1:$I$89,3,0)*VLOOKUP('Données projet'!$B$11,Paramètres!$A$1:$I$89,5,0)</f>
        <v>200.84063999999978</v>
      </c>
      <c r="BF91" s="13">
        <f t="shared" si="91"/>
        <v>49.928869830254925</v>
      </c>
      <c r="BG91" s="20">
        <f t="shared" si="61"/>
        <v>436.75689628769368</v>
      </c>
      <c r="BH91" s="59">
        <f t="shared" si="62"/>
        <v>730.09022962102699</v>
      </c>
      <c r="BI91" s="59">
        <f ca="1">AVERAGE(OFFSET($BH$3,0,0,'Données projet'!$E$11+1,1))-AVERAGE(OFFSET($H$3,0,0,'Données projet'!$E$11+1,1))</f>
        <v>287.9055604128643</v>
      </c>
      <c r="BJ91" s="59">
        <f t="shared" si="92"/>
        <v>197.74605993031139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30.690209067704579</v>
      </c>
      <c r="BQ91" s="21">
        <f>EXP(-LN(2)/25)*BQ90+(1-EXP(-LN(2)/25))/(LN(2)/25)*Calculateur!BL91*Calculateur!BN91*VLOOKUP('Données projet'!$B$11,Paramètres!$A$1:$I$89,3,0)*0.475*44/12</f>
        <v>20.336149368080346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51.026358435784928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1.7948717948717956</v>
      </c>
      <c r="BY91" s="12">
        <f>IF('Données projet'!$A$114&gt;35,BY90+BX91-CG90,IF(A91&lt;'Données projet'!$A$114,$BV$205^A91,IF(A91='Données projet'!$A$114,'Données projet'!$B$114,BY90+BX91-CG90)))</f>
        <v>134.23076923076917</v>
      </c>
      <c r="BZ91" s="13">
        <f>BY91*VLOOKUP('Données projet'!$B$12,Paramètres!$A$1:$I$89,3,0)*VLOOKUP('Données projet'!$B$12,Paramètres!$A$1:$I$89,5,0)</f>
        <v>117.26399999999995</v>
      </c>
      <c r="CA91" s="13">
        <f t="shared" si="93"/>
        <v>31.03601818279456</v>
      </c>
      <c r="CB91" s="20">
        <f t="shared" si="64"/>
        <v>258.28919833503375</v>
      </c>
      <c r="CC91" s="59">
        <f t="shared" si="65"/>
        <v>551.62253166836706</v>
      </c>
      <c r="CD91" s="59">
        <f ca="1">AVERAGE(OFFSET($CC$3,0,0,'Données projet'!$E$12+1,1))-AVERAGE(OFFSET($H$3,0,0,'Données projet'!$E$12+1,1))</f>
        <v>201.78062426023638</v>
      </c>
      <c r="CE91" s="59">
        <f t="shared" si="94"/>
        <v>183.0364139873468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15.453564998053356</v>
      </c>
      <c r="CL91" s="21">
        <f>EXP(-LN(2)/25)*CL90+(1-EXP(-LN(2)/25))/(LN(2)/25)*Calculateur!CG91*Calculateur!CI91*VLOOKUP('Données projet'!$B$12,Paramètres!$A$1:$I$89,3,0)*0.475*44/12</f>
        <v>7.5683931118549825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23.02195810990834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2.9156400000000007</v>
      </c>
      <c r="D92" s="11">
        <f t="shared" si="86"/>
        <v>1.1862901890320952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1.5832011255913356</v>
      </c>
      <c r="H92" s="67">
        <f t="shared" si="56"/>
        <v>263.81086174589757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346.2919953121168</v>
      </c>
      <c r="T92" s="59">
        <f t="shared" si="88"/>
        <v>255.63939678041237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136.58281912216361</v>
      </c>
      <c r="AA92" s="21">
        <f>EXP(-LN(2)/25)*AA91+(1-EXP(-LN(2)/25))/(LN(2)/25)*Calculateur!V92*Calculateur!X92*VLOOKUP('Données projet'!$B$9,Paramètres!$A$1:$I$89,3,0)*0.475*44/12</f>
        <v>62.47649581734526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199.05931493950888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298.32148815673816</v>
      </c>
      <c r="AO92" s="59">
        <f t="shared" si="90"/>
        <v>303.51754260758827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75.782335125419849</v>
      </c>
      <c r="AV92" s="21">
        <f>EXP(-LN(2)/25)*AV91+(1-EXP(-LN(2)/25))/(LN(2)/25)*Calculateur!AQ92*Calculateur!AS92*VLOOKUP('Données projet'!$B$10,Paramètres!$A$1:$I$89,3,0)*0.475*44/12</f>
        <v>33.984597797354404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109.76693292277426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5.669999999999999</v>
      </c>
      <c r="BD92" s="12">
        <f>IF('Données projet'!$A$88&gt;35,BD91+BC92-BL91,IF(A92&lt;'Données projet'!$A$88,$BA$205^A92,IF(A92='Données projet'!$A$88,'Données projet'!$B$88,BD91+BC92-BL91)))</f>
        <v>356.78999999999962</v>
      </c>
      <c r="BE92" s="13">
        <f>BD92*VLOOKUP('Données projet'!$B$11,Paramètres!$A$1:$I$89,3,0)*VLOOKUP('Données projet'!$B$11,Paramètres!$A$1:$I$89,5,0)</f>
        <v>204.08387999999979</v>
      </c>
      <c r="BF92" s="13">
        <f t="shared" si="91"/>
        <v>50.640622348221697</v>
      </c>
      <c r="BG92" s="20">
        <f t="shared" si="61"/>
        <v>443.64517492315241</v>
      </c>
      <c r="BH92" s="59">
        <f t="shared" si="62"/>
        <v>736.97850825648572</v>
      </c>
      <c r="BI92" s="59">
        <f ca="1">AVERAGE(OFFSET($BH$3,0,0,'Données projet'!$E$11+1,1))-AVERAGE(OFFSET($H$3,0,0,'Données projet'!$E$11+1,1))</f>
        <v>287.9055604128643</v>
      </c>
      <c r="BJ92" s="59">
        <f t="shared" si="92"/>
        <v>197.74605993031139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30.088392787066059</v>
      </c>
      <c r="BQ92" s="21">
        <f>EXP(-LN(2)/25)*BQ91+(1-EXP(-LN(2)/25))/(LN(2)/25)*Calculateur!BL92*Calculateur!BN92*VLOOKUP('Données projet'!$B$11,Paramètres!$A$1:$I$89,3,0)*0.475*44/12</f>
        <v>19.780056294178571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49.868449081244634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1.7948717948717956</v>
      </c>
      <c r="BY92" s="12">
        <f>IF('Données projet'!$A$114&gt;35,BY91+BX92-CG91,IF(A92&lt;'Données projet'!$A$114,$BV$205^A92,IF(A92='Données projet'!$A$114,'Données projet'!$B$114,BY91+BX92-CG91)))</f>
        <v>136.02564102564097</v>
      </c>
      <c r="BZ92" s="13">
        <f>BY92*VLOOKUP('Données projet'!$B$12,Paramètres!$A$1:$I$89,3,0)*VLOOKUP('Données projet'!$B$12,Paramètres!$A$1:$I$89,5,0)</f>
        <v>118.83199999999997</v>
      </c>
      <c r="CA92" s="13">
        <f t="shared" si="93"/>
        <v>31.402427594327239</v>
      </c>
      <c r="CB92" s="20">
        <f t="shared" si="64"/>
        <v>261.65829472678655</v>
      </c>
      <c r="CC92" s="59">
        <f t="shared" si="65"/>
        <v>554.99162806011987</v>
      </c>
      <c r="CD92" s="59">
        <f ca="1">AVERAGE(OFFSET($CC$3,0,0,'Données projet'!$E$12+1,1))-AVERAGE(OFFSET($H$3,0,0,'Données projet'!$E$12+1,1))</f>
        <v>201.78062426023638</v>
      </c>
      <c r="CE92" s="59">
        <f t="shared" si="94"/>
        <v>183.0364139873468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15.150530014185463</v>
      </c>
      <c r="CL92" s="21">
        <f>EXP(-LN(2)/25)*CL91+(1-EXP(-LN(2)/25))/(LN(2)/25)*Calculateur!CG92*Calculateur!CI92*VLOOKUP('Données projet'!$B$12,Paramètres!$A$1:$I$89,3,0)*0.475*44/12</f>
        <v>7.361435004206812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22.511965018392274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2.9484000000000008</v>
      </c>
      <c r="D93" s="11">
        <f t="shared" si="86"/>
        <v>1.1980601149211072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1.6003881145309544</v>
      </c>
      <c r="H93" s="67">
        <f t="shared" si="56"/>
        <v>263.8884180334876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346.2919953121168</v>
      </c>
      <c r="T93" s="59">
        <f t="shared" si="88"/>
        <v>255.63939678041237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133.90451334647173</v>
      </c>
      <c r="AA93" s="21">
        <f>EXP(-LN(2)/25)*AA92+(1-EXP(-LN(2)/25))/(LN(2)/25)*Calculateur!V93*Calculateur!X93*VLOOKUP('Données projet'!$B$9,Paramètres!$A$1:$I$89,3,0)*0.475*44/12</f>
        <v>60.768072753723828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194.67258610019556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298.32148815673816</v>
      </c>
      <c r="AO93" s="59">
        <f t="shared" si="90"/>
        <v>303.51754260758827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74.296289756270681</v>
      </c>
      <c r="AV93" s="21">
        <f>EXP(-LN(2)/25)*AV92+(1-EXP(-LN(2)/25))/(LN(2)/25)*Calculateur!AQ93*Calculateur!AS93*VLOOKUP('Données projet'!$B$10,Paramètres!$A$1:$I$89,3,0)*0.475*44/12</f>
        <v>33.055287183413419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107.35157693968409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362.46</v>
      </c>
      <c r="BB93" s="12">
        <f>VLOOKUP(A93,'Données projet'!$A$87:$I$107,9,0)</f>
        <v>5.669999999999999</v>
      </c>
      <c r="BC93" s="12">
        <f t="array" ref="BC93">INDEX(BB:BB,MIN(IF(ISNUMBER(BB93:BB289),ROW(BB93:BB289),"")))</f>
        <v>5.669999999999999</v>
      </c>
      <c r="BD93" s="12">
        <f>IF('Données projet'!$A$88&gt;35,BD92+BC93-BL92,IF(A93&lt;'Données projet'!$A$88,$BA$205^A93,IF(A93='Données projet'!$A$88,'Données projet'!$B$88,BD92+BC93-BL92)))</f>
        <v>362.45999999999964</v>
      </c>
      <c r="BE93" s="13">
        <f>BD93*VLOOKUP('Données projet'!$B$11,Paramètres!$A$1:$I$89,3,0)*VLOOKUP('Données projet'!$B$11,Paramètres!$A$1:$I$89,5,0)</f>
        <v>207.32711999999981</v>
      </c>
      <c r="BF93" s="13">
        <f t="shared" si="91"/>
        <v>51.351059429078639</v>
      </c>
      <c r="BG93" s="20">
        <f t="shared" si="61"/>
        <v>450.53116250564494</v>
      </c>
      <c r="BH93" s="59">
        <f t="shared" si="62"/>
        <v>743.8644958389782</v>
      </c>
      <c r="BI93" s="59">
        <f ca="1">AVERAGE(OFFSET($BH$3,0,0,'Données projet'!$E$11+1,1))-AVERAGE(OFFSET($H$3,0,0,'Données projet'!$E$11+1,1))</f>
        <v>287.9055604128643</v>
      </c>
      <c r="BJ93" s="59">
        <f t="shared" si="92"/>
        <v>197.74605993031139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40.51</v>
      </c>
      <c r="BM93" s="16">
        <f>IF(ISNA(VLOOKUP(A93,'Données projet'!$A$87:$I$107,5,0)),0%,VLOOKUP(A93,'Données projet'!$A$87:$I$107,5,0)*VLOOKUP('Données projet'!$B$11,Paramètres!$A$1:$I$89,7,0))</f>
        <v>0.315</v>
      </c>
      <c r="BN93" s="16">
        <f>IF(ISNA(VLOOKUP(A93,'Données projet'!$A$87:$I$107,6,0)),0%,VLOOKUP(A93,'Données projet'!$A$87:$I$107,6,0)*VLOOKUP('Données projet'!$B$11,Paramètres!$A$1:$I$89,7,0))</f>
        <v>0.13500000000000001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39.181093495489385</v>
      </c>
      <c r="BQ93" s="21">
        <f>EXP(-LN(2)/25)*BQ92+(1-EXP(-LN(2)/25))/(LN(2)/25)*Calculateur!BL93*Calculateur!BN93*VLOOKUP('Données projet'!$B$11,Paramètres!$A$1:$I$89,3,0)*0.475*44/12</f>
        <v>23.372565842170165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62.553659337659553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137.82051282051282</v>
      </c>
      <c r="BW93" s="12">
        <f>VLOOKUP(A93,'Données projet'!$A$113:$I$133,9,0)</f>
        <v>1.7948717948717956</v>
      </c>
      <c r="BX93" s="12">
        <f t="array" ref="BX93">INDEX(BW:BW,MIN(IF(ISNUMBER(BW93:BW289),ROW(BW93:BW289),"")))</f>
        <v>1.7948717948717956</v>
      </c>
      <c r="BY93" s="12">
        <f>IF('Données projet'!$A$114&gt;35,BY92+BX93-CG92,IF(A93&lt;'Données projet'!$A$114,$BV$205^A93,IF(A93='Données projet'!$A$114,'Données projet'!$B$114,BY92+BX93-CG92)))</f>
        <v>137.82051282051276</v>
      </c>
      <c r="BZ93" s="13">
        <f>BY93*VLOOKUP('Données projet'!$B$12,Paramètres!$A$1:$I$89,3,0)*VLOOKUP('Données projet'!$B$12,Paramètres!$A$1:$I$89,5,0)</f>
        <v>120.39999999999996</v>
      </c>
      <c r="CA93" s="13">
        <f t="shared" si="93"/>
        <v>31.768274648862857</v>
      </c>
      <c r="CB93" s="20">
        <f t="shared" si="64"/>
        <v>265.02641168010274</v>
      </c>
      <c r="CC93" s="59">
        <f t="shared" si="65"/>
        <v>558.35974501343605</v>
      </c>
      <c r="CD93" s="59">
        <f ca="1">AVERAGE(OFFSET($CC$3,0,0,'Données projet'!$E$12+1,1))-AVERAGE(OFFSET($H$3,0,0,'Données projet'!$E$12+1,1))</f>
        <v>201.78062426023638</v>
      </c>
      <c r="CE93" s="59">
        <f t="shared" si="94"/>
        <v>183.0364139873468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6.4102564102564097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0.129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16.450620965867337</v>
      </c>
      <c r="CL93" s="21">
        <f>EXP(-LN(2)/25)*CL92+(1-EXP(-LN(2)/25))/(LN(2)/25)*Calculateur!CG93*Calculateur!CI93*VLOOKUP('Données projet'!$B$12,Paramètres!$A$1:$I$89,3,0)*0.475*44/12</f>
        <v>7.9555836188578439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24.406204584725181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2.9811600000000009</v>
      </c>
      <c r="D94" s="11">
        <f t="shared" si="86"/>
        <v>1.2098148278811995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1.6175692318137969</v>
      </c>
      <c r="H94" s="67">
        <f t="shared" si="56"/>
        <v>263.96594782522646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346.2919953121168</v>
      </c>
      <c r="T94" s="59">
        <f t="shared" si="88"/>
        <v>255.63939678041237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131.27872751343597</v>
      </c>
      <c r="AA94" s="21">
        <f>EXP(-LN(2)/25)*AA93+(1-EXP(-LN(2)/25))/(LN(2)/25)*Calculateur!V94*Calculateur!X94*VLOOKUP('Données projet'!$B$9,Paramètres!$A$1:$I$89,3,0)*0.475*44/12</f>
        <v>59.10636660861919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190.38509412205516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298.32148815673816</v>
      </c>
      <c r="AO94" s="59">
        <f t="shared" si="90"/>
        <v>303.51754260758827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72.839384830412357</v>
      </c>
      <c r="AV94" s="21">
        <f>EXP(-LN(2)/25)*AV93+(1-EXP(-LN(2)/25))/(LN(2)/25)*Calculateur!AQ94*Calculateur!AS94*VLOOKUP('Données projet'!$B$10,Paramètres!$A$1:$I$89,3,0)*0.475*44/12</f>
        <v>32.151388617080976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104.99077344749332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4.9040000000000017</v>
      </c>
      <c r="BD94" s="12">
        <f>IF('Données projet'!$A$88&gt;35,BD93+BC94-BL93,IF(A94&lt;'Données projet'!$A$88,$BA$205^A94,IF(A94='Données projet'!$A$88,'Données projet'!$B$88,BD93+BC94-BL93)))</f>
        <v>326.85399999999964</v>
      </c>
      <c r="BE94" s="13">
        <f>BD94*VLOOKUP('Données projet'!$B$11,Paramètres!$A$1:$I$89,3,0)*VLOOKUP('Données projet'!$B$11,Paramètres!$A$1:$I$89,5,0)</f>
        <v>186.9604879999998</v>
      </c>
      <c r="BF94" s="13">
        <f t="shared" si="91"/>
        <v>46.867330487782262</v>
      </c>
      <c r="BG94" s="20">
        <f t="shared" si="61"/>
        <v>407.2501171995537</v>
      </c>
      <c r="BH94" s="59">
        <f t="shared" si="62"/>
        <v>700.58345053288701</v>
      </c>
      <c r="BI94" s="59">
        <f ca="1">AVERAGE(OFFSET($BH$3,0,0,'Données projet'!$E$11+1,1))-AVERAGE(OFFSET($H$3,0,0,'Données projet'!$E$11+1,1))</f>
        <v>287.9055604128643</v>
      </c>
      <c r="BJ94" s="59">
        <f t="shared" si="92"/>
        <v>197.74605993031139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38.41277615015013</v>
      </c>
      <c r="BQ94" s="21">
        <f>EXP(-LN(2)/25)*BQ93+(1-EXP(-LN(2)/25))/(LN(2)/25)*Calculateur!BL94*Calculateur!BN94*VLOOKUP('Données projet'!$B$11,Paramètres!$A$1:$I$89,3,0)*0.475*44/12</f>
        <v>22.733441800106203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61.146217950256329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1.7948717948717956</v>
      </c>
      <c r="BY94" s="12">
        <f>IF('Données projet'!$A$114&gt;35,BY93+BX94-CG93,IF(A94&lt;'Données projet'!$A$114,$BV$205^A94,IF(A94='Données projet'!$A$114,'Données projet'!$B$114,BY93+BX94-CG93)))</f>
        <v>133.20512820512815</v>
      </c>
      <c r="BZ94" s="13">
        <f>BY94*VLOOKUP('Données projet'!$B$12,Paramètres!$A$1:$I$89,3,0)*VLOOKUP('Données projet'!$B$12,Paramètres!$A$1:$I$89,5,0)</f>
        <v>116.36799999999995</v>
      </c>
      <c r="CA94" s="13">
        <f t="shared" si="93"/>
        <v>30.826385665835112</v>
      </c>
      <c r="CB94" s="20">
        <f t="shared" si="64"/>
        <v>256.36355503466274</v>
      </c>
      <c r="CC94" s="59">
        <f t="shared" si="65"/>
        <v>549.69688836799605</v>
      </c>
      <c r="CD94" s="59">
        <f ca="1">AVERAGE(OFFSET($CC$3,0,0,'Données projet'!$E$12+1,1))-AVERAGE(OFFSET($H$3,0,0,'Données projet'!$E$12+1,1))</f>
        <v>201.78062426023638</v>
      </c>
      <c r="CE94" s="59">
        <f t="shared" si="94"/>
        <v>183.0364139873468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16.128034322614702</v>
      </c>
      <c r="CL94" s="21">
        <f>EXP(-LN(2)/25)*CL93+(1-EXP(-LN(2)/25))/(LN(2)/25)*Calculateur!CG94*Calculateur!CI94*VLOOKUP('Données projet'!$B$12,Paramètres!$A$1:$I$89,3,0)*0.475*44/12</f>
        <v>7.7380377664342168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23.86607208904892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3.013920000000001</v>
      </c>
      <c r="D95" s="11">
        <f t="shared" si="86"/>
        <v>1.2215545144348228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1.6347445494309847</v>
      </c>
      <c r="H95" s="67">
        <f t="shared" si="56"/>
        <v>264.04345144597403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346.2919953121168</v>
      </c>
      <c r="T95" s="59">
        <f t="shared" si="88"/>
        <v>255.63939678041237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128.70443173901481</v>
      </c>
      <c r="AA95" s="21">
        <f>EXP(-LN(2)/25)*AA94+(1-EXP(-LN(2)/25))/(LN(2)/25)*Calculateur!V95*Calculateur!X95*VLOOKUP('Données projet'!$B$9,Paramètres!$A$1:$I$89,3,0)*0.475*44/12</f>
        <v>57.490099905437766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186.19453164445258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298.32148815673816</v>
      </c>
      <c r="AO95" s="59">
        <f t="shared" si="90"/>
        <v>303.51754260758827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71.411048921525847</v>
      </c>
      <c r="AV95" s="21">
        <f>EXP(-LN(2)/25)*AV94+(1-EXP(-LN(2)/25))/(LN(2)/25)*Calculateur!AQ95*Calculateur!AS95*VLOOKUP('Données projet'!$B$10,Paramètres!$A$1:$I$89,3,0)*0.475*44/12</f>
        <v>31.272207204578852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102.68325612610469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4.9040000000000017</v>
      </c>
      <c r="BD95" s="12">
        <f>IF('Données projet'!$A$88&gt;35,BD94+BC95-BL94,IF(A95&lt;'Données projet'!$A$88,$BA$205^A95,IF(A95='Données projet'!$A$88,'Données projet'!$B$88,BD94+BC95-BL94)))</f>
        <v>331.75799999999964</v>
      </c>
      <c r="BE95" s="13">
        <f>BD95*VLOOKUP('Données projet'!$B$11,Paramètres!$A$1:$I$89,3,0)*VLOOKUP('Données projet'!$B$11,Paramètres!$A$1:$I$89,5,0)</f>
        <v>189.76557599999978</v>
      </c>
      <c r="BF95" s="13">
        <f t="shared" si="91"/>
        <v>47.48812130988005</v>
      </c>
      <c r="BG95" s="20">
        <f t="shared" si="61"/>
        <v>413.21685614804073</v>
      </c>
      <c r="BH95" s="59">
        <f t="shared" si="62"/>
        <v>706.55018948137399</v>
      </c>
      <c r="BI95" s="59">
        <f ca="1">AVERAGE(OFFSET($BH$3,0,0,'Données projet'!$E$11+1,1))-AVERAGE(OFFSET($H$3,0,0,'Données projet'!$E$11+1,1))</f>
        <v>287.9055604128643</v>
      </c>
      <c r="BJ95" s="59">
        <f t="shared" si="92"/>
        <v>197.74605993031139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37.659525039325665</v>
      </c>
      <c r="BQ95" s="21">
        <f>EXP(-LN(2)/25)*BQ94+(1-EXP(-LN(2)/25))/(LN(2)/25)*Calculateur!BL95*Calculateur!BN95*VLOOKUP('Données projet'!$B$11,Paramètres!$A$1:$I$89,3,0)*0.475*44/12</f>
        <v>22.111794638582552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59.771319677908217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1.7948717948717956</v>
      </c>
      <c r="BY95" s="12">
        <f>IF('Données projet'!$A$114&gt;35,BY94+BX95-CG94,IF(A95&lt;'Données projet'!$A$114,$BV$205^A95,IF(A95='Données projet'!$A$114,'Données projet'!$B$114,BY94+BX95-CG94)))</f>
        <v>134.99999999999994</v>
      </c>
      <c r="BZ95" s="13">
        <f>BY95*VLOOKUP('Données projet'!$B$12,Paramètres!$A$1:$I$89,3,0)*VLOOKUP('Données projet'!$B$12,Paramètres!$A$1:$I$89,5,0)</f>
        <v>117.93599999999998</v>
      </c>
      <c r="CA95" s="13">
        <f t="shared" si="93"/>
        <v>31.1931201812605</v>
      </c>
      <c r="CB95" s="20">
        <f t="shared" si="64"/>
        <v>259.73321764902863</v>
      </c>
      <c r="CC95" s="59">
        <f t="shared" si="65"/>
        <v>553.06655098236195</v>
      </c>
      <c r="CD95" s="59">
        <f ca="1">AVERAGE(OFFSET($CC$3,0,0,'Données projet'!$E$12+1,1))-AVERAGE(OFFSET($H$3,0,0,'Données projet'!$E$12+1,1))</f>
        <v>201.78062426023638</v>
      </c>
      <c r="CE95" s="59">
        <f t="shared" si="94"/>
        <v>183.0364139873468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15.81177340667783</v>
      </c>
      <c r="CL95" s="21">
        <f>EXP(-LN(2)/25)*CL94+(1-EXP(-LN(2)/25))/(LN(2)/25)*Calculateur!CG95*Calculateur!CI95*VLOOKUP('Données projet'!$B$12,Paramètres!$A$1:$I$89,3,0)*0.475*44/12</f>
        <v>7.5264407167853529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23.338214123463182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3.0466800000000012</v>
      </c>
      <c r="D96" s="11">
        <f t="shared" si="86"/>
        <v>1.2332793568160618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1.6519141377184807</v>
      </c>
      <c r="H96" s="67">
        <f t="shared" si="56"/>
        <v>264.12092921312131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346.2919953121168</v>
      </c>
      <c r="T96" s="59">
        <f t="shared" si="88"/>
        <v>255.63939678041237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126.18061633456466</v>
      </c>
      <c r="AA96" s="21">
        <f>EXP(-LN(2)/25)*AA95+(1-EXP(-LN(2)/25))/(LN(2)/25)*Calculateur!V96*Calculateur!X96*VLOOKUP('Données projet'!$B$9,Paramètres!$A$1:$I$89,3,0)*0.475*44/12</f>
        <v>55.918030100250611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182.09864643481527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298.32148815673816</v>
      </c>
      <c r="AO96" s="59">
        <f t="shared" si="90"/>
        <v>303.51754260758827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70.010721808613724</v>
      </c>
      <c r="AV96" s="21">
        <f>EXP(-LN(2)/25)*AV95+(1-EXP(-LN(2)/25))/(LN(2)/25)*Calculateur!AQ96*Calculateur!AS96*VLOOKUP('Données projet'!$B$10,Paramètres!$A$1:$I$89,3,0)*0.475*44/12</f>
        <v>30.417067054035741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100.42778886264946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4.9040000000000017</v>
      </c>
      <c r="BD96" s="12">
        <f>IF('Données projet'!$A$88&gt;35,BD95+BC96-BL95,IF(A96&lt;'Données projet'!$A$88,$BA$205^A96,IF(A96='Données projet'!$A$88,'Données projet'!$B$88,BD95+BC96-BL95)))</f>
        <v>336.66199999999964</v>
      </c>
      <c r="BE96" s="13">
        <f>BD96*VLOOKUP('Données projet'!$B$11,Paramètres!$A$1:$I$89,3,0)*VLOOKUP('Données projet'!$B$11,Paramètres!$A$1:$I$89,5,0)</f>
        <v>192.57066399999979</v>
      </c>
      <c r="BF96" s="13">
        <f t="shared" si="91"/>
        <v>48.107844871378816</v>
      </c>
      <c r="BG96" s="20">
        <f t="shared" si="61"/>
        <v>419.18173628431776</v>
      </c>
      <c r="BH96" s="59">
        <f t="shared" si="62"/>
        <v>712.51506961765108</v>
      </c>
      <c r="BI96" s="59">
        <f ca="1">AVERAGE(OFFSET($BH$3,0,0,'Données projet'!$E$11+1,1))-AVERAGE(OFFSET($H$3,0,0,'Données projet'!$E$11+1,1))</f>
        <v>287.9055604128643</v>
      </c>
      <c r="BJ96" s="59">
        <f t="shared" si="92"/>
        <v>197.74605993031139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36.921044723346661</v>
      </c>
      <c r="BQ96" s="21">
        <f>EXP(-LN(2)/25)*BQ95+(1-EXP(-LN(2)/25))/(LN(2)/25)*Calculateur!BL96*Calculateur!BN96*VLOOKUP('Données projet'!$B$11,Paramètres!$A$1:$I$89,3,0)*0.475*44/12</f>
        <v>21.507146451381768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58.428191174728425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1.7948717948717956</v>
      </c>
      <c r="BY96" s="12">
        <f>IF('Données projet'!$A$114&gt;35,BY95+BX96-CG95,IF(A96&lt;'Données projet'!$A$114,$BV$205^A96,IF(A96='Données projet'!$A$114,'Données projet'!$B$114,BY95+BX96-CG95)))</f>
        <v>136.79487179487174</v>
      </c>
      <c r="BZ96" s="13">
        <f>BY96*VLOOKUP('Données projet'!$B$12,Paramètres!$A$1:$I$89,3,0)*VLOOKUP('Données projet'!$B$12,Paramètres!$A$1:$I$89,5,0)</f>
        <v>119.50399999999996</v>
      </c>
      <c r="CA96" s="13">
        <f t="shared" si="93"/>
        <v>31.55928756756072</v>
      </c>
      <c r="CB96" s="20">
        <f t="shared" si="64"/>
        <v>263.10189251350153</v>
      </c>
      <c r="CC96" s="59">
        <f t="shared" si="65"/>
        <v>556.43522584683478</v>
      </c>
      <c r="CD96" s="59">
        <f ca="1">AVERAGE(OFFSET($CC$3,0,0,'Données projet'!$E$12+1,1))-AVERAGE(OFFSET($H$3,0,0,'Données projet'!$E$12+1,1))</f>
        <v>201.78062426023638</v>
      </c>
      <c r="CE96" s="59">
        <f t="shared" si="94"/>
        <v>183.0364139873468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15.501714174402366</v>
      </c>
      <c r="CL96" s="21">
        <f>EXP(-LN(2)/25)*CL95+(1-EXP(-LN(2)/25))/(LN(2)/25)*Calculateur!CG96*Calculateur!CI96*VLOOKUP('Données projet'!$B$12,Paramètres!$A$1:$I$89,3,0)*0.475*44/12</f>
        <v>7.3206297995865421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22.822343973988907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3.0794400000000013</v>
      </c>
      <c r="D97" s="11">
        <f t="shared" si="86"/>
        <v>1.2449895331142593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1.6690780654125217</v>
      </c>
      <c r="H97" s="67">
        <f t="shared" si="56"/>
        <v>264.19838143684069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346.2919953121168</v>
      </c>
      <c r="T97" s="59">
        <f t="shared" si="88"/>
        <v>255.63939678041237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123.70629141082038</v>
      </c>
      <c r="AA97" s="21">
        <f>EXP(-LN(2)/25)*AA96+(1-EXP(-LN(2)/25))/(LN(2)/25)*Calculateur!V97*Calculateur!X97*VLOOKUP('Données projet'!$B$9,Paramètres!$A$1:$I$89,3,0)*0.475*44/12</f>
        <v>54.388948626557855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178.09524003737823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298.32148815673816</v>
      </c>
      <c r="AO97" s="59">
        <f t="shared" si="90"/>
        <v>303.51754260758827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68.637854256270614</v>
      </c>
      <c r="AV97" s="21">
        <f>EXP(-LN(2)/25)*AV96+(1-EXP(-LN(2)/25))/(LN(2)/25)*Calculateur!AQ97*Calculateur!AS97*VLOOKUP('Données projet'!$B$10,Paramètres!$A$1:$I$89,3,0)*0.475*44/12</f>
        <v>29.585310755879096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98.223165012149707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4.9040000000000017</v>
      </c>
      <c r="BD97" s="12">
        <f>IF('Données projet'!$A$88&gt;35,BD96+BC97-BL96,IF(A97&lt;'Données projet'!$A$88,$BA$205^A97,IF(A97='Données projet'!$A$88,'Données projet'!$B$88,BD96+BC97-BL96)))</f>
        <v>341.56599999999963</v>
      </c>
      <c r="BE97" s="13">
        <f>BD97*VLOOKUP('Données projet'!$B$11,Paramètres!$A$1:$I$89,3,0)*VLOOKUP('Données projet'!$B$11,Paramètres!$A$1:$I$89,5,0)</f>
        <v>195.37575199999978</v>
      </c>
      <c r="BF97" s="13">
        <f t="shared" si="91"/>
        <v>48.726518514688898</v>
      </c>
      <c r="BG97" s="20">
        <f t="shared" si="61"/>
        <v>425.14478781308276</v>
      </c>
      <c r="BH97" s="59">
        <f t="shared" si="62"/>
        <v>718.47812114641602</v>
      </c>
      <c r="BI97" s="59">
        <f ca="1">AVERAGE(OFFSET($BH$3,0,0,'Données projet'!$E$11+1,1))-AVERAGE(OFFSET($H$3,0,0,'Données projet'!$E$11+1,1))</f>
        <v>287.9055604128643</v>
      </c>
      <c r="BJ97" s="59">
        <f t="shared" si="92"/>
        <v>197.74605993031139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36.197045555935489</v>
      </c>
      <c r="BQ97" s="21">
        <f>EXP(-LN(2)/25)*BQ96+(1-EXP(-LN(2)/25))/(LN(2)/25)*Calculateur!BL97*Calculateur!BN97*VLOOKUP('Données projet'!$B$11,Paramètres!$A$1:$I$89,3,0)*0.475*44/12</f>
        <v>20.919032400657056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57.116077956592548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1.7948717948717956</v>
      </c>
      <c r="BY97" s="12">
        <f>IF('Données projet'!$A$114&gt;35,BY96+BX97-CG96,IF(A97&lt;'Données projet'!$A$114,$BV$205^A97,IF(A97='Données projet'!$A$114,'Données projet'!$B$114,BY96+BX97-CG96)))</f>
        <v>138.58974358974353</v>
      </c>
      <c r="BZ97" s="13">
        <f>BY97*VLOOKUP('Données projet'!$B$12,Paramètres!$A$1:$I$89,3,0)*VLOOKUP('Données projet'!$B$12,Paramètres!$A$1:$I$89,5,0)</f>
        <v>121.07199999999996</v>
      </c>
      <c r="CA97" s="13">
        <f t="shared" si="93"/>
        <v>31.924896126279531</v>
      </c>
      <c r="CB97" s="20">
        <f t="shared" si="64"/>
        <v>266.46959408660342</v>
      </c>
      <c r="CC97" s="59">
        <f t="shared" si="65"/>
        <v>559.80292741993674</v>
      </c>
      <c r="CD97" s="59">
        <f ca="1">AVERAGE(OFFSET($CC$3,0,0,'Données projet'!$E$12+1,1))-AVERAGE(OFFSET($H$3,0,0,'Données projet'!$E$12+1,1))</f>
        <v>201.78062426023638</v>
      </c>
      <c r="CE97" s="59">
        <f t="shared" si="94"/>
        <v>183.0364139873468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15.197735014554368</v>
      </c>
      <c r="CL97" s="21">
        <f>EXP(-LN(2)/25)*CL96+(1-EXP(-LN(2)/25))/(LN(2)/25)*Calculateur!CG97*Calculateur!CI97*VLOOKUP('Données projet'!$B$12,Paramètres!$A$1:$I$89,3,0)*0.475*44/12</f>
        <v>7.1204467927416584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22.318181807296028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3.1122000000000014</v>
      </c>
      <c r="D98" s="11">
        <f t="shared" si="86"/>
        <v>1.2566852174113521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1.6862363997026277</v>
      </c>
      <c r="H98" s="67">
        <f t="shared" si="56"/>
        <v>264.27580842032478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346.2919953121168</v>
      </c>
      <c r="T98" s="59">
        <f t="shared" si="88"/>
        <v>255.63939678041237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121.28048648964156</v>
      </c>
      <c r="AA98" s="21">
        <f>EXP(-LN(2)/25)*AA97+(1-EXP(-LN(2)/25))/(LN(2)/25)*Calculateur!V98*Calculateur!X98*VLOOKUP('Données projet'!$B$9,Paramètres!$A$1:$I$89,3,0)*0.475*44/12</f>
        <v>52.901679966174129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174.18216645581569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298.32148815673816</v>
      </c>
      <c r="AO98" s="59">
        <f t="shared" si="90"/>
        <v>303.51754260758827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67.291907799262418</v>
      </c>
      <c r="AV98" s="21">
        <f>EXP(-LN(2)/25)*AV97+(1-EXP(-LN(2)/25))/(LN(2)/25)*Calculateur!AQ98*Calculateur!AS98*VLOOKUP('Données projet'!$B$10,Paramètres!$A$1:$I$89,3,0)*0.475*44/12</f>
        <v>28.776298877435707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96.068206676698125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4.9040000000000017</v>
      </c>
      <c r="BD98" s="12">
        <f>IF('Données projet'!$A$88&gt;35,BD97+BC98-BL97,IF(A98&lt;'Données projet'!$A$88,$BA$205^A98,IF(A98='Données projet'!$A$88,'Données projet'!$B$88,BD97+BC98-BL97)))</f>
        <v>346.46999999999963</v>
      </c>
      <c r="BE98" s="13">
        <f>BD98*VLOOKUP('Données projet'!$B$11,Paramètres!$A$1:$I$89,3,0)*VLOOKUP('Données projet'!$B$11,Paramètres!$A$1:$I$89,5,0)</f>
        <v>198.18083999999979</v>
      </c>
      <c r="BF98" s="13">
        <f t="shared" si="91"/>
        <v>49.344159055640027</v>
      </c>
      <c r="BG98" s="20">
        <f t="shared" si="61"/>
        <v>431.10604002190604</v>
      </c>
      <c r="BH98" s="59">
        <f t="shared" si="62"/>
        <v>724.43937335523935</v>
      </c>
      <c r="BI98" s="59">
        <f ca="1">AVERAGE(OFFSET($BH$3,0,0,'Données projet'!$E$11+1,1))-AVERAGE(OFFSET($H$3,0,0,'Données projet'!$E$11+1,1))</f>
        <v>287.9055604128643</v>
      </c>
      <c r="BJ98" s="59">
        <f t="shared" si="92"/>
        <v>197.74605993031139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35.487243570601358</v>
      </c>
      <c r="BQ98" s="21">
        <f>EXP(-LN(2)/25)*BQ97+(1-EXP(-LN(2)/25))/(LN(2)/25)*Calculateur!BL98*Calculateur!BN98*VLOOKUP('Données projet'!$B$11,Paramètres!$A$1:$I$89,3,0)*0.475*44/12</f>
        <v>20.347000359576985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55.834243930178346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140.38461538461539</v>
      </c>
      <c r="BW98" s="12">
        <f>VLOOKUP(A98,'Données projet'!$A$113:$I$133,9,0)</f>
        <v>1.7948717948717956</v>
      </c>
      <c r="BX98" s="12">
        <f t="array" ref="BX98">INDEX(BW:BW,MIN(IF(ISNUMBER(BW98:BW294),ROW(BW98:BW294),"")))</f>
        <v>1.7948717948717956</v>
      </c>
      <c r="BY98" s="12">
        <f>IF('Données projet'!$A$114&gt;35,BY97+BX98-CG97,IF(A98&lt;'Données projet'!$A$114,$BV$205^A98,IF(A98='Données projet'!$A$114,'Données projet'!$B$114,BY97+BX98-CG97)))</f>
        <v>140.38461538461533</v>
      </c>
      <c r="BZ98" s="13">
        <f>BY98*VLOOKUP('Données projet'!$B$12,Paramètres!$A$1:$I$89,3,0)*VLOOKUP('Données projet'!$B$12,Paramètres!$A$1:$I$89,5,0)</f>
        <v>122.63999999999997</v>
      </c>
      <c r="CA98" s="13">
        <f t="shared" si="93"/>
        <v>32.289953931572668</v>
      </c>
      <c r="CB98" s="20">
        <f t="shared" si="64"/>
        <v>269.83633643082231</v>
      </c>
      <c r="CC98" s="59">
        <f t="shared" si="65"/>
        <v>563.16966976415563</v>
      </c>
      <c r="CD98" s="59">
        <f ca="1">AVERAGE(OFFSET($CC$3,0,0,'Données projet'!$E$12+1,1))-AVERAGE(OFFSET($H$3,0,0,'Données projet'!$E$12+1,1))</f>
        <v>201.78062426023638</v>
      </c>
      <c r="CE98" s="59">
        <f t="shared" si="94"/>
        <v>183.0364139873468</v>
      </c>
      <c r="CF98" s="15">
        <f>IF(ISNA(VLOOKUP(A98,'Données projet'!$A$113:$I$133,3,0)),0,VLOOKUP(A98,'Données projet'!$A$113:$I$133,3,0))</f>
        <v>18</v>
      </c>
      <c r="CG98" s="15">
        <f>IF(ISNA(VLOOKUP(A98,'Données projet'!$A$113:$I$133,4,0)),0,VLOOKUP(A98,'Données projet'!$A$113:$I$133,4,0))</f>
        <v>7.0512820512820511</v>
      </c>
      <c r="CH98" s="16">
        <f>IF(ISNA(VLOOKUP(A98,'Données projet'!$A$113:$I$133,5,0)),0%,VLOOKUP(A98,'Données projet'!$A$113:$I$133,5,0)*VLOOKUP('Données projet'!$B$12,Paramètres!$A$1:$I$89,7,0))</f>
        <v>0.25800000000000001</v>
      </c>
      <c r="CI98" s="16">
        <f>IF(ISNA(VLOOKUP(A98,'Données projet'!$A$113:$I$133,6,0)),0%,VLOOKUP(A98,'Données projet'!$A$113:$I$133,6,0)*VLOOKUP('Données projet'!$B$12,Paramètres!$A$1:$I$89,7,0))</f>
        <v>0.129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16.656618665406135</v>
      </c>
      <c r="CL98" s="21">
        <f>EXP(-LN(2)/25)*CL97+(1-EXP(-LN(2)/25))/(LN(2)/25)*Calculateur!CG98*Calculateur!CI98*VLOOKUP('Données projet'!$B$12,Paramètres!$A$1:$I$89,3,0)*0.475*44/12</f>
        <v>7.8007299869044351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24.457348652310571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3.1449600000000015</v>
      </c>
      <c r="D99" s="11">
        <f t="shared" si="86"/>
        <v>1.2683665799132613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1.7033892062823119</v>
      </c>
      <c r="H99" s="67">
        <f t="shared" si="56"/>
        <v>264.35321046001565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346.2919953121168</v>
      </c>
      <c r="T99" s="59">
        <f t="shared" si="88"/>
        <v>255.63939678041237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118.90225012337214</v>
      </c>
      <c r="AA99" s="21">
        <f>EXP(-LN(2)/25)*AA98+(1-EXP(-LN(2)/25))/(LN(2)/25)*Calculateur!V99*Calculateur!X99*VLOOKUP('Données projet'!$B$9,Paramètres!$A$1:$I$89,3,0)*0.475*44/12</f>
        <v>51.455080745520654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170.3573308688928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298.32148815673816</v>
      </c>
      <c r="AO99" s="59">
        <f t="shared" si="90"/>
        <v>303.51754260758827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65.972354531329884</v>
      </c>
      <c r="AV99" s="21">
        <f>EXP(-LN(2)/25)*AV98+(1-EXP(-LN(2)/25))/(LN(2)/25)*Calculateur!AQ99*Calculateur!AS99*VLOOKUP('Données projet'!$B$10,Paramètres!$A$1:$I$89,3,0)*0.475*44/12</f>
        <v>27.989409471352438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93.961764002682315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4.9040000000000017</v>
      </c>
      <c r="BD99" s="12">
        <f>IF('Données projet'!$A$88&gt;35,BD98+BC99-BL98,IF(A99&lt;'Données projet'!$A$88,$BA$205^A99,IF(A99='Données projet'!$A$88,'Données projet'!$B$88,BD98+BC99-BL98)))</f>
        <v>351.37399999999963</v>
      </c>
      <c r="BE99" s="13">
        <f>BD99*VLOOKUP('Données projet'!$B$11,Paramètres!$A$1:$I$89,3,0)*VLOOKUP('Données projet'!$B$11,Paramètres!$A$1:$I$89,5,0)</f>
        <v>200.9859279999998</v>
      </c>
      <c r="BF99" s="13">
        <f t="shared" si="91"/>
        <v>49.960782806693125</v>
      </c>
      <c r="BG99" s="20">
        <f t="shared" si="61"/>
        <v>437.06552132165683</v>
      </c>
      <c r="BH99" s="59">
        <f t="shared" si="62"/>
        <v>730.39885465499015</v>
      </c>
      <c r="BI99" s="59">
        <f ca="1">AVERAGE(OFFSET($BH$3,0,0,'Données projet'!$E$11+1,1))-AVERAGE(OFFSET($H$3,0,0,'Données projet'!$E$11+1,1))</f>
        <v>287.9055604128643</v>
      </c>
      <c r="BJ99" s="59">
        <f t="shared" si="92"/>
        <v>197.74605993031139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34.791360369263167</v>
      </c>
      <c r="BQ99" s="21">
        <f>EXP(-LN(2)/25)*BQ98+(1-EXP(-LN(2)/25))/(LN(2)/25)*Calculateur!BL99*Calculateur!BN99*VLOOKUP('Données projet'!$B$11,Paramètres!$A$1:$I$89,3,0)*0.475*44/12</f>
        <v>19.790610564742106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54.58197093400527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1.9230769230769169</v>
      </c>
      <c r="BY99" s="12">
        <f>IF('Données projet'!$A$114&gt;35,BY98+BX99-CG98,IF(A99&lt;'Données projet'!$A$114,$BV$205^A99,IF(A99='Données projet'!$A$114,'Données projet'!$B$114,BY98+BX99-CG98)))</f>
        <v>135.25641025641019</v>
      </c>
      <c r="BZ99" s="13">
        <f>BY99*VLOOKUP('Données projet'!$B$12,Paramètres!$A$1:$I$89,3,0)*VLOOKUP('Données projet'!$B$12,Paramètres!$A$1:$I$89,5,0)</f>
        <v>118.15999999999995</v>
      </c>
      <c r="CA99" s="13">
        <f t="shared" si="93"/>
        <v>31.245464333923785</v>
      </c>
      <c r="CB99" s="20">
        <f t="shared" si="64"/>
        <v>260.21451704825046</v>
      </c>
      <c r="CC99" s="59">
        <f t="shared" si="65"/>
        <v>553.54785038158377</v>
      </c>
      <c r="CD99" s="59">
        <f ca="1">AVERAGE(OFFSET($CC$3,0,0,'Données projet'!$E$12+1,1))-AVERAGE(OFFSET($H$3,0,0,'Données projet'!$E$12+1,1))</f>
        <v>201.78062426023638</v>
      </c>
      <c r="CE99" s="59">
        <f t="shared" si="94"/>
        <v>183.0364139873468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16.329992532911735</v>
      </c>
      <c r="CL99" s="21">
        <f>EXP(-LN(2)/25)*CL98+(1-EXP(-LN(2)/25))/(LN(2)/25)*Calculateur!CG99*Calculateur!CI99*VLOOKUP('Données projet'!$B$12,Paramètres!$A$1:$I$89,3,0)*0.475*44/12</f>
        <v>7.5874186151899723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23.917411148101706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3.1777200000000017</v>
      </c>
      <c r="D100" s="11">
        <f t="shared" si="86"/>
        <v>1.2800337870756475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1.720536549397619</v>
      </c>
      <c r="H100" s="67">
        <f t="shared" si="56"/>
        <v>264.43058784582342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346.2919953121168</v>
      </c>
      <c r="T100" s="59">
        <f t="shared" si="88"/>
        <v>255.63939678041237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116.57064952166432</v>
      </c>
      <c r="AA100" s="21">
        <f>EXP(-LN(2)/25)*AA99+(1-EXP(-LN(2)/25))/(LN(2)/25)*Calculateur!V100*Calculateur!X100*VLOOKUP('Données projet'!$B$9,Paramètres!$A$1:$I$89,3,0)*0.475*44/12</f>
        <v>50.048038856629297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166.61868837829363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298.32148815673816</v>
      </c>
      <c r="AO100" s="59">
        <f t="shared" si="90"/>
        <v>303.51754260758827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64.678676898133489</v>
      </c>
      <c r="AV100" s="21">
        <f>EXP(-LN(2)/25)*AV99+(1-EXP(-LN(2)/25))/(LN(2)/25)*Calculateur!AQ100*Calculateur!AS100*VLOOKUP('Données projet'!$B$10,Paramètres!$A$1:$I$89,3,0)*0.475*44/12</f>
        <v>27.224037597459233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91.902714495592718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4.9040000000000017</v>
      </c>
      <c r="BD100" s="12">
        <f>IF('Données projet'!$A$88&gt;35,BD99+BC100-BL99,IF(A100&lt;'Données projet'!$A$88,$BA$205^A100,IF(A100='Données projet'!$A$88,'Données projet'!$B$88,BD99+BC100-BL99)))</f>
        <v>356.27799999999962</v>
      </c>
      <c r="BE100" s="13">
        <f>BD100*VLOOKUP('Données projet'!$B$11,Paramètres!$A$1:$I$89,3,0)*VLOOKUP('Données projet'!$B$11,Paramètres!$A$1:$I$89,5,0)</f>
        <v>203.79101599999981</v>
      </c>
      <c r="BF100" s="13">
        <f t="shared" si="91"/>
        <v>50.576405598819029</v>
      </c>
      <c r="BG100" s="20">
        <f t="shared" si="61"/>
        <v>443.02325928460942</v>
      </c>
      <c r="BH100" s="59">
        <f t="shared" si="62"/>
        <v>736.35659261794274</v>
      </c>
      <c r="BI100" s="59">
        <f ca="1">AVERAGE(OFFSET($BH$3,0,0,'Données projet'!$E$11+1,1))-AVERAGE(OFFSET($H$3,0,0,'Données projet'!$E$11+1,1))</f>
        <v>287.9055604128643</v>
      </c>
      <c r="BJ100" s="59">
        <f t="shared" si="92"/>
        <v>197.74605993031139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34.109123013056376</v>
      </c>
      <c r="BQ100" s="21">
        <f>EXP(-LN(2)/25)*BQ99+(1-EXP(-LN(2)/25))/(LN(2)/25)*Calculateur!BL100*Calculateur!BN100*VLOOKUP('Données projet'!$B$11,Paramètres!$A$1:$I$89,3,0)*0.475*44/12</f>
        <v>19.249435278106255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53.35855829116263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1.9230769230769169</v>
      </c>
      <c r="BY100" s="12">
        <f>IF('Données projet'!$A$114&gt;35,BY99+BX100-CG99,IF(A100&lt;'Données projet'!$A$114,$BV$205^A100,IF(A100='Données projet'!$A$114,'Données projet'!$B$114,BY99+BX100-CG99)))</f>
        <v>137.1794871794871</v>
      </c>
      <c r="BZ100" s="13">
        <f>BY100*VLOOKUP('Données projet'!$B$12,Paramètres!$A$1:$I$89,3,0)*VLOOKUP('Données projet'!$B$12,Paramètres!$A$1:$I$89,5,0)</f>
        <v>119.83999999999993</v>
      </c>
      <c r="CA100" s="13">
        <f t="shared" si="93"/>
        <v>31.637679024355371</v>
      </c>
      <c r="CB100" s="20">
        <f t="shared" si="64"/>
        <v>263.8236243007521</v>
      </c>
      <c r="CC100" s="59">
        <f t="shared" si="65"/>
        <v>557.15695763408542</v>
      </c>
      <c r="CD100" s="59">
        <f ca="1">AVERAGE(OFFSET($CC$3,0,0,'Données projet'!$E$12+1,1))-AVERAGE(OFFSET($H$3,0,0,'Données projet'!$E$12+1,1))</f>
        <v>201.78062426023638</v>
      </c>
      <c r="CE100" s="59">
        <f t="shared" si="94"/>
        <v>183.0364139873468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16.00977133965328</v>
      </c>
      <c r="CL100" s="21">
        <f>EXP(-LN(2)/25)*CL99+(1-EXP(-LN(2)/25))/(LN(2)/25)*Calculateur!CG100*Calculateur!CI100*VLOOKUP('Données projet'!$B$12,Paramètres!$A$1:$I$89,3,0)*0.475*44/12</f>
        <v>7.3799402541525989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23.389711593805877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3.2104800000000018</v>
      </c>
      <c r="D101" s="11">
        <f t="shared" si="86"/>
        <v>1.2916870017243376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1.7376784918936048</v>
      </c>
      <c r="H101" s="67">
        <f t="shared" si="56"/>
        <v>264.50794086133658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346.2919953121168</v>
      </c>
      <c r="T101" s="59">
        <f t="shared" si="88"/>
        <v>255.63939678041237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114.28477018562005</v>
      </c>
      <c r="AA101" s="21">
        <f>EXP(-LN(2)/25)*AA100+(1-EXP(-LN(2)/25))/(LN(2)/25)*Calculateur!V101*Calculateur!X101*VLOOKUP('Données projet'!$B$9,Paramètres!$A$1:$I$89,3,0)*0.475*44/12</f>
        <v>48.679472602182791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162.96424278780285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298.32148815673816</v>
      </c>
      <c r="AO101" s="59">
        <f t="shared" si="90"/>
        <v>303.51754260758827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63.410367494258622</v>
      </c>
      <c r="AV101" s="21">
        <f>EXP(-LN(2)/25)*AV100+(1-EXP(-LN(2)/25))/(LN(2)/25)*Calculateur!AQ101*Calculateur!AS101*VLOOKUP('Données projet'!$B$10,Paramètres!$A$1:$I$89,3,0)*0.475*44/12</f>
        <v>26.479594857706793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89.889962351965409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4.9040000000000017</v>
      </c>
      <c r="BD101" s="12">
        <f>IF('Données projet'!$A$88&gt;35,BD100+BC101-BL100,IF(A101&lt;'Données projet'!$A$88,$BA$205^A101,IF(A101='Données projet'!$A$88,'Données projet'!$B$88,BD100+BC101-BL100)))</f>
        <v>361.18199999999962</v>
      </c>
      <c r="BE101" s="13">
        <f>BD101*VLOOKUP('Données projet'!$B$11,Paramètres!$A$1:$I$89,3,0)*VLOOKUP('Données projet'!$B$11,Paramètres!$A$1:$I$89,5,0)</f>
        <v>206.5961039999998</v>
      </c>
      <c r="BF101" s="13">
        <f t="shared" si="91"/>
        <v>51.191042802138277</v>
      </c>
      <c r="BG101" s="20">
        <f t="shared" si="61"/>
        <v>448.97928068039045</v>
      </c>
      <c r="BH101" s="59">
        <f t="shared" si="62"/>
        <v>742.31261401372376</v>
      </c>
      <c r="BI101" s="59">
        <f ca="1">AVERAGE(OFFSET($BH$3,0,0,'Données projet'!$E$11+1,1))-AVERAGE(OFFSET($H$3,0,0,'Données projet'!$E$11+1,1))</f>
        <v>287.9055604128643</v>
      </c>
      <c r="BJ101" s="59">
        <f t="shared" si="92"/>
        <v>197.74605993031139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33.440263915281101</v>
      </c>
      <c r="BQ101" s="21">
        <f>EXP(-LN(2)/25)*BQ100+(1-EXP(-LN(2)/25))/(LN(2)/25)*Calculateur!BL101*Calculateur!BN101*VLOOKUP('Données projet'!$B$11,Paramètres!$A$1:$I$89,3,0)*0.475*44/12</f>
        <v>18.723058458142631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52.163322373423732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1.9230769230769169</v>
      </c>
      <c r="BY101" s="12">
        <f>IF('Données projet'!$A$114&gt;35,BY100+BX101-CG100,IF(A101&lt;'Données projet'!$A$114,$BV$205^A101,IF(A101='Données projet'!$A$114,'Données projet'!$B$114,BY100+BX101-CG100)))</f>
        <v>139.102564102564</v>
      </c>
      <c r="BZ101" s="13">
        <f>BY101*VLOOKUP('Données projet'!$B$12,Paramètres!$A$1:$I$89,3,0)*VLOOKUP('Données projet'!$B$12,Paramètres!$A$1:$I$89,5,0)</f>
        <v>121.51999999999994</v>
      </c>
      <c r="CA101" s="13">
        <f t="shared" si="93"/>
        <v>32.029254208126616</v>
      </c>
      <c r="CB101" s="20">
        <f t="shared" si="64"/>
        <v>267.43161774582046</v>
      </c>
      <c r="CC101" s="59">
        <f t="shared" si="65"/>
        <v>560.76495107915378</v>
      </c>
      <c r="CD101" s="59">
        <f ca="1">AVERAGE(OFFSET($CC$3,0,0,'Données projet'!$E$12+1,1))-AVERAGE(OFFSET($H$3,0,0,'Données projet'!$E$12+1,1))</f>
        <v>201.78062426023638</v>
      </c>
      <c r="CE101" s="59">
        <f t="shared" si="94"/>
        <v>183.0364139873468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15.695829488678983</v>
      </c>
      <c r="CL101" s="21">
        <f>EXP(-LN(2)/25)*CL100+(1-EXP(-LN(2)/25))/(LN(2)/25)*Calculateur!CG101*Calculateur!CI101*VLOOKUP('Données projet'!$B$12,Paramètres!$A$1:$I$89,3,0)*0.475*44/12</f>
        <v>7.178135399808605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22.873964888487588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3.2432400000000019</v>
      </c>
      <c r="D102" s="11">
        <f t="shared" si="86"/>
        <v>1.3033263831706903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1.7548150952588637</v>
      </c>
      <c r="H102" s="67">
        <f t="shared" si="56"/>
        <v>264.58526978402233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346.2919953121168</v>
      </c>
      <c r="T102" s="59">
        <f t="shared" si="88"/>
        <v>255.63939678041237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112.04371554910688</v>
      </c>
      <c r="AA102" s="21">
        <f>EXP(-LN(2)/25)*AA101+(1-EXP(-LN(2)/25))/(LN(2)/25)*Calculateur!V102*Calculateur!X102*VLOOKUP('Données projet'!$B$9,Paramètres!$A$1:$I$89,3,0)*0.475*44/12</f>
        <v>47.348329863933898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159.39204541304076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298.32148815673816</v>
      </c>
      <c r="AO102" s="59">
        <f t="shared" si="90"/>
        <v>303.51754260758827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62.166928864201395</v>
      </c>
      <c r="AV102" s="21">
        <f>EXP(-LN(2)/25)*AV101+(1-EXP(-LN(2)/25))/(LN(2)/25)*Calculateur!AQ102*Calculateur!AS102*VLOOKUP('Données projet'!$B$10,Paramètres!$A$1:$I$89,3,0)*0.475*44/12</f>
        <v>25.755508943821429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87.922437808022821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4.9040000000000017</v>
      </c>
      <c r="BD102" s="12">
        <f>IF('Données projet'!$A$88&gt;35,BD101+BC102-BL101,IF(A102&lt;'Données projet'!$A$88,$BA$205^A102,IF(A102='Données projet'!$A$88,'Données projet'!$B$88,BD101+BC102-BL101)))</f>
        <v>366.08599999999961</v>
      </c>
      <c r="BE102" s="13">
        <f>BD102*VLOOKUP('Données projet'!$B$11,Paramètres!$A$1:$I$89,3,0)*VLOOKUP('Données projet'!$B$11,Paramètres!$A$1:$I$89,5,0)</f>
        <v>209.40119199999981</v>
      </c>
      <c r="BF102" s="13">
        <f t="shared" si="91"/>
        <v>51.804709345408305</v>
      </c>
      <c r="BG102" s="20">
        <f t="shared" si="61"/>
        <v>454.93361150991905</v>
      </c>
      <c r="BH102" s="59">
        <f t="shared" si="62"/>
        <v>748.2669448432523</v>
      </c>
      <c r="BI102" s="59">
        <f ca="1">AVERAGE(OFFSET($BH$3,0,0,'Données projet'!$E$11+1,1))-AVERAGE(OFFSET($H$3,0,0,'Données projet'!$E$11+1,1))</f>
        <v>287.9055604128643</v>
      </c>
      <c r="BJ102" s="59">
        <f t="shared" si="92"/>
        <v>197.74605993031139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32.784520736449437</v>
      </c>
      <c r="BQ102" s="21">
        <f>EXP(-LN(2)/25)*BQ101+(1-EXP(-LN(2)/25))/(LN(2)/25)*Calculateur!BL102*Calculateur!BN102*VLOOKUP('Données projet'!$B$11,Paramètres!$A$1:$I$89,3,0)*0.475*44/12</f>
        <v>18.211075440001871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50.995596176451308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1.9230769230769169</v>
      </c>
      <c r="BY102" s="12">
        <f>IF('Données projet'!$A$114&gt;35,BY101+BX102-CG101,IF(A102&lt;'Données projet'!$A$114,$BV$205^A102,IF(A102='Données projet'!$A$114,'Données projet'!$B$114,BY101+BX102-CG101)))</f>
        <v>141.02564102564091</v>
      </c>
      <c r="BZ102" s="13">
        <f>BY102*VLOOKUP('Données projet'!$B$12,Paramètres!$A$1:$I$89,3,0)*VLOOKUP('Données projet'!$B$12,Paramètres!$A$1:$I$89,5,0)</f>
        <v>123.19999999999992</v>
      </c>
      <c r="CA102" s="13">
        <f t="shared" si="93"/>
        <v>32.420199748143126</v>
      </c>
      <c r="CB102" s="20">
        <f t="shared" si="64"/>
        <v>271.03851456134913</v>
      </c>
      <c r="CC102" s="59">
        <f t="shared" si="65"/>
        <v>564.37184789468245</v>
      </c>
      <c r="CD102" s="59">
        <f ca="1">AVERAGE(OFFSET($CC$3,0,0,'Données projet'!$E$12+1,1))-AVERAGE(OFFSET($H$3,0,0,'Données projet'!$E$12+1,1))</f>
        <v>201.78062426023638</v>
      </c>
      <c r="CE102" s="59">
        <f t="shared" si="94"/>
        <v>183.0364139873468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15.388043845916672</v>
      </c>
      <c r="CL102" s="21">
        <f>EXP(-LN(2)/25)*CL101+(1-EXP(-LN(2)/25))/(LN(2)/25)*Calculateur!CG102*Calculateur!CI102*VLOOKUP('Données projet'!$B$12,Paramètres!$A$1:$I$89,3,0)*0.475*44/12</f>
        <v>6.9818489098191039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22.369892755735776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3.276000000000002</v>
      </c>
      <c r="D103" s="11">
        <f t="shared" si="86"/>
        <v>1.3149520873221716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1.7719464196682078</v>
      </c>
      <c r="H103" s="67">
        <f t="shared" si="56"/>
        <v>264.66257488541947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346.2919953121168</v>
      </c>
      <c r="T103" s="59">
        <f t="shared" si="88"/>
        <v>255.63939678041237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109.84660662710738</v>
      </c>
      <c r="AA103" s="21">
        <f>EXP(-LN(2)/25)*AA102+(1-EXP(-LN(2)/25))/(LN(2)/25)*Calculateur!V103*Calculateur!X103*VLOOKUP('Données projet'!$B$9,Paramètres!$A$1:$I$89,3,0)*0.475*44/12</f>
        <v>46.053587293864176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155.90019392097156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298.32148815673816</v>
      </c>
      <c r="AO103" s="59">
        <f t="shared" si="90"/>
        <v>303.51754260758827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60.947873307256913</v>
      </c>
      <c r="AV103" s="21">
        <f>EXP(-LN(2)/25)*AV102+(1-EXP(-LN(2)/25))/(LN(2)/25)*Calculateur!AQ103*Calculateur!AS103*VLOOKUP('Données projet'!$B$10,Paramètres!$A$1:$I$89,3,0)*0.475*44/12</f>
        <v>25.051223197329282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85.999096504586191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370.99</v>
      </c>
      <c r="BB103" s="12">
        <f>VLOOKUP(A103,'Données projet'!$A$87:$I$107,9,0)</f>
        <v>4.9040000000000017</v>
      </c>
      <c r="BC103" s="12">
        <f t="array" ref="BC103">INDEX(BB:BB,MIN(IF(ISNUMBER(BB103:BB299),ROW(BB103:BB299),"")))</f>
        <v>4.9040000000000017</v>
      </c>
      <c r="BD103" s="12">
        <f>IF('Données projet'!$A$88&gt;35,BD102+BC103-BL102,IF(A103&lt;'Données projet'!$A$88,$BA$205^A103,IF(A103='Données projet'!$A$88,'Données projet'!$B$88,BD102+BC103-BL102)))</f>
        <v>370.98999999999961</v>
      </c>
      <c r="BE103" s="13">
        <f>BD103*VLOOKUP('Données projet'!$B$11,Paramètres!$A$1:$I$89,3,0)*VLOOKUP('Données projet'!$B$11,Paramètres!$A$1:$I$89,5,0)</f>
        <v>212.20627999999979</v>
      </c>
      <c r="BF103" s="13">
        <f t="shared" si="91"/>
        <v>52.41741973443682</v>
      </c>
      <c r="BG103" s="20">
        <f t="shared" si="61"/>
        <v>460.8862770374771</v>
      </c>
      <c r="BH103" s="59">
        <f t="shared" si="62"/>
        <v>754.21961037081041</v>
      </c>
      <c r="BI103" s="59">
        <f ca="1">AVERAGE(OFFSET($BH$3,0,0,'Données projet'!$E$11+1,1))-AVERAGE(OFFSET($H$3,0,0,'Données projet'!$E$11+1,1))</f>
        <v>287.9055604128643</v>
      </c>
      <c r="BJ103" s="59">
        <f t="shared" si="92"/>
        <v>197.74605993031139</v>
      </c>
      <c r="BK103" s="15">
        <f>IF(ISNA(VLOOKUP(A103,'Données projet'!$A$87:$I$107,3,0)),0,VLOOKUP(A103,'Données projet'!$A$87:$I$107,3,0))</f>
        <v>10</v>
      </c>
      <c r="BL103" s="15">
        <f>IF(ISNA(VLOOKUP(A103,'Données projet'!$A$87:$I$107,4,0)),0,VLOOKUP(A103,'Données projet'!$A$87:$I$107,4,0))</f>
        <v>219.7</v>
      </c>
      <c r="BM103" s="16">
        <f>IF(ISNA(VLOOKUP(A103,'Données projet'!$A$87:$I$107,5,0)),0%,VLOOKUP(A103,'Données projet'!$A$87:$I$107,5,0)*VLOOKUP('Données projet'!$B$11,Paramètres!$A$1:$I$89,7,0))</f>
        <v>0.315</v>
      </c>
      <c r="BN103" s="16">
        <f>IF(ISNA(VLOOKUP(A103,'Données projet'!$A$87:$I$107,6,0)),0%,VLOOKUP(A103,'Données projet'!$A$87:$I$107,6,0)*VLOOKUP('Données projet'!$B$11,Paramètres!$A$1:$I$89,7,0))</f>
        <v>0.13500000000000001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84.654414554157682</v>
      </c>
      <c r="BQ103" s="21">
        <f>EXP(-LN(2)/25)*BQ102+(1-EXP(-LN(2)/25))/(LN(2)/25)*Calculateur!BL103*Calculateur!BN103*VLOOKUP('Données projet'!$B$11,Paramètres!$A$1:$I$89,3,0)*0.475*44/12</f>
        <v>40.129956391174666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124.78437094533234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142.94871794871793</v>
      </c>
      <c r="BW103" s="12">
        <f>VLOOKUP(A103,'Données projet'!$A$113:$I$133,9,0)</f>
        <v>1.9230769230769169</v>
      </c>
      <c r="BX103" s="12">
        <f t="array" ref="BX103">INDEX(BW:BW,MIN(IF(ISNUMBER(BW103:BW299),ROW(BW103:BW299),"")))</f>
        <v>1.9230769230769169</v>
      </c>
      <c r="BY103" s="12">
        <f>IF('Données projet'!$A$114&gt;35,BY102+BX103-CG102,IF(A103&lt;'Données projet'!$A$114,$BV$205^A103,IF(A103='Données projet'!$A$114,'Données projet'!$B$114,BY102+BX103-CG102)))</f>
        <v>142.94871794871781</v>
      </c>
      <c r="BZ103" s="13">
        <f>BY103*VLOOKUP('Données projet'!$B$12,Paramètres!$A$1:$I$89,3,0)*VLOOKUP('Données projet'!$B$12,Paramètres!$A$1:$I$89,5,0)</f>
        <v>124.87999999999991</v>
      </c>
      <c r="CA103" s="13">
        <f t="shared" si="93"/>
        <v>32.81052522286641</v>
      </c>
      <c r="CB103" s="20">
        <f t="shared" si="64"/>
        <v>274.64433142982551</v>
      </c>
      <c r="CC103" s="59">
        <f t="shared" si="65"/>
        <v>567.97766476315883</v>
      </c>
      <c r="CD103" s="59">
        <f ca="1">AVERAGE(OFFSET($CC$3,0,0,'Données projet'!$E$12+1,1))-AVERAGE(OFFSET($H$3,0,0,'Données projet'!$E$12+1,1))</f>
        <v>201.78062426023638</v>
      </c>
      <c r="CE103" s="59">
        <f t="shared" si="94"/>
        <v>183.0364139873468</v>
      </c>
      <c r="CF103" s="15">
        <f>IF(ISNA(VLOOKUP(A103,'Données projet'!$A$113:$I$133,3,0)),0,VLOOKUP(A103,'Données projet'!$A$113:$I$133,3,0))</f>
        <v>19</v>
      </c>
      <c r="CG103" s="15">
        <f>IF(ISNA(VLOOKUP(A103,'Données projet'!$A$113:$I$133,4,0)),0,VLOOKUP(A103,'Données projet'!$A$113:$I$133,4,0))</f>
        <v>7.0512820512820511</v>
      </c>
      <c r="CH103" s="16">
        <f>IF(ISNA(VLOOKUP(A103,'Données projet'!$A$113:$I$133,5,0)),0%,VLOOKUP(A103,'Données projet'!$A$113:$I$133,5,0)*VLOOKUP('Données projet'!$B$12,Paramètres!$A$1:$I$89,7,0))</f>
        <v>0.25800000000000001</v>
      </c>
      <c r="CI103" s="16">
        <f>IF(ISNA(VLOOKUP(A103,'Données projet'!$A$113:$I$133,6,0)),0%,VLOOKUP(A103,'Données projet'!$A$113:$I$133,6,0)*VLOOKUP('Données projet'!$B$12,Paramètres!$A$1:$I$89,7,0))</f>
        <v>0.129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16.843195656662353</v>
      </c>
      <c r="CL103" s="21">
        <f>EXP(-LN(2)/25)*CL102+(1-EXP(-LN(2)/25))/(LN(2)/25)*Calculateur!CG103*Calculateur!CI103*VLOOKUP('Données projet'!$B$12,Paramètres!$A$1:$I$89,3,0)*0.475*44/12</f>
        <v>7.6659220703789437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24.509117727041296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3.3087600000000021</v>
      </c>
      <c r="D104" s="11">
        <f t="shared" si="86"/>
        <v>1.3265642667883788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1.7890725240235856</v>
      </c>
      <c r="H104" s="67">
        <f t="shared" si="56"/>
        <v>264.73985643132312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346.2919953121168</v>
      </c>
      <c r="T104" s="59">
        <f t="shared" si="88"/>
        <v>255.63939678041237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107.69258167096416</v>
      </c>
      <c r="AA104" s="21">
        <f>EXP(-LN(2)/25)*AA103+(1-EXP(-LN(2)/25))/(LN(2)/25)*Calculateur!V104*Calculateur!X104*VLOOKUP('Données projet'!$B$9,Paramètres!$A$1:$I$89,3,0)*0.475*44/12</f>
        <v>44.794249527460558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152.48683119842471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298.32148815673816</v>
      </c>
      <c r="AO104" s="59">
        <f t="shared" si="90"/>
        <v>303.51754260758827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59.752722686233639</v>
      </c>
      <c r="AV104" s="21">
        <f>EXP(-LN(2)/25)*AV103+(1-EXP(-LN(2)/25))/(LN(2)/25)*Calculateur!AQ104*Calculateur!AS104*VLOOKUP('Données projet'!$B$10,Paramètres!$A$1:$I$89,3,0)*0.475*44/12</f>
        <v>24.366196181611741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84.11891886784538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2.4533333333333283</v>
      </c>
      <c r="BD104" s="12">
        <f>IF('Données projet'!$A$88&gt;35,BD103+BC104-BL103,IF(A104&lt;'Données projet'!$A$88,$BA$205^A104,IF(A104='Données projet'!$A$88,'Données projet'!$B$88,BD103+BC104-BL103)))</f>
        <v>153.74333333333294</v>
      </c>
      <c r="BE104" s="13">
        <f>BD104*VLOOKUP('Données projet'!$B$11,Paramètres!$A$1:$I$89,3,0)*VLOOKUP('Données projet'!$B$11,Paramètres!$A$1:$I$89,5,0)</f>
        <v>87.941186666666439</v>
      </c>
      <c r="BF104" s="13">
        <f t="shared" si="91"/>
        <v>24.068022025959962</v>
      </c>
      <c r="BG104" s="20">
        <f t="shared" si="61"/>
        <v>195.08270513965763</v>
      </c>
      <c r="BH104" s="59">
        <f t="shared" si="62"/>
        <v>488.41603847299098</v>
      </c>
      <c r="BI104" s="59">
        <f ca="1">AVERAGE(OFFSET($BH$3,0,0,'Données projet'!$E$11+1,1))-AVERAGE(OFFSET($H$3,0,0,'Données projet'!$E$11+1,1))</f>
        <v>287.9055604128643</v>
      </c>
      <c r="BJ104" s="59">
        <f t="shared" si="92"/>
        <v>197.74605993031139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82.994393118845082</v>
      </c>
      <c r="BQ104" s="21">
        <f>EXP(-LN(2)/25)*BQ103+(1-EXP(-LN(2)/25))/(LN(2)/25)*Calculateur!BL104*Calculateur!BN104*VLOOKUP('Données projet'!$B$11,Paramètres!$A$1:$I$89,3,0)*0.475*44/12</f>
        <v>39.032600623315304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122.02699374216039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135.89743589743577</v>
      </c>
      <c r="BZ104" s="13">
        <f>BY104*VLOOKUP('Données projet'!$B$12,Paramètres!$A$1:$I$89,3,0)*VLOOKUP('Données projet'!$B$12,Paramètres!$A$1:$I$89,5,0)</f>
        <v>118.71999999999991</v>
      </c>
      <c r="CA104" s="13">
        <f t="shared" si="93"/>
        <v>31.376274241265865</v>
      </c>
      <c r="CB104" s="20">
        <f t="shared" si="64"/>
        <v>261.41767763687125</v>
      </c>
      <c r="CC104" s="59">
        <f t="shared" si="65"/>
        <v>554.75101097020456</v>
      </c>
      <c r="CD104" s="59">
        <f ca="1">AVERAGE(OFFSET($CC$3,0,0,'Données projet'!$E$12+1,1))-AVERAGE(OFFSET($H$3,0,0,'Données projet'!$E$12+1,1))</f>
        <v>201.78062426023638</v>
      </c>
      <c r="CE104" s="59">
        <f t="shared" si="94"/>
        <v>183.0364139873468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16.512910863170148</v>
      </c>
      <c r="CL104" s="21">
        <f>EXP(-LN(2)/25)*CL103+(1-EXP(-LN(2)/25))/(LN(2)/25)*Calculateur!CG104*Calculateur!CI104*VLOOKUP('Données projet'!$B$12,Paramètres!$A$1:$I$89,3,0)*0.475*44/12</f>
        <v>7.4562970282311101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23.969207891401258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3.3415200000000023</v>
      </c>
      <c r="D105" s="11">
        <f t="shared" si="86"/>
        <v>1.3381630709827437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1.8061934659933405</v>
      </c>
      <c r="H105" s="67">
        <f t="shared" si="56"/>
        <v>264.81711468196164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346.2919953121168</v>
      </c>
      <c r="T105" s="59">
        <f t="shared" si="88"/>
        <v>255.63939678041237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105.58079583038541</v>
      </c>
      <c r="AA105" s="21">
        <f>EXP(-LN(2)/25)*AA104+(1-EXP(-LN(2)/25))/(LN(2)/25)*Calculateur!V105*Calculateur!X105*VLOOKUP('Données projet'!$B$9,Paramètres!$A$1:$I$89,3,0)*0.475*44/12</f>
        <v>43.569348418504944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149.15014424889034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298.32148815673816</v>
      </c>
      <c r="AO105" s="59">
        <f t="shared" si="90"/>
        <v>303.51754260758827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58.581008239918738</v>
      </c>
      <c r="AV105" s="21">
        <f>EXP(-LN(2)/25)*AV104+(1-EXP(-LN(2)/25))/(LN(2)/25)*Calculateur!AQ105*Calculateur!AS105*VLOOKUP('Données projet'!$B$10,Paramètres!$A$1:$I$89,3,0)*0.475*44/12</f>
        <v>23.699901265663001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82.280909505581747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2.4533333333333283</v>
      </c>
      <c r="BD105" s="12">
        <f>IF('Données projet'!$A$88&gt;35,BD104+BC105-BL104,IF(A105&lt;'Données projet'!$A$88,$BA$205^A105,IF(A105='Données projet'!$A$88,'Données projet'!$B$88,BD104+BC105-BL104)))</f>
        <v>156.19666666666626</v>
      </c>
      <c r="BE105" s="13">
        <f>BD105*VLOOKUP('Données projet'!$B$11,Paramètres!$A$1:$I$89,3,0)*VLOOKUP('Données projet'!$B$11,Paramètres!$A$1:$I$89,5,0)</f>
        <v>89.344493333333105</v>
      </c>
      <c r="BF105" s="13">
        <f t="shared" si="91"/>
        <v>24.407065373658249</v>
      </c>
      <c r="BG105" s="20">
        <f t="shared" si="61"/>
        <v>198.11729808134328</v>
      </c>
      <c r="BH105" s="59">
        <f t="shared" si="62"/>
        <v>491.45063141467659</v>
      </c>
      <c r="BI105" s="59">
        <f ca="1">AVERAGE(OFFSET($BH$3,0,0,'Données projet'!$E$11+1,1))-AVERAGE(OFFSET($H$3,0,0,'Données projet'!$E$11+1,1))</f>
        <v>287.9055604128643</v>
      </c>
      <c r="BJ105" s="59">
        <f t="shared" si="92"/>
        <v>197.74605993031139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81.366923691365869</v>
      </c>
      <c r="BQ105" s="21">
        <f>EXP(-LN(2)/25)*BQ104+(1-EXP(-LN(2)/25))/(LN(2)/25)*Calculateur!BL105*Calculateur!BN105*VLOOKUP('Données projet'!$B$11,Paramètres!$A$1:$I$89,3,0)*0.475*44/12</f>
        <v>37.965252106635489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119.33217579800136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135.89743589743577</v>
      </c>
      <c r="BZ105" s="13">
        <f>BY105*VLOOKUP('Données projet'!$B$12,Paramètres!$A$1:$I$89,3,0)*VLOOKUP('Données projet'!$B$12,Paramètres!$A$1:$I$89,5,0)</f>
        <v>118.71999999999991</v>
      </c>
      <c r="CA105" s="13">
        <f t="shared" si="93"/>
        <v>31.376274241265865</v>
      </c>
      <c r="CB105" s="20">
        <f t="shared" si="64"/>
        <v>261.41767763687125</v>
      </c>
      <c r="CC105" s="59">
        <f t="shared" si="65"/>
        <v>554.75101097020456</v>
      </c>
      <c r="CD105" s="59">
        <f ca="1">AVERAGE(OFFSET($CC$3,0,0,'Données projet'!$E$12+1,1))-AVERAGE(OFFSET($H$3,0,0,'Données projet'!$E$12+1,1))</f>
        <v>201.78062426023638</v>
      </c>
      <c r="CE105" s="59">
        <f t="shared" si="94"/>
        <v>183.0364139873468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16.189102753024493</v>
      </c>
      <c r="CL105" s="21">
        <f>EXP(-LN(2)/25)*CL104+(1-EXP(-LN(2)/25))/(LN(2)/25)*Calculateur!CG105*Calculateur!CI105*VLOOKUP('Données projet'!$B$12,Paramètres!$A$1:$I$89,3,0)*0.475*44/12</f>
        <v>7.2524041938845114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23.441506946909005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3.3742800000000024</v>
      </c>
      <c r="D106" s="11">
        <f t="shared" si="86"/>
        <v>1.349748646220138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1.8233093020498787</v>
      </c>
      <c r="H106" s="67">
        <f t="shared" si="56"/>
        <v>264.89434989216676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346.2919953121168</v>
      </c>
      <c r="T106" s="59">
        <f t="shared" si="88"/>
        <v>255.63939678041237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103.51042082207825</v>
      </c>
      <c r="AA106" s="21">
        <f>EXP(-LN(2)/25)*AA105+(1-EXP(-LN(2)/25))/(LN(2)/25)*Calculateur!V106*Calculateur!X106*VLOOKUP('Données projet'!$B$9,Paramètres!$A$1:$I$89,3,0)*0.475*44/12</f>
        <v>42.377942294788475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145.88836311686671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298.32148815673816</v>
      </c>
      <c r="AO106" s="59">
        <f t="shared" si="90"/>
        <v>303.51754260758827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57.432270399220826</v>
      </c>
      <c r="AV106" s="21">
        <f>EXP(-LN(2)/25)*AV105+(1-EXP(-LN(2)/25))/(LN(2)/25)*Calculateur!AQ106*Calculateur!AS106*VLOOKUP('Données projet'!$B$10,Paramètres!$A$1:$I$89,3,0)*0.475*44/12</f>
        <v>23.051826219229806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80.484096618450636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158.65</v>
      </c>
      <c r="BB106" s="12">
        <f>VLOOKUP(A106,'Données projet'!$A$87:$I$107,9,0)</f>
        <v>2.4533333333333283</v>
      </c>
      <c r="BC106" s="12">
        <f t="array" ref="BC106">INDEX(BB:BB,MIN(IF(ISNUMBER(BB106:BB302),ROW(BB106:BB302),"")))</f>
        <v>2.4533333333333283</v>
      </c>
      <c r="BD106" s="12">
        <f>IF('Données projet'!$A$88&gt;35,BD105+BC106-BL105,IF(A106&lt;'Données projet'!$A$88,$BA$205^A106,IF(A106='Données projet'!$A$88,'Données projet'!$B$88,BD105+BC106-BL105)))</f>
        <v>158.64999999999958</v>
      </c>
      <c r="BE106" s="13">
        <f>BD106*VLOOKUP('Données projet'!$B$11,Paramètres!$A$1:$I$89,3,0)*VLOOKUP('Données projet'!$B$11,Paramètres!$A$1:$I$89,5,0)</f>
        <v>90.747799999999756</v>
      </c>
      <c r="BF106" s="13">
        <f t="shared" si="91"/>
        <v>24.7454894015844</v>
      </c>
      <c r="BG106" s="20">
        <f t="shared" si="61"/>
        <v>201.15081237442573</v>
      </c>
      <c r="BH106" s="59">
        <f t="shared" si="62"/>
        <v>494.48414570775901</v>
      </c>
      <c r="BI106" s="59">
        <f ca="1">AVERAGE(OFFSET($BH$3,0,0,'Données projet'!$E$11+1,1))-AVERAGE(OFFSET($H$3,0,0,'Données projet'!$E$11+1,1))</f>
        <v>287.9055604128643</v>
      </c>
      <c r="BJ106" s="59">
        <f t="shared" si="92"/>
        <v>197.74605993031139</v>
      </c>
      <c r="BK106" s="15">
        <f>IF(ISNA(VLOOKUP(A106,'Données projet'!$A$87:$I$107,3,0)),0,VLOOKUP(A106,'Données projet'!$A$87:$I$107,3,0))</f>
        <v>11</v>
      </c>
      <c r="BL106" s="15">
        <f>IF(ISNA(VLOOKUP(A106,'Données projet'!$A$87:$I$107,4,0)),0,VLOOKUP(A106,'Données projet'!$A$87:$I$107,4,0))</f>
        <v>158.65</v>
      </c>
      <c r="BM106" s="16">
        <f>IF(ISNA(VLOOKUP(A106,'Données projet'!$A$87:$I$107,5,0)),0%,VLOOKUP(A106,'Données projet'!$A$87:$I$107,5,0)*VLOOKUP('Données projet'!$B$11,Paramètres!$A$1:$I$89,7,0))</f>
        <v>0.315</v>
      </c>
      <c r="BN106" s="16">
        <f>IF(ISNA(VLOOKUP(A106,'Données projet'!$A$87:$I$107,6,0)),0%,VLOOKUP(A106,'Données projet'!$A$87:$I$107,6,0)*VLOOKUP('Données projet'!$B$11,Paramètres!$A$1:$I$89,7,0))</f>
        <v>0.13500000000000001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117.69195180184212</v>
      </c>
      <c r="BQ106" s="21">
        <f>EXP(-LN(2)/25)*BQ105+(1-EXP(-LN(2)/25))/(LN(2)/25)*Calculateur!BL106*Calculateur!BN106*VLOOKUP('Données projet'!$B$11,Paramètres!$A$1:$I$89,3,0)*0.475*44/12</f>
        <v>53.114780034542861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170.80673183638498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135.89743589743577</v>
      </c>
      <c r="BZ106" s="13">
        <f>BY106*VLOOKUP('Données projet'!$B$12,Paramètres!$A$1:$I$89,3,0)*VLOOKUP('Données projet'!$B$12,Paramètres!$A$1:$I$89,5,0)</f>
        <v>118.71999999999991</v>
      </c>
      <c r="CA106" s="13">
        <f t="shared" si="93"/>
        <v>31.376274241265865</v>
      </c>
      <c r="CB106" s="20">
        <f t="shared" si="64"/>
        <v>261.41767763687125</v>
      </c>
      <c r="CC106" s="59">
        <f t="shared" si="65"/>
        <v>554.75101097020456</v>
      </c>
      <c r="CD106" s="59">
        <f ca="1">AVERAGE(OFFSET($CC$3,0,0,'Données projet'!$E$12+1,1))-AVERAGE(OFFSET($H$3,0,0,'Données projet'!$E$12+1,1))</f>
        <v>201.78062426023638</v>
      </c>
      <c r="CE106" s="59">
        <f t="shared" si="94"/>
        <v>183.0364139873468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15.871644322415348</v>
      </c>
      <c r="CL106" s="21">
        <f>EXP(-LN(2)/25)*CL105+(1-EXP(-LN(2)/25))/(LN(2)/25)*Calculateur!CG106*Calculateur!CI106*VLOOKUP('Données projet'!$B$12,Paramètres!$A$1:$I$89,3,0)*0.475*44/12</f>
        <v>7.0540868198153781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22.925731142230724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3.4070400000000025</v>
      </c>
      <c r="D107" s="11">
        <f t="shared" si="86"/>
        <v>1.3613211358105755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1.840420087505837</v>
      </c>
      <c r="H107" s="67">
        <f t="shared" si="56"/>
        <v>264.97156231153679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346.2919953121168</v>
      </c>
      <c r="T107" s="59">
        <f t="shared" si="88"/>
        <v>255.63939678041237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101.48064460487991</v>
      </c>
      <c r="AA107" s="21">
        <f>EXP(-LN(2)/25)*AA106+(1-EXP(-LN(2)/25))/(LN(2)/25)*Calculateur!V107*Calculateur!X107*VLOOKUP('Données projet'!$B$9,Paramètres!$A$1:$I$89,3,0)*0.475*44/12</f>
        <v>41.219115234178354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142.69975983905826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298.32148815673816</v>
      </c>
      <c r="AO107" s="59">
        <f t="shared" si="90"/>
        <v>303.51754260758827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56.3060586069181</v>
      </c>
      <c r="AV107" s="21">
        <f>EXP(-LN(2)/25)*AV106+(1-EXP(-LN(2)/25))/(LN(2)/25)*Calculateur!AQ107*Calculateur!AS107*VLOOKUP('Données projet'!$B$10,Paramètres!$A$1:$I$89,3,0)*0.475*44/12</f>
        <v>22.42147281902211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78.727531425940214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-4.2632564145606011E-13</v>
      </c>
      <c r="BE107" s="13">
        <f>BD107*VLOOKUP('Données projet'!$B$11,Paramètres!$A$1:$I$89,3,0)*VLOOKUP('Données projet'!$B$11,Paramètres!$A$1:$I$89,5,0)</f>
        <v>-2.4385826691286639E-13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287.9055604128643</v>
      </c>
      <c r="BJ107" s="59">
        <f t="shared" si="92"/>
        <v>197.74605993031139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115.38408441201042</v>
      </c>
      <c r="BQ107" s="21">
        <f>EXP(-LN(2)/25)*BQ106+(1-EXP(-LN(2)/25))/(LN(2)/25)*Calculateur!BL107*Calculateur!BN107*VLOOKUP('Données projet'!$B$11,Paramètres!$A$1:$I$89,3,0)*0.475*44/12</f>
        <v>51.662353581313397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167.04643799332382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135.89743589743577</v>
      </c>
      <c r="BZ107" s="13">
        <f>BY107*VLOOKUP('Données projet'!$B$12,Paramètres!$A$1:$I$89,3,0)*VLOOKUP('Données projet'!$B$12,Paramètres!$A$1:$I$89,5,0)</f>
        <v>118.71999999999991</v>
      </c>
      <c r="CA107" s="13">
        <f t="shared" si="93"/>
        <v>31.376274241265865</v>
      </c>
      <c r="CB107" s="20">
        <f t="shared" si="64"/>
        <v>261.41767763687125</v>
      </c>
      <c r="CC107" s="59">
        <f t="shared" si="65"/>
        <v>554.75101097020456</v>
      </c>
      <c r="CD107" s="59">
        <f ca="1">AVERAGE(OFFSET($CC$3,0,0,'Données projet'!$E$12+1,1))-AVERAGE(OFFSET($H$3,0,0,'Données projet'!$E$12+1,1))</f>
        <v>201.78062426023638</v>
      </c>
      <c r="CE107" s="59">
        <f t="shared" si="94"/>
        <v>183.0364139873468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15.560411057999925</v>
      </c>
      <c r="CL107" s="21">
        <f>EXP(-LN(2)/25)*CL106+(1-EXP(-LN(2)/25))/(LN(2)/25)*Calculateur!CG107*Calculateur!CI107*VLOOKUP('Données projet'!$B$12,Paramètres!$A$1:$I$89,3,0)*0.475*44/12</f>
        <v>6.8611924447692232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22.421603502769148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3.4398000000000026</v>
      </c>
      <c r="D108" s="11">
        <f t="shared" si="86"/>
        <v>1.3728806801492088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1.8575258765488185</v>
      </c>
      <c r="H108" s="67">
        <f t="shared" si="56"/>
        <v>265.04875218459324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346.2919953121168</v>
      </c>
      <c r="T108" s="59">
        <f t="shared" si="88"/>
        <v>255.63939678041237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99.490671061259604</v>
      </c>
      <c r="AA108" s="21">
        <f>EXP(-LN(2)/25)*AA107+(1-EXP(-LN(2)/25))/(LN(2)/25)*Calculateur!V108*Calculateur!X108*VLOOKUP('Données projet'!$B$9,Paramètres!$A$1:$I$89,3,0)*0.475*44/12</f>
        <v>40.091976360480686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139.58264742174029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298.32148815673816</v>
      </c>
      <c r="AO108" s="59">
        <f t="shared" si="90"/>
        <v>303.51754260758827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55.201931140941063</v>
      </c>
      <c r="AV108" s="21">
        <f>EXP(-LN(2)/25)*AV107+(1-EXP(-LN(2)/25))/(LN(2)/25)*Calculateur!AQ108*Calculateur!AS108*VLOOKUP('Données projet'!$B$10,Paramètres!$A$1:$I$89,3,0)*0.475*44/12</f>
        <v>21.80835646569194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77.010287606633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-4.2632564145606011E-13</v>
      </c>
      <c r="BE108" s="13">
        <f>BD108*VLOOKUP('Données projet'!$B$11,Paramètres!$A$1:$I$89,3,0)*VLOOKUP('Données projet'!$B$11,Paramètres!$A$1:$I$89,5,0)</f>
        <v>-2.4385826691286639E-13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287.9055604128643</v>
      </c>
      <c r="BJ108" s="59">
        <f t="shared" si="92"/>
        <v>197.74605993031139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113.1214728940332</v>
      </c>
      <c r="BQ108" s="21">
        <f>EXP(-LN(2)/25)*BQ107+(1-EXP(-LN(2)/25))/(LN(2)/25)*Calculateur!BL108*Calculateur!BN108*VLOOKUP('Données projet'!$B$11,Paramètres!$A$1:$I$89,3,0)*0.475*44/12</f>
        <v>50.249643805827283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163.37111669986049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135.89743589743577</v>
      </c>
      <c r="BZ108" s="13">
        <f>BY108*VLOOKUP('Données projet'!$B$12,Paramètres!$A$1:$I$89,3,0)*VLOOKUP('Données projet'!$B$12,Paramètres!$A$1:$I$89,5,0)</f>
        <v>118.71999999999991</v>
      </c>
      <c r="CA108" s="13">
        <f t="shared" si="93"/>
        <v>31.376274241265865</v>
      </c>
      <c r="CB108" s="20">
        <f t="shared" si="64"/>
        <v>261.41767763687125</v>
      </c>
      <c r="CC108" s="59">
        <f t="shared" si="65"/>
        <v>554.75101097020456</v>
      </c>
      <c r="CD108" s="59">
        <f ca="1">AVERAGE(OFFSET($CC$3,0,0,'Données projet'!$E$12+1,1))-AVERAGE(OFFSET($H$3,0,0,'Données projet'!$E$12+1,1))</f>
        <v>201.78062426023638</v>
      </c>
      <c r="CE108" s="59">
        <f t="shared" si="94"/>
        <v>183.0364139873468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15.255280888066142</v>
      </c>
      <c r="CL108" s="21">
        <f>EXP(-LN(2)/25)*CL107+(1-EXP(-LN(2)/25))/(LN(2)/25)*Calculateur!CG108*Calculateur!CI108*VLOOKUP('Données projet'!$B$12,Paramètres!$A$1:$I$89,3,0)*0.475*44/12</f>
        <v>6.6735727765525796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21.928853664618721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3.4725600000000028</v>
      </c>
      <c r="D109" s="11">
        <f t="shared" si="86"/>
        <v>1.3844274168028008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1.8746267222747666</v>
      </c>
      <c r="H109" s="67">
        <f t="shared" si="56"/>
        <v>265.12591975093159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346.2919953121168</v>
      </c>
      <c r="T109" s="59">
        <f t="shared" si="88"/>
        <v>255.63939678041237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97.539719685065677</v>
      </c>
      <c r="AA109" s="21">
        <f>EXP(-LN(2)/25)*AA108+(1-EXP(-LN(2)/25))/(LN(2)/25)*Calculateur!V109*Calculateur!X109*VLOOKUP('Données projet'!$B$9,Paramètres!$A$1:$I$89,3,0)*0.475*44/12</f>
        <v>38.995659158557935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136.53537884362362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298.32148815673816</v>
      </c>
      <c r="AO109" s="59">
        <f t="shared" si="90"/>
        <v>303.51754260758827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54.11945494112058</v>
      </c>
      <c r="AV109" s="21">
        <f>EXP(-LN(2)/25)*AV108+(1-EXP(-LN(2)/25))/(LN(2)/25)*Calculateur!AQ109*Calculateur!AS109*VLOOKUP('Données projet'!$B$10,Paramètres!$A$1:$I$89,3,0)*0.475*44/12</f>
        <v>21.21200581128597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75.331460752406542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-4.2632564145606011E-13</v>
      </c>
      <c r="BE109" s="13">
        <f>BD109*VLOOKUP('Données projet'!$B$11,Paramètres!$A$1:$I$89,3,0)*VLOOKUP('Données projet'!$B$11,Paramètres!$A$1:$I$89,5,0)</f>
        <v>-2.4385826691286639E-13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287.9055604128643</v>
      </c>
      <c r="BJ109" s="59">
        <f t="shared" si="92"/>
        <v>197.74605993031139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110.90322980786677</v>
      </c>
      <c r="BQ109" s="21">
        <f>EXP(-LN(2)/25)*BQ108+(1-EXP(-LN(2)/25))/(LN(2)/25)*Calculateur!BL109*Calculateur!BN109*VLOOKUP('Données projet'!$B$11,Paramètres!$A$1:$I$89,3,0)*0.475*44/12</f>
        <v>48.875564653443014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159.77879446130979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135.89743589743577</v>
      </c>
      <c r="BZ109" s="13">
        <f>BY109*VLOOKUP('Données projet'!$B$12,Paramètres!$A$1:$I$89,3,0)*VLOOKUP('Données projet'!$B$12,Paramètres!$A$1:$I$89,5,0)</f>
        <v>118.71999999999991</v>
      </c>
      <c r="CA109" s="13">
        <f t="shared" si="93"/>
        <v>31.376274241265865</v>
      </c>
      <c r="CB109" s="20">
        <f t="shared" si="64"/>
        <v>261.41767763687125</v>
      </c>
      <c r="CC109" s="59">
        <f t="shared" si="65"/>
        <v>554.75101097020456</v>
      </c>
      <c r="CD109" s="59">
        <f ca="1">AVERAGE(OFFSET($CC$3,0,0,'Données projet'!$E$12+1,1))-AVERAGE(OFFSET($H$3,0,0,'Données projet'!$E$12+1,1))</f>
        <v>201.78062426023638</v>
      </c>
      <c r="CE109" s="59">
        <f t="shared" si="94"/>
        <v>183.0364139873468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14.956134134653734</v>
      </c>
      <c r="CL109" s="21">
        <f>EXP(-LN(2)/25)*CL108+(1-EXP(-LN(2)/25))/(LN(2)/25)*Calculateur!CG109*Calculateur!CI109*VLOOKUP('Données projet'!$B$12,Paramètres!$A$1:$I$89,3,0)*0.475*44/12</f>
        <v>6.4910835780298095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21.447217712683543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3.5053200000000029</v>
      </c>
      <c r="D110" s="11">
        <f t="shared" si="86"/>
        <v>1.3959614805928375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1.8917226767200435</v>
      </c>
      <c r="H110" s="67">
        <f t="shared" si="56"/>
        <v>265.20306524536591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346.2919953121168</v>
      </c>
      <c r="T110" s="59">
        <f t="shared" si="88"/>
        <v>255.63939678041237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95.627025275396065</v>
      </c>
      <c r="AA110" s="21">
        <f>EXP(-LN(2)/25)*AA109+(1-EXP(-LN(2)/25))/(LN(2)/25)*Calculateur!V110*Calculateur!X110*VLOOKUP('Données projet'!$B$9,Paramètres!$A$1:$I$89,3,0)*0.475*44/12</f>
        <v>37.92932080817458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133.55634608357065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298.32148815673816</v>
      </c>
      <c r="AO110" s="59">
        <f t="shared" si="90"/>
        <v>303.51754260758827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53.058205439333292</v>
      </c>
      <c r="AV110" s="21">
        <f>EXP(-LN(2)/25)*AV109+(1-EXP(-LN(2)/25))/(LN(2)/25)*Calculateur!AQ110*Calculateur!AS110*VLOOKUP('Données projet'!$B$10,Paramètres!$A$1:$I$89,3,0)*0.475*44/12</f>
        <v>20.631962396885449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73.690167836218734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-4.2632564145606011E-13</v>
      </c>
      <c r="BE110" s="13">
        <f>BD110*VLOOKUP('Données projet'!$B$11,Paramètres!$A$1:$I$89,3,0)*VLOOKUP('Données projet'!$B$11,Paramètres!$A$1:$I$89,5,0)</f>
        <v>-2.4385826691286639E-13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287.9055604128643</v>
      </c>
      <c r="BJ110" s="59">
        <f t="shared" si="92"/>
        <v>197.74605993031139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108.72848511562536</v>
      </c>
      <c r="BQ110" s="21">
        <f>EXP(-LN(2)/25)*BQ109+(1-EXP(-LN(2)/25))/(LN(2)/25)*Calculateur!BL110*Calculateur!BN110*VLOOKUP('Données projet'!$B$11,Paramètres!$A$1:$I$89,3,0)*0.475*44/12</f>
        <v>47.539059767740376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156.26754488336573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135.89743589743577</v>
      </c>
      <c r="BZ110" s="13">
        <f>BY110*VLOOKUP('Données projet'!$B$12,Paramètres!$A$1:$I$89,3,0)*VLOOKUP('Données projet'!$B$12,Paramètres!$A$1:$I$89,5,0)</f>
        <v>118.71999999999991</v>
      </c>
      <c r="CA110" s="13">
        <f t="shared" si="93"/>
        <v>31.376274241265865</v>
      </c>
      <c r="CB110" s="20">
        <f t="shared" si="64"/>
        <v>261.41767763687125</v>
      </c>
      <c r="CC110" s="59">
        <f t="shared" si="65"/>
        <v>554.75101097020456</v>
      </c>
      <c r="CD110" s="59">
        <f ca="1">AVERAGE(OFFSET($CC$3,0,0,'Données projet'!$E$12+1,1))-AVERAGE(OFFSET($H$3,0,0,'Données projet'!$E$12+1,1))</f>
        <v>201.78062426023638</v>
      </c>
      <c r="CE110" s="59">
        <f t="shared" si="94"/>
        <v>183.0364139873468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14.662853466614241</v>
      </c>
      <c r="CL110" s="21">
        <f>EXP(-LN(2)/25)*CL109+(1-EXP(-LN(2)/25))/(LN(2)/25)*Calculateur!CG110*Calculateur!CI110*VLOOKUP('Données projet'!$B$12,Paramètres!$A$1:$I$89,3,0)*0.475*44/12</f>
        <v>6.3135845562373349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20.976438022851575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3.538080000000003</v>
      </c>
      <c r="D111" s="11">
        <f t="shared" si="86"/>
        <v>1.4074830036754464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1.9088137908922789</v>
      </c>
      <c r="H111" s="67">
        <f t="shared" si="56"/>
        <v>265.2801888980681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346.2919953121168</v>
      </c>
      <c r="T111" s="59">
        <f t="shared" si="88"/>
        <v>255.63939678041237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93.751837636471677</v>
      </c>
      <c r="AA111" s="21">
        <f>EXP(-LN(2)/25)*AA110+(1-EXP(-LN(2)/25))/(LN(2)/25)*Calculateur!V111*Calculateur!X111*VLOOKUP('Données projet'!$B$9,Paramètres!$A$1:$I$89,3,0)*0.475*44/12</f>
        <v>36.892141536058752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130.64397917253044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298.32148815673816</v>
      </c>
      <c r="AO111" s="59">
        <f t="shared" si="90"/>
        <v>303.51754260758827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52.017766392977769</v>
      </c>
      <c r="AV111" s="21">
        <f>EXP(-LN(2)/25)*AV110+(1-EXP(-LN(2)/25))/(LN(2)/25)*Calculateur!AQ111*Calculateur!AS111*VLOOKUP('Données projet'!$B$10,Paramètres!$A$1:$I$89,3,0)*0.475*44/12</f>
        <v>20.067780300154869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72.085546693132642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-4.2632564145606011E-13</v>
      </c>
      <c r="BE111" s="13">
        <f>BD111*VLOOKUP('Données projet'!$B$11,Paramètres!$A$1:$I$89,3,0)*VLOOKUP('Données projet'!$B$11,Paramètres!$A$1:$I$89,5,0)</f>
        <v>-2.4385826691286639E-13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287.9055604128643</v>
      </c>
      <c r="BJ111" s="59">
        <f t="shared" si="92"/>
        <v>197.74605993031139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106.59638584033553</v>
      </c>
      <c r="BQ111" s="21">
        <f>EXP(-LN(2)/25)*BQ110+(1-EXP(-LN(2)/25))/(LN(2)/25)*Calculateur!BL111*Calculateur!BN111*VLOOKUP('Données projet'!$B$11,Paramètres!$A$1:$I$89,3,0)*0.475*44/12</f>
        <v>46.239101678421015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152.83548751875654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135.89743589743577</v>
      </c>
      <c r="BZ111" s="13">
        <f>BY111*VLOOKUP('Données projet'!$B$12,Paramètres!$A$1:$I$89,3,0)*VLOOKUP('Données projet'!$B$12,Paramètres!$A$1:$I$89,5,0)</f>
        <v>118.71999999999991</v>
      </c>
      <c r="CA111" s="13">
        <f t="shared" si="93"/>
        <v>31.376274241265865</v>
      </c>
      <c r="CB111" s="20">
        <f t="shared" si="64"/>
        <v>261.41767763687125</v>
      </c>
      <c r="CC111" s="59">
        <f t="shared" si="65"/>
        <v>554.75101097020456</v>
      </c>
      <c r="CD111" s="59">
        <f ca="1">AVERAGE(OFFSET($CC$3,0,0,'Données projet'!$E$12+1,1))-AVERAGE(OFFSET($H$3,0,0,'Données projet'!$E$12+1,1))</f>
        <v>201.78062426023638</v>
      </c>
      <c r="CE111" s="59">
        <f t="shared" si="94"/>
        <v>183.0364139873468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14.375323853591457</v>
      </c>
      <c r="CL111" s="21">
        <f>EXP(-LN(2)/25)*CL110+(1-EXP(-LN(2)/25))/(LN(2)/25)*Calculateur!CG111*Calculateur!CI111*VLOOKUP('Données projet'!$B$12,Paramètres!$A$1:$I$89,3,0)*0.475*44/12</f>
        <v>6.1409392545300427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20.5162631081215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3.5708400000000031</v>
      </c>
      <c r="D112" s="11">
        <f t="shared" si="86"/>
        <v>1.4189921156182699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1.9259001148000354</v>
      </c>
      <c r="H112" s="67">
        <f t="shared" si="56"/>
        <v>265.35729093470184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346.2919953121168</v>
      </c>
      <c r="T112" s="59">
        <f t="shared" si="88"/>
        <v>255.63939678041237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91.913421283395081</v>
      </c>
      <c r="AA112" s="21">
        <f>EXP(-LN(2)/25)*AA111+(1-EXP(-LN(2)/25))/(LN(2)/25)*Calculateur!V112*Calculateur!X112*VLOOKUP('Données projet'!$B$9,Paramètres!$A$1:$I$89,3,0)*0.475*44/12</f>
        <v>35.88332398568182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127.79674526907689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298.32148815673816</v>
      </c>
      <c r="AO112" s="59">
        <f t="shared" si="90"/>
        <v>303.51754260758827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50.997729721716127</v>
      </c>
      <c r="AV112" s="21">
        <f>EXP(-LN(2)/25)*AV111+(1-EXP(-LN(2)/25))/(LN(2)/25)*Calculateur!AQ112*Calculateur!AS112*VLOOKUP('Données projet'!$B$10,Paramètres!$A$1:$I$89,3,0)*0.475*44/12</f>
        <v>19.519025792528435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70.516755514244565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-4.2632564145606011E-13</v>
      </c>
      <c r="BE112" s="13">
        <f>BD112*VLOOKUP('Données projet'!$B$11,Paramètres!$A$1:$I$89,3,0)*VLOOKUP('Données projet'!$B$11,Paramètres!$A$1:$I$89,5,0)</f>
        <v>-2.4385826691286639E-13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287.9055604128643</v>
      </c>
      <c r="BJ112" s="59">
        <f t="shared" si="92"/>
        <v>197.74605993031139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104.50609573138198</v>
      </c>
      <c r="BQ112" s="21">
        <f>EXP(-LN(2)/25)*BQ111+(1-EXP(-LN(2)/25))/(LN(2)/25)*Calculateur!BL112*Calculateur!BN112*VLOOKUP('Données projet'!$B$11,Paramètres!$A$1:$I$89,3,0)*0.475*44/12</f>
        <v>44.974691011415914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149.48078674279787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135.89743589743577</v>
      </c>
      <c r="BZ112" s="13">
        <f>BY112*VLOOKUP('Données projet'!$B$12,Paramètres!$A$1:$I$89,3,0)*VLOOKUP('Données projet'!$B$12,Paramètres!$A$1:$I$89,5,0)</f>
        <v>118.71999999999991</v>
      </c>
      <c r="CA112" s="13">
        <f t="shared" si="93"/>
        <v>31.376274241265865</v>
      </c>
      <c r="CB112" s="20">
        <f t="shared" si="64"/>
        <v>261.41767763687125</v>
      </c>
      <c r="CC112" s="59">
        <f t="shared" si="65"/>
        <v>554.75101097020456</v>
      </c>
      <c r="CD112" s="59">
        <f ca="1">AVERAGE(OFFSET($CC$3,0,0,'Données projet'!$E$12+1,1))-AVERAGE(OFFSET($H$3,0,0,'Données projet'!$E$12+1,1))</f>
        <v>201.78062426023638</v>
      </c>
      <c r="CE112" s="59">
        <f t="shared" si="94"/>
        <v>183.0364139873468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14.093432520904303</v>
      </c>
      <c r="CL112" s="21">
        <f>EXP(-LN(2)/25)*CL111+(1-EXP(-LN(2)/25))/(LN(2)/25)*Calculateur!CG112*Calculateur!CI112*VLOOKUP('Données projet'!$B$12,Paramètres!$A$1:$I$89,3,0)*0.475*44/12</f>
        <v>5.9730149476769583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20.066447468581259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3.6036000000000032</v>
      </c>
      <c r="D113" s="11">
        <f t="shared" si="86"/>
        <v>1.4304889434744361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1.9429816974813627</v>
      </c>
      <c r="H113" s="67">
        <f t="shared" si="56"/>
        <v>265.43437157655131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346.2919953121168</v>
      </c>
      <c r="T113" s="59">
        <f t="shared" si="88"/>
        <v>255.63939678041237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90.111055153679061</v>
      </c>
      <c r="AA113" s="21">
        <f>EXP(-LN(2)/25)*AA112+(1-EXP(-LN(2)/25))/(LN(2)/25)*Calculateur!V113*Calculateur!X113*VLOOKUP('Données projet'!$B$9,Paramètres!$A$1:$I$89,3,0)*0.475*44/12</f>
        <v>34.902092604271353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125.01314775795041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298.32148815673816</v>
      </c>
      <c r="AO113" s="59">
        <f t="shared" si="90"/>
        <v>303.51754260758827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49.997695347416986</v>
      </c>
      <c r="AV113" s="21">
        <f>EXP(-LN(2)/25)*AV112+(1-EXP(-LN(2)/25))/(LN(2)/25)*Calculateur!AQ113*Calculateur!AS113*VLOOKUP('Données projet'!$B$10,Paramètres!$A$1:$I$89,3,0)*0.475*44/12</f>
        <v>18.98527700577079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68.982972353187776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-4.2632564145606011E-13</v>
      </c>
      <c r="BE113" s="13">
        <f>BD113*VLOOKUP('Données projet'!$B$11,Paramètres!$A$1:$I$89,3,0)*VLOOKUP('Données projet'!$B$11,Paramètres!$A$1:$I$89,5,0)</f>
        <v>-2.4385826691286639E-13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287.9055604128643</v>
      </c>
      <c r="BJ113" s="59">
        <f t="shared" si="92"/>
        <v>197.74605993031139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102.45679493651393</v>
      </c>
      <c r="BQ113" s="21">
        <f>EXP(-LN(2)/25)*BQ112+(1-EXP(-LN(2)/25))/(LN(2)/25)*Calculateur!BL113*Calculateur!BN113*VLOOKUP('Données projet'!$B$11,Paramètres!$A$1:$I$89,3,0)*0.475*44/12</f>
        <v>43.744855720592533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146.20165065710646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135.89743589743577</v>
      </c>
      <c r="BZ113" s="13">
        <f>BY113*VLOOKUP('Données projet'!$B$12,Paramètres!$A$1:$I$89,3,0)*VLOOKUP('Données projet'!$B$12,Paramètres!$A$1:$I$89,5,0)</f>
        <v>118.71999999999991</v>
      </c>
      <c r="CA113" s="13">
        <f t="shared" si="93"/>
        <v>31.376274241265865</v>
      </c>
      <c r="CB113" s="20">
        <f t="shared" si="64"/>
        <v>261.41767763687125</v>
      </c>
      <c r="CC113" s="59">
        <f t="shared" si="65"/>
        <v>554.75101097020456</v>
      </c>
      <c r="CD113" s="59">
        <f ca="1">AVERAGE(OFFSET($CC$3,0,0,'Données projet'!$E$12+1,1))-AVERAGE(OFFSET($H$3,0,0,'Données projet'!$E$12+1,1))</f>
        <v>201.78062426023638</v>
      </c>
      <c r="CE113" s="59">
        <f t="shared" si="94"/>
        <v>183.0364139873468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13.817068905314409</v>
      </c>
      <c r="CL113" s="21">
        <f>EXP(-LN(2)/25)*CL112+(1-EXP(-LN(2)/25))/(LN(2)/25)*Calculateur!CG113*Calculateur!CI113*VLOOKUP('Données projet'!$B$12,Paramètres!$A$1:$I$89,3,0)*0.475*44/12</f>
        <v>5.809682539825527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19.626751445139938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3.6363600000000034</v>
      </c>
      <c r="D114" s="11">
        <f t="shared" si="86"/>
        <v>1.441973611853764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1.9600585870312788</v>
      </c>
      <c r="H114" s="67">
        <f t="shared" si="56"/>
        <v>265.51143104064533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346.2919953121168</v>
      </c>
      <c r="T114" s="59">
        <f t="shared" si="88"/>
        <v>255.63939678041237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88.344032324431979</v>
      </c>
      <c r="AA114" s="21">
        <f>EXP(-LN(2)/25)*AA113+(1-EXP(-LN(2)/25))/(LN(2)/25)*Calculateur!V114*Calculateur!X114*VLOOKUP('Données projet'!$B$9,Paramètres!$A$1:$I$89,3,0)*0.475*44/12</f>
        <v>33.947693046586274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122.29172537101826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298.32148815673816</v>
      </c>
      <c r="AO114" s="59">
        <f t="shared" si="90"/>
        <v>303.51754260758827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49.017271037237116</v>
      </c>
      <c r="AV114" s="21">
        <f>EXP(-LN(2)/25)*AV113+(1-EXP(-LN(2)/25))/(LN(2)/25)*Calculateur!AQ114*Calculateur!AS114*VLOOKUP('Données projet'!$B$10,Paramètres!$A$1:$I$89,3,0)*0.475*44/12</f>
        <v>18.466123607655661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67.483394644892769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-4.2632564145606011E-13</v>
      </c>
      <c r="BE114" s="13">
        <f>BD114*VLOOKUP('Données projet'!$B$11,Paramètres!$A$1:$I$89,3,0)*VLOOKUP('Données projet'!$B$11,Paramètres!$A$1:$I$89,5,0)</f>
        <v>-2.4385826691286639E-13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287.9055604128643</v>
      </c>
      <c r="BJ114" s="59">
        <f t="shared" si="92"/>
        <v>197.74605993031139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100.44767968028319</v>
      </c>
      <c r="BQ114" s="21">
        <f>EXP(-LN(2)/25)*BQ113+(1-EXP(-LN(2)/25))/(LN(2)/25)*Calculateur!BL114*Calculateur!BN114*VLOOKUP('Données projet'!$B$11,Paramètres!$A$1:$I$89,3,0)*0.475*44/12</f>
        <v>42.54865034047095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142.99633002075413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135.89743589743577</v>
      </c>
      <c r="BZ114" s="13">
        <f>BY114*VLOOKUP('Données projet'!$B$12,Paramètres!$A$1:$I$89,3,0)*VLOOKUP('Données projet'!$B$12,Paramètres!$A$1:$I$89,5,0)</f>
        <v>118.71999999999991</v>
      </c>
      <c r="CA114" s="13">
        <f t="shared" si="93"/>
        <v>31.376274241265865</v>
      </c>
      <c r="CB114" s="20">
        <f t="shared" si="64"/>
        <v>261.41767763687125</v>
      </c>
      <c r="CC114" s="59">
        <f t="shared" si="65"/>
        <v>554.75101097020456</v>
      </c>
      <c r="CD114" s="59">
        <f ca="1">AVERAGE(OFFSET($CC$3,0,0,'Données projet'!$E$12+1,1))-AVERAGE(OFFSET($H$3,0,0,'Données projet'!$E$12+1,1))</f>
        <v>201.78062426023638</v>
      </c>
      <c r="CE114" s="59">
        <f t="shared" si="94"/>
        <v>183.0364139873468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13.546124611661071</v>
      </c>
      <c r="CL114" s="21">
        <f>EXP(-LN(2)/25)*CL113+(1-EXP(-LN(2)/25))/(LN(2)/25)*Calculateur!CG114*Calculateur!CI114*VLOOKUP('Données projet'!$B$12,Paramètres!$A$1:$I$89,3,0)*0.475*44/12</f>
        <v>5.6508164652560717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19.196941076917142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3.6691200000000035</v>
      </c>
      <c r="D115" s="11">
        <f t="shared" si="86"/>
        <v>1.4534462429913297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1.9771308306282338</v>
      </c>
      <c r="H115" s="67">
        <f t="shared" si="56"/>
        <v>265.5884695398766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346.2919953121168</v>
      </c>
      <c r="T115" s="59">
        <f t="shared" si="88"/>
        <v>255.63939678041237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86.611659735088935</v>
      </c>
      <c r="AA115" s="21">
        <f>EXP(-LN(2)/25)*AA114+(1-EXP(-LN(2)/25))/(LN(2)/25)*Calculateur!V115*Calculateur!X115*VLOOKUP('Données projet'!$B$9,Paramètres!$A$1:$I$89,3,0)*0.475*44/12</f>
        <v>33.019391594995781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119.63105133008472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298.32148815673816</v>
      </c>
      <c r="AO115" s="59">
        <f t="shared" si="90"/>
        <v>303.51754260758827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48.056072249780087</v>
      </c>
      <c r="AV115" s="21">
        <f>EXP(-LN(2)/25)*AV114+(1-EXP(-LN(2)/25))/(LN(2)/25)*Calculateur!AQ115*Calculateur!AS115*VLOOKUP('Données projet'!$B$10,Paramètres!$A$1:$I$89,3,0)*0.475*44/12</f>
        <v>17.961166486513079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66.017238736293166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-4.2632564145606011E-13</v>
      </c>
      <c r="BE115" s="13">
        <f>BD115*VLOOKUP('Données projet'!$B$11,Paramètres!$A$1:$I$89,3,0)*VLOOKUP('Données projet'!$B$11,Paramètres!$A$1:$I$89,5,0)</f>
        <v>-2.4385826691286639E-13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287.9055604128643</v>
      </c>
      <c r="BJ115" s="59">
        <f t="shared" si="92"/>
        <v>197.74605993031139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98.477961948787822</v>
      </c>
      <c r="BQ115" s="21">
        <f>EXP(-LN(2)/25)*BQ114+(1-EXP(-LN(2)/25))/(LN(2)/25)*Calculateur!BL115*Calculateur!BN115*VLOOKUP('Données projet'!$B$11,Paramètres!$A$1:$I$89,3,0)*0.475*44/12</f>
        <v>41.3851552593745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139.86311720816232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135.89743589743577</v>
      </c>
      <c r="BZ115" s="13">
        <f>BY115*VLOOKUP('Données projet'!$B$12,Paramètres!$A$1:$I$89,3,0)*VLOOKUP('Données projet'!$B$12,Paramètres!$A$1:$I$89,5,0)</f>
        <v>118.71999999999991</v>
      </c>
      <c r="CA115" s="13">
        <f t="shared" si="93"/>
        <v>31.376274241265865</v>
      </c>
      <c r="CB115" s="20">
        <f t="shared" si="64"/>
        <v>261.41767763687125</v>
      </c>
      <c r="CC115" s="59">
        <f t="shared" si="65"/>
        <v>554.75101097020456</v>
      </c>
      <c r="CD115" s="59">
        <f ca="1">AVERAGE(OFFSET($CC$3,0,0,'Données projet'!$E$12+1,1))-AVERAGE(OFFSET($H$3,0,0,'Données projet'!$E$12+1,1))</f>
        <v>201.78062426023638</v>
      </c>
      <c r="CE115" s="59">
        <f t="shared" si="94"/>
        <v>183.0364139873468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13.280493370346575</v>
      </c>
      <c r="CL115" s="21">
        <f>EXP(-LN(2)/25)*CL114+(1-EXP(-LN(2)/25))/(LN(2)/25)*Calculateur!CG115*Calculateur!CI115*VLOOKUP('Données projet'!$B$12,Paramètres!$A$1:$I$89,3,0)*0.475*44/12</f>
        <v>5.4962945918501216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18.776787962196696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3.7018800000000036</v>
      </c>
      <c r="D116" s="11">
        <f t="shared" si="86"/>
        <v>1.4649069568135102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1.994198474559602</v>
      </c>
      <c r="H116" s="67">
        <f t="shared" si="56"/>
        <v>265.66548728311687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346.2919953121168</v>
      </c>
      <c r="T116" s="59">
        <f t="shared" si="88"/>
        <v>255.63939678041237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84.913257915579962</v>
      </c>
      <c r="AA116" s="21">
        <f>EXP(-LN(2)/25)*AA115+(1-EXP(-LN(2)/25))/(LN(2)/25)*Calculateur!V116*Calculateur!X116*VLOOKUP('Données projet'!$B$9,Paramètres!$A$1:$I$89,3,0)*0.475*44/12</f>
        <v>32.116474595416285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117.02973251099624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298.32148815673816</v>
      </c>
      <c r="AO116" s="59">
        <f t="shared" si="90"/>
        <v>303.51754260758827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47.11372198427172</v>
      </c>
      <c r="AV116" s="21">
        <f>EXP(-LN(2)/25)*AV115+(1-EXP(-LN(2)/25))/(LN(2)/25)*Calculateur!AQ116*Calculateur!AS116*VLOOKUP('Données projet'!$B$10,Paramètres!$A$1:$I$89,3,0)*0.475*44/12</f>
        <v>17.470017444402686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64.583739428674406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-4.2632564145606011E-13</v>
      </c>
      <c r="BE116" s="13">
        <f>BD116*VLOOKUP('Données projet'!$B$11,Paramètres!$A$1:$I$89,3,0)*VLOOKUP('Données projet'!$B$11,Paramètres!$A$1:$I$89,5,0)</f>
        <v>-2.4385826691286639E-13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287.9055604128643</v>
      </c>
      <c r="BJ116" s="59">
        <f t="shared" si="92"/>
        <v>197.74605993031139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96.546869180597895</v>
      </c>
      <c r="BQ116" s="21">
        <f>EXP(-LN(2)/25)*BQ115+(1-EXP(-LN(2)/25))/(LN(2)/25)*Calculateur!BL116*Calculateur!BN116*VLOOKUP('Données projet'!$B$11,Paramètres!$A$1:$I$89,3,0)*0.475*44/12</f>
        <v>40.253476012456176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136.80034519305406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135.89743589743577</v>
      </c>
      <c r="BZ116" s="13">
        <f>BY116*VLOOKUP('Données projet'!$B$12,Paramètres!$A$1:$I$89,3,0)*VLOOKUP('Données projet'!$B$12,Paramètres!$A$1:$I$89,5,0)</f>
        <v>118.71999999999991</v>
      </c>
      <c r="CA116" s="13">
        <f t="shared" si="93"/>
        <v>31.376274241265865</v>
      </c>
      <c r="CB116" s="20">
        <f t="shared" si="64"/>
        <v>261.41767763687125</v>
      </c>
      <c r="CC116" s="59">
        <f t="shared" si="65"/>
        <v>554.75101097020456</v>
      </c>
      <c r="CD116" s="59">
        <f ca="1">AVERAGE(OFFSET($CC$3,0,0,'Données projet'!$E$12+1,1))-AVERAGE(OFFSET($H$3,0,0,'Données projet'!$E$12+1,1))</f>
        <v>201.78062426023638</v>
      </c>
      <c r="CE116" s="59">
        <f t="shared" si="94"/>
        <v>183.0364139873468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13.020070995655196</v>
      </c>
      <c r="CL116" s="21">
        <f>EXP(-LN(2)/25)*CL115+(1-EXP(-LN(2)/25))/(LN(2)/25)*Calculateur!CG116*Calculateur!CI116*VLOOKUP('Données projet'!$B$12,Paramètres!$A$1:$I$89,3,0)*0.475*44/12</f>
        <v>5.3459981271984089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18.366069122853606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3.7346400000000037</v>
      </c>
      <c r="D117" s="11">
        <f t="shared" si="86"/>
        <v>1.4763558710016278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2.0112615642462437</v>
      </c>
      <c r="H117" s="67">
        <f t="shared" si="56"/>
        <v>265.74248447532784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346.2919953121168</v>
      </c>
      <c r="T117" s="59">
        <f t="shared" si="88"/>
        <v>255.63939678041237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83.248160719828732</v>
      </c>
      <c r="AA117" s="21">
        <f>EXP(-LN(2)/25)*AA116+(1-EXP(-LN(2)/25))/(LN(2)/25)*Calculateur!V117*Calculateur!X117*VLOOKUP('Données projet'!$B$9,Paramètres!$A$1:$I$89,3,0)*0.475*44/12</f>
        <v>31.23824790867263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114.48640862850137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298.32148815673816</v>
      </c>
      <c r="AO117" s="59">
        <f t="shared" si="90"/>
        <v>303.51754260758827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46.189850632693066</v>
      </c>
      <c r="AV117" s="21">
        <f>EXP(-LN(2)/25)*AV116+(1-EXP(-LN(2)/25))/(LN(2)/25)*Calculateur!AQ117*Calculateur!AS117*VLOOKUP('Données projet'!$B$10,Paramètres!$A$1:$I$89,3,0)*0.475*44/12</f>
        <v>16.992298898677205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63.182149531370271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-4.2632564145606011E-13</v>
      </c>
      <c r="BE117" s="13">
        <f>BD117*VLOOKUP('Données projet'!$B$11,Paramètres!$A$1:$I$89,3,0)*VLOOKUP('Données projet'!$B$11,Paramètres!$A$1:$I$89,5,0)</f>
        <v>-2.4385826691286639E-13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287.9055604128643</v>
      </c>
      <c r="BJ117" s="59">
        <f t="shared" si="92"/>
        <v>197.74605993031139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94.653643963741885</v>
      </c>
      <c r="BQ117" s="21">
        <f>EXP(-LN(2)/25)*BQ116+(1-EXP(-LN(2)/25))/(LN(2)/25)*Calculateur!BL117*Calculateur!BN117*VLOOKUP('Données projet'!$B$11,Paramètres!$A$1:$I$89,3,0)*0.475*44/12</f>
        <v>39.152742594057258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133.80638655779916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135.89743589743577</v>
      </c>
      <c r="BZ117" s="13">
        <f>BY117*VLOOKUP('Données projet'!$B$12,Paramètres!$A$1:$I$89,3,0)*VLOOKUP('Données projet'!$B$12,Paramètres!$A$1:$I$89,5,0)</f>
        <v>118.71999999999991</v>
      </c>
      <c r="CA117" s="13">
        <f t="shared" si="93"/>
        <v>31.376274241265865</v>
      </c>
      <c r="CB117" s="20">
        <f t="shared" si="64"/>
        <v>261.41767763687125</v>
      </c>
      <c r="CC117" s="59">
        <f t="shared" si="65"/>
        <v>554.75101097020456</v>
      </c>
      <c r="CD117" s="59">
        <f ca="1">AVERAGE(OFFSET($CC$3,0,0,'Données projet'!$E$12+1,1))-AVERAGE(OFFSET($H$3,0,0,'Données projet'!$E$12+1,1))</f>
        <v>201.78062426023638</v>
      </c>
      <c r="CE117" s="59">
        <f t="shared" si="94"/>
        <v>183.0364139873468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12.764755344889551</v>
      </c>
      <c r="CL117" s="21">
        <f>EXP(-LN(2)/25)*CL116+(1-EXP(-LN(2)/25))/(LN(2)/25)*Calculateur!CG117*Calculateur!CI117*VLOOKUP('Données projet'!$B$12,Paramètres!$A$1:$I$89,3,0)*0.475*44/12</f>
        <v>5.1998115272763457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17.964566872165896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3.7674000000000039</v>
      </c>
      <c r="D118" s="11">
        <f t="shared" si="86"/>
        <v>1.4877931010532928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2.0283201442661851</v>
      </c>
      <c r="H118" s="67">
        <f t="shared" si="56"/>
        <v>265.81946131766784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346.2919953121168</v>
      </c>
      <c r="T118" s="59">
        <f t="shared" si="88"/>
        <v>255.63939678041237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81.615715064477186</v>
      </c>
      <c r="AA118" s="21">
        <f>EXP(-LN(2)/25)*AA117+(1-EXP(-LN(2)/25))/(LN(2)/25)*Calculateur!V118*Calculateur!X118*VLOOKUP('Données projet'!$B$9,Paramètres!$A$1:$I$89,3,0)*0.475*44/12</f>
        <v>30.384036376861914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111.9997514413391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298.32148815673816</v>
      </c>
      <c r="AO118" s="59">
        <f t="shared" si="90"/>
        <v>303.51754260758827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45.284095834812987</v>
      </c>
      <c r="AV118" s="21">
        <f>EXP(-LN(2)/25)*AV117+(1-EXP(-LN(2)/25))/(LN(2)/25)*Calculateur!AQ118*Calculateur!AS118*VLOOKUP('Données projet'!$B$10,Paramètres!$A$1:$I$89,3,0)*0.475*44/12</f>
        <v>16.527643591706713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61.811739426519701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-4.2632564145606011E-13</v>
      </c>
      <c r="BE118" s="13">
        <f>BD118*VLOOKUP('Données projet'!$B$11,Paramètres!$A$1:$I$89,3,0)*VLOOKUP('Données projet'!$B$11,Paramètres!$A$1:$I$89,5,0)</f>
        <v>-2.4385826691286639E-13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287.9055604128643</v>
      </c>
      <c r="BJ118" s="59">
        <f t="shared" si="92"/>
        <v>197.74605993031139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92.797543738635056</v>
      </c>
      <c r="BQ118" s="21">
        <f>EXP(-LN(2)/25)*BQ117+(1-EXP(-LN(2)/25))/(LN(2)/25)*Calculateur!BL118*Calculateur!BN118*VLOOKUP('Données projet'!$B$11,Paramètres!$A$1:$I$89,3,0)*0.475*44/12</f>
        <v>38.082108788869512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130.87965252750456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135.89743589743577</v>
      </c>
      <c r="BZ118" s="13">
        <f>BY118*VLOOKUP('Données projet'!$B$12,Paramètres!$A$1:$I$89,3,0)*VLOOKUP('Données projet'!$B$12,Paramètres!$A$1:$I$89,5,0)</f>
        <v>118.71999999999991</v>
      </c>
      <c r="CA118" s="13">
        <f t="shared" si="93"/>
        <v>31.376274241265865</v>
      </c>
      <c r="CB118" s="20">
        <f t="shared" si="64"/>
        <v>261.41767763687125</v>
      </c>
      <c r="CC118" s="59">
        <f t="shared" si="65"/>
        <v>554.75101097020456</v>
      </c>
      <c r="CD118" s="59">
        <f ca="1">AVERAGE(OFFSET($CC$3,0,0,'Données projet'!$E$12+1,1))-AVERAGE(OFFSET($H$3,0,0,'Données projet'!$E$12+1,1))</f>
        <v>201.78062426023638</v>
      </c>
      <c r="CE118" s="59">
        <f t="shared" si="94"/>
        <v>183.0364139873468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12.514446278308251</v>
      </c>
      <c r="CL118" s="21">
        <f>EXP(-LN(2)/25)*CL117+(1-EXP(-LN(2)/25))/(LN(2)/25)*Calculateur!CG118*Calculateur!CI118*VLOOKUP('Données projet'!$B$12,Paramètres!$A$1:$I$89,3,0)*0.475*44/12</f>
        <v>5.05762240761677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17.572068685925021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3.800160000000004</v>
      </c>
      <c r="D119" s="11">
        <f t="shared" si="86"/>
        <v>1.499218760341553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2.0453742583774428</v>
      </c>
      <c r="H119" s="67">
        <f t="shared" si="56"/>
        <v>265.89641800759489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346.2919953121168</v>
      </c>
      <c r="T119" s="59">
        <f t="shared" si="88"/>
        <v>255.63939678041237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80.015280672733539</v>
      </c>
      <c r="AA119" s="21">
        <f>EXP(-LN(2)/25)*AA118+(1-EXP(-LN(2)/25))/(LN(2)/25)*Calculateur!V119*Calculateur!X119*VLOOKUP('Données projet'!$B$9,Paramètres!$A$1:$I$89,3,0)*0.475*44/12</f>
        <v>29.553183304309595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109.56846397704314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298.32148815673816</v>
      </c>
      <c r="AO119" s="59">
        <f t="shared" si="90"/>
        <v>303.51754260758827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44.396102336063457</v>
      </c>
      <c r="AV119" s="21">
        <f>EXP(-LN(2)/25)*AV118+(1-EXP(-LN(2)/25))/(LN(2)/25)*Calculateur!AQ119*Calculateur!AS119*VLOOKUP('Données projet'!$B$10,Paramètres!$A$1:$I$89,3,0)*0.475*44/12</f>
        <v>16.075694308540491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60.471796644603948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-4.2632564145606011E-13</v>
      </c>
      <c r="BE119" s="13">
        <f>BD119*VLOOKUP('Données projet'!$B$11,Paramètres!$A$1:$I$89,3,0)*VLOOKUP('Données projet'!$B$11,Paramètres!$A$1:$I$89,5,0)</f>
        <v>-2.4385826691286639E-13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287.9055604128643</v>
      </c>
      <c r="BJ119" s="59">
        <f t="shared" si="92"/>
        <v>197.74605993031139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90.977840506833232</v>
      </c>
      <c r="BQ119" s="21">
        <f>EXP(-LN(2)/25)*BQ118+(1-EXP(-LN(2)/25))/(LN(2)/25)*Calculateur!BL119*Calculateur!BN119*VLOOKUP('Données projet'!$B$11,Paramètres!$A$1:$I$89,3,0)*0.475*44/12</f>
        <v>37.040751521386809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128.01859202822004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135.89743589743577</v>
      </c>
      <c r="BZ119" s="13">
        <f>BY119*VLOOKUP('Données projet'!$B$12,Paramètres!$A$1:$I$89,3,0)*VLOOKUP('Données projet'!$B$12,Paramètres!$A$1:$I$89,5,0)</f>
        <v>118.71999999999991</v>
      </c>
      <c r="CA119" s="13">
        <f t="shared" si="93"/>
        <v>31.376274241265865</v>
      </c>
      <c r="CB119" s="20">
        <f t="shared" si="64"/>
        <v>261.41767763687125</v>
      </c>
      <c r="CC119" s="59">
        <f t="shared" si="65"/>
        <v>554.75101097020456</v>
      </c>
      <c r="CD119" s="59">
        <f ca="1">AVERAGE(OFFSET($CC$3,0,0,'Données projet'!$E$12+1,1))-AVERAGE(OFFSET($H$3,0,0,'Données projet'!$E$12+1,1))</f>
        <v>201.78062426023638</v>
      </c>
      <c r="CE119" s="59">
        <f t="shared" si="94"/>
        <v>183.0364139873468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12.269045619849154</v>
      </c>
      <c r="CL119" s="21">
        <f>EXP(-LN(2)/25)*CL118+(1-EXP(-LN(2)/25))/(LN(2)/25)*Calculateur!CG119*Calculateur!CI119*VLOOKUP('Données projet'!$B$12,Paramètres!$A$1:$I$89,3,0)*0.475*44/12</f>
        <v>4.9193214569116863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17.188367076760841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3.8329200000000041</v>
      </c>
      <c r="D120" s="11">
        <f t="shared" si="86"/>
        <v>1.5106329601719477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2.0624239495400518</v>
      </c>
      <c r="H120" s="67">
        <f t="shared" si="56"/>
        <v>265.97335473896618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346.2919953121168</v>
      </c>
      <c r="T120" s="59">
        <f t="shared" si="88"/>
        <v>255.63939678041237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78.446229823243399</v>
      </c>
      <c r="AA120" s="21">
        <f>EXP(-LN(2)/25)*AA119+(1-EXP(-LN(2)/25))/(LN(2)/25)*Calculateur!V120*Calculateur!X120*VLOOKUP('Données projet'!$B$9,Paramètres!$A$1:$I$89,3,0)*0.475*44/12</f>
        <v>28.745049952718883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107.19127977596229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298.32148815673816</v>
      </c>
      <c r="AO120" s="59">
        <f t="shared" si="90"/>
        <v>303.51754260758827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43.525521848201855</v>
      </c>
      <c r="AV120" s="21">
        <f>EXP(-LN(2)/25)*AV119+(1-EXP(-LN(2)/25))/(LN(2)/25)*Calculateur!AQ120*Calculateur!AS120*VLOOKUP('Données projet'!$B$10,Paramètres!$A$1:$I$89,3,0)*0.475*44/12</f>
        <v>15.636103602289429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59.161625450491286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-4.2632564145606011E-13</v>
      </c>
      <c r="BE120" s="13">
        <f>BD120*VLOOKUP('Données projet'!$B$11,Paramètres!$A$1:$I$89,3,0)*VLOOKUP('Données projet'!$B$11,Paramètres!$A$1:$I$89,5,0)</f>
        <v>-2.4385826691286639E-13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287.9055604128643</v>
      </c>
      <c r="BJ120" s="59">
        <f t="shared" si="92"/>
        <v>197.74605993031139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89.193820545497658</v>
      </c>
      <c r="BQ120" s="21">
        <f>EXP(-LN(2)/25)*BQ119+(1-EXP(-LN(2)/25))/(LN(2)/25)*Calculateur!BL120*Calculateur!BN120*VLOOKUP('Données projet'!$B$11,Paramètres!$A$1:$I$89,3,0)*0.475*44/12</f>
        <v>36.027870223146024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125.22169076864368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135.89743589743577</v>
      </c>
      <c r="BZ120" s="13">
        <f>BY120*VLOOKUP('Données projet'!$B$12,Paramètres!$A$1:$I$89,3,0)*VLOOKUP('Données projet'!$B$12,Paramètres!$A$1:$I$89,5,0)</f>
        <v>118.71999999999991</v>
      </c>
      <c r="CA120" s="13">
        <f t="shared" si="93"/>
        <v>31.376274241265865</v>
      </c>
      <c r="CB120" s="20">
        <f t="shared" si="64"/>
        <v>261.41767763687125</v>
      </c>
      <c r="CC120" s="59">
        <f t="shared" si="65"/>
        <v>554.75101097020456</v>
      </c>
      <c r="CD120" s="59">
        <f ca="1">AVERAGE(OFFSET($CC$3,0,0,'Données projet'!$E$12+1,1))-AVERAGE(OFFSET($H$3,0,0,'Données projet'!$E$12+1,1))</f>
        <v>201.78062426023638</v>
      </c>
      <c r="CE120" s="59">
        <f t="shared" si="94"/>
        <v>183.0364139873468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12.028457118622818</v>
      </c>
      <c r="CL120" s="21">
        <f>EXP(-LN(2)/25)*CL119+(1-EXP(-LN(2)/25))/(LN(2)/25)*Calculateur!CG120*Calculateur!CI120*VLOOKUP('Données projet'!$B$12,Paramètres!$A$1:$I$89,3,0)*0.475*44/12</f>
        <v>4.7848023529765644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16.81325947159938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3.8656800000000042</v>
      </c>
      <c r="D121" s="11">
        <f t="shared" si="86"/>
        <v>1.522035809837549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2.079469259937301</v>
      </c>
      <c r="H121" s="67">
        <f t="shared" si="56"/>
        <v>266.05027170213378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346.2919953121168</v>
      </c>
      <c r="T121" s="59">
        <f t="shared" si="88"/>
        <v>255.63939678041237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76.907947103885249</v>
      </c>
      <c r="AA121" s="21">
        <f>EXP(-LN(2)/25)*AA120+(1-EXP(-LN(2)/25))/(LN(2)/25)*Calculateur!V121*Calculateur!X121*VLOOKUP('Données projet'!$B$9,Paramètres!$A$1:$I$89,3,0)*0.475*44/12</f>
        <v>27.959015050125306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104.86696215401055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298.32148815673816</v>
      </c>
      <c r="AO121" s="59">
        <f t="shared" si="90"/>
        <v>303.51754260758827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42.672012912705554</v>
      </c>
      <c r="AV121" s="21">
        <f>EXP(-LN(2)/25)*AV120+(1-EXP(-LN(2)/25))/(LN(2)/25)*Calculateur!AQ121*Calculateur!AS121*VLOOKUP('Données projet'!$B$10,Paramètres!$A$1:$I$89,3,0)*0.475*44/12</f>
        <v>15.208533527017874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57.880546439723432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-4.2632564145606011E-13</v>
      </c>
      <c r="BE121" s="13">
        <f>BD121*VLOOKUP('Données projet'!$B$11,Paramètres!$A$1:$I$89,3,0)*VLOOKUP('Données projet'!$B$11,Paramètres!$A$1:$I$89,5,0)</f>
        <v>-2.4385826691286639E-13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287.9055604128643</v>
      </c>
      <c r="BJ121" s="59">
        <f t="shared" si="92"/>
        <v>197.74605993031139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87.444784127459144</v>
      </c>
      <c r="BQ121" s="21">
        <f>EXP(-LN(2)/25)*BQ120+(1-EXP(-LN(2)/25))/(LN(2)/25)*Calculateur!BL121*Calculateur!BN121*VLOOKUP('Données projet'!$B$11,Paramètres!$A$1:$I$89,3,0)*0.475*44/12</f>
        <v>35.042686217270742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122.48747034472989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135.89743589743577</v>
      </c>
      <c r="BZ121" s="13">
        <f>BY121*VLOOKUP('Données projet'!$B$12,Paramètres!$A$1:$I$89,3,0)*VLOOKUP('Données projet'!$B$12,Paramètres!$A$1:$I$89,5,0)</f>
        <v>118.71999999999991</v>
      </c>
      <c r="CA121" s="13">
        <f t="shared" si="93"/>
        <v>31.376274241265865</v>
      </c>
      <c r="CB121" s="20">
        <f t="shared" si="64"/>
        <v>261.41767763687125</v>
      </c>
      <c r="CC121" s="59">
        <f t="shared" si="65"/>
        <v>554.75101097020456</v>
      </c>
      <c r="CD121" s="59">
        <f ca="1">AVERAGE(OFFSET($CC$3,0,0,'Données projet'!$E$12+1,1))-AVERAGE(OFFSET($H$3,0,0,'Données projet'!$E$12+1,1))</f>
        <v>201.78062426023638</v>
      </c>
      <c r="CE121" s="59">
        <f t="shared" si="94"/>
        <v>183.0364139873468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11.792586411161034</v>
      </c>
      <c r="CL121" s="21">
        <f>EXP(-LN(2)/25)*CL120+(1-EXP(-LN(2)/25))/(LN(2)/25)*Calculateur!CG121*Calculateur!CI121*VLOOKUP('Données projet'!$B$12,Paramètres!$A$1:$I$89,3,0)*0.475*44/12</f>
        <v>4.6539616810126008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16.446548092173636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3.8984400000000043</v>
      </c>
      <c r="D122" s="11">
        <f t="shared" si="86"/>
        <v>1.5334274166720923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2.0965102309962482</v>
      </c>
      <c r="H122" s="67">
        <f t="shared" si="56"/>
        <v>266.12716908403723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346.2919953121168</v>
      </c>
      <c r="T122" s="59">
        <f t="shared" si="88"/>
        <v>255.63939678041237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75.399829170393886</v>
      </c>
      <c r="AA122" s="21">
        <f>EXP(-LN(2)/25)*AA121+(1-EXP(-LN(2)/25))/(LN(2)/25)*Calculateur!V122*Calculateur!X122*VLOOKUP('Données projet'!$B$9,Paramètres!$A$1:$I$89,3,0)*0.475*44/12</f>
        <v>27.194474313278928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102.59430348367282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298.32148815673816</v>
      </c>
      <c r="AO122" s="59">
        <f t="shared" si="90"/>
        <v>303.51754260758827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41.835240766845288</v>
      </c>
      <c r="AV122" s="21">
        <f>EXP(-LN(2)/25)*AV121+(1-EXP(-LN(2)/25))/(LN(2)/25)*Calculateur!AQ122*Calculateur!AS122*VLOOKUP('Données projet'!$B$10,Paramètres!$A$1:$I$89,3,0)*0.475*44/12</f>
        <v>14.792655377939552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56.627896144784842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-4.2632564145606011E-13</v>
      </c>
      <c r="BE122" s="13">
        <f>BD122*VLOOKUP('Données projet'!$B$11,Paramètres!$A$1:$I$89,3,0)*VLOOKUP('Données projet'!$B$11,Paramètres!$A$1:$I$89,5,0)</f>
        <v>-2.4385826691286639E-13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287.9055604128643</v>
      </c>
      <c r="BJ122" s="59">
        <f t="shared" si="92"/>
        <v>197.74605993031139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85.730045246771496</v>
      </c>
      <c r="BQ122" s="21">
        <f>EXP(-LN(2)/25)*BQ121+(1-EXP(-LN(2)/25))/(LN(2)/25)*Calculateur!BL122*Calculateur!BN122*VLOOKUP('Données projet'!$B$11,Paramètres!$A$1:$I$89,3,0)*0.475*44/12</f>
        <v>34.084442119844695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119.81448736661619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135.89743589743577</v>
      </c>
      <c r="BZ122" s="13">
        <f>BY122*VLOOKUP('Données projet'!$B$12,Paramètres!$A$1:$I$89,3,0)*VLOOKUP('Données projet'!$B$12,Paramètres!$A$1:$I$89,5,0)</f>
        <v>118.71999999999991</v>
      </c>
      <c r="CA122" s="13">
        <f t="shared" si="93"/>
        <v>31.376274241265865</v>
      </c>
      <c r="CB122" s="20">
        <f t="shared" si="64"/>
        <v>261.41767763687125</v>
      </c>
      <c r="CC122" s="59">
        <f t="shared" si="65"/>
        <v>554.75101097020456</v>
      </c>
      <c r="CD122" s="59">
        <f ca="1">AVERAGE(OFFSET($CC$3,0,0,'Données projet'!$E$12+1,1))-AVERAGE(OFFSET($H$3,0,0,'Données projet'!$E$12+1,1))</f>
        <v>201.78062426023638</v>
      </c>
      <c r="CE122" s="59">
        <f t="shared" si="94"/>
        <v>183.0364139873468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11.56134098440565</v>
      </c>
      <c r="CL122" s="21">
        <f>EXP(-LN(2)/25)*CL121+(1-EXP(-LN(2)/25))/(LN(2)/25)*Calculateur!CG122*Calculateur!CI122*VLOOKUP('Données projet'!$B$12,Paramètres!$A$1:$I$89,3,0)*0.475*44/12</f>
        <v>4.5266988541041036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16.088039838509754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3.9312000000000045</v>
      </c>
      <c r="D123" s="11">
        <f t="shared" si="86"/>
        <v>1.54480788610126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2.1135469034075061</v>
      </c>
      <c r="H123" s="67">
        <f t="shared" si="56"/>
        <v>266.20404706829305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346.2919953121168</v>
      </c>
      <c r="T123" s="59">
        <f t="shared" si="88"/>
        <v>255.63939678041237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73.921284509717182</v>
      </c>
      <c r="AA123" s="21">
        <f>EXP(-LN(2)/25)*AA122+(1-EXP(-LN(2)/25))/(LN(2)/25)*Calculateur!V123*Calculateur!X123*VLOOKUP('Données projet'!$B$9,Paramètres!$A$1:$I$89,3,0)*0.475*44/12</f>
        <v>26.450839983087064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100.37212449280425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298.32148815673816</v>
      </c>
      <c r="AO123" s="59">
        <f t="shared" si="90"/>
        <v>303.51754260758827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41.014877212384725</v>
      </c>
      <c r="AV123" s="21">
        <f>EXP(-LN(2)/25)*AV122+(1-EXP(-LN(2)/25))/(LN(2)/25)*Calculateur!AQ123*Calculateur!AS123*VLOOKUP('Données projet'!$B$10,Paramètres!$A$1:$I$89,3,0)*0.475*44/12</f>
        <v>14.388149438717857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55.403026651102579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-4.2632564145606011E-13</v>
      </c>
      <c r="BE123" s="13">
        <f>BD123*VLOOKUP('Données projet'!$B$11,Paramètres!$A$1:$I$89,3,0)*VLOOKUP('Données projet'!$B$11,Paramètres!$A$1:$I$89,5,0)</f>
        <v>-2.4385826691286639E-13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287.9055604128643</v>
      </c>
      <c r="BJ123" s="59">
        <f t="shared" si="92"/>
        <v>197.74605993031139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84.048931349646679</v>
      </c>
      <c r="BQ123" s="21">
        <f>EXP(-LN(2)/25)*BQ122+(1-EXP(-LN(2)/25))/(LN(2)/25)*Calculateur!BL123*Calculateur!BN123*VLOOKUP('Données projet'!$B$11,Paramètres!$A$1:$I$89,3,0)*0.475*44/12</f>
        <v>33.152401257654631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117.20133260730131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135.89743589743577</v>
      </c>
      <c r="BZ123" s="13">
        <f>BY123*VLOOKUP('Données projet'!$B$12,Paramètres!$A$1:$I$89,3,0)*VLOOKUP('Données projet'!$B$12,Paramètres!$A$1:$I$89,5,0)</f>
        <v>118.71999999999991</v>
      </c>
      <c r="CA123" s="13">
        <f t="shared" si="93"/>
        <v>31.376274241265865</v>
      </c>
      <c r="CB123" s="20">
        <f t="shared" si="64"/>
        <v>261.41767763687125</v>
      </c>
      <c r="CC123" s="59">
        <f t="shared" si="65"/>
        <v>554.75101097020456</v>
      </c>
      <c r="CD123" s="59">
        <f ca="1">AVERAGE(OFFSET($CC$3,0,0,'Données projet'!$E$12+1,1))-AVERAGE(OFFSET($H$3,0,0,'Données projet'!$E$12+1,1))</f>
        <v>201.78062426023638</v>
      </c>
      <c r="CE123" s="59">
        <f t="shared" si="94"/>
        <v>183.0364139873468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11.334630139423156</v>
      </c>
      <c r="CL123" s="21">
        <f>EXP(-LN(2)/25)*CL122+(1-EXP(-LN(2)/25))/(LN(2)/25)*Calculateur!CG123*Calculateur!CI123*VLOOKUP('Données projet'!$B$12,Paramètres!$A$1:$I$89,3,0)*0.475*44/12</f>
        <v>4.4029160358898798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15.737546175313035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3.9639600000000046</v>
      </c>
      <c r="D124" s="11">
        <f t="shared" si="86"/>
        <v>1.5561773216922175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2.1305793171443663</v>
      </c>
      <c r="H124" s="67">
        <f t="shared" si="56"/>
        <v>266.28090583528063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346.2919953121168</v>
      </c>
      <c r="T124" s="59">
        <f t="shared" si="88"/>
        <v>255.63939678041237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72.471733208013148</v>
      </c>
      <c r="AA124" s="21">
        <f>EXP(-LN(2)/25)*AA123+(1-EXP(-LN(2)/25))/(LN(2)/25)*Calculateur!V124*Calculateur!X124*VLOOKUP('Données projet'!$B$9,Paramètres!$A$1:$I$89,3,0)*0.475*44/12</f>
        <v>25.727540372760327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98.199273580773479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298.32148815673816</v>
      </c>
      <c r="AO124" s="59">
        <f t="shared" si="90"/>
        <v>303.51754260758827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40.210600486854773</v>
      </c>
      <c r="AV124" s="21">
        <f>EXP(-LN(2)/25)*AV123+(1-EXP(-LN(2)/25))/(LN(2)/25)*Calculateur!AQ124*Calculateur!AS124*VLOOKUP('Données projet'!$B$10,Paramètres!$A$1:$I$89,3,0)*0.475*44/12</f>
        <v>13.994704735676223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54.205305222530995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-4.2632564145606011E-13</v>
      </c>
      <c r="BE124" s="13">
        <f>BD124*VLOOKUP('Données projet'!$B$11,Paramètres!$A$1:$I$89,3,0)*VLOOKUP('Données projet'!$B$11,Paramètres!$A$1:$I$89,5,0)</f>
        <v>-2.4385826691286639E-13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287.9055604128643</v>
      </c>
      <c r="BJ124" s="59">
        <f t="shared" si="92"/>
        <v>197.74605993031139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82.40078307066625</v>
      </c>
      <c r="BQ124" s="21">
        <f>EXP(-LN(2)/25)*BQ123+(1-EXP(-LN(2)/25))/(LN(2)/25)*Calculateur!BL124*Calculateur!BN124*VLOOKUP('Données projet'!$B$11,Paramètres!$A$1:$I$89,3,0)*0.475*44/12</f>
        <v>32.245847101855055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114.6466301725213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135.89743589743577</v>
      </c>
      <c r="BZ124" s="13">
        <f>BY124*VLOOKUP('Données projet'!$B$12,Paramètres!$A$1:$I$89,3,0)*VLOOKUP('Données projet'!$B$12,Paramètres!$A$1:$I$89,5,0)</f>
        <v>118.71999999999991</v>
      </c>
      <c r="CA124" s="13">
        <f t="shared" si="93"/>
        <v>31.376274241265865</v>
      </c>
      <c r="CB124" s="20">
        <f t="shared" si="64"/>
        <v>261.41767763687125</v>
      </c>
      <c r="CC124" s="59">
        <f t="shared" si="65"/>
        <v>554.75101097020456</v>
      </c>
      <c r="CD124" s="59">
        <f ca="1">AVERAGE(OFFSET($CC$3,0,0,'Données projet'!$E$12+1,1))-AVERAGE(OFFSET($H$3,0,0,'Données projet'!$E$12+1,1))</f>
        <v>201.78062426023638</v>
      </c>
      <c r="CE124" s="59">
        <f t="shared" si="94"/>
        <v>183.0364139873468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11.112364955830808</v>
      </c>
      <c r="CL124" s="21">
        <f>EXP(-LN(2)/25)*CL123+(1-EXP(-LN(2)/25))/(LN(2)/25)*Calculateur!CG124*Calculateur!CI124*VLOOKUP('Données projet'!$B$12,Paramètres!$A$1:$I$89,3,0)*0.475*44/12</f>
        <v>4.2825180653491799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15.394883021179988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3.9967200000000047</v>
      </c>
      <c r="D125" s="11">
        <f t="shared" si="86"/>
        <v>1.5675358252014537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2.1476075114812647</v>
      </c>
      <c r="H125" s="67">
        <f t="shared" si="56"/>
        <v>266.35774556222589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346.2919953121168</v>
      </c>
      <c r="T125" s="59">
        <f t="shared" si="88"/>
        <v>255.63939678041237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71.050606723196552</v>
      </c>
      <c r="AA125" s="21">
        <f>EXP(-LN(2)/25)*AA124+(1-EXP(-LN(2)/25))/(LN(2)/25)*Calculateur!V125*Calculateur!X125*VLOOKUP('Données projet'!$B$9,Paramètres!$A$1:$I$89,3,0)*0.475*44/12</f>
        <v>25.024019428314649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96.074626151511197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298.32148815673816</v>
      </c>
      <c r="AO125" s="59">
        <f t="shared" si="90"/>
        <v>303.51754260758827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39.422095137352102</v>
      </c>
      <c r="AV125" s="21">
        <f>EXP(-LN(2)/25)*AV124+(1-EXP(-LN(2)/25))/(LN(2)/25)*Calculateur!AQ125*Calculateur!AS125*VLOOKUP('Données projet'!$B$10,Paramètres!$A$1:$I$89,3,0)*0.475*44/12</f>
        <v>13.61201879872962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53.034113936081724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-4.2632564145606011E-13</v>
      </c>
      <c r="BE125" s="13">
        <f>BD125*VLOOKUP('Données projet'!$B$11,Paramètres!$A$1:$I$89,3,0)*VLOOKUP('Données projet'!$B$11,Paramètres!$A$1:$I$89,5,0)</f>
        <v>-2.4385826691286639E-13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287.9055604128643</v>
      </c>
      <c r="BJ125" s="59">
        <f t="shared" si="92"/>
        <v>197.74605993031139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80.784953974165447</v>
      </c>
      <c r="BQ125" s="21">
        <f>EXP(-LN(2)/25)*BQ124+(1-EXP(-LN(2)/25))/(LN(2)/25)*Calculateur!BL125*Calculateur!BN125*VLOOKUP('Données projet'!$B$11,Paramètres!$A$1:$I$89,3,0)*0.475*44/12</f>
        <v>31.36408271711943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112.14903669128488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135.89743589743577</v>
      </c>
      <c r="BZ125" s="13">
        <f>BY125*VLOOKUP('Données projet'!$B$12,Paramètres!$A$1:$I$89,3,0)*VLOOKUP('Données projet'!$B$12,Paramètres!$A$1:$I$89,5,0)</f>
        <v>118.71999999999991</v>
      </c>
      <c r="CA125" s="13">
        <f t="shared" si="93"/>
        <v>31.376274241265865</v>
      </c>
      <c r="CB125" s="20">
        <f t="shared" si="64"/>
        <v>261.41767763687125</v>
      </c>
      <c r="CC125" s="59">
        <f t="shared" si="65"/>
        <v>554.75101097020456</v>
      </c>
      <c r="CD125" s="59">
        <f ca="1">AVERAGE(OFFSET($CC$3,0,0,'Données projet'!$E$12+1,1))-AVERAGE(OFFSET($H$3,0,0,'Données projet'!$E$12+1,1))</f>
        <v>201.78062426023638</v>
      </c>
      <c r="CE125" s="59">
        <f t="shared" si="94"/>
        <v>183.0364139873468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10.894458256920329</v>
      </c>
      <c r="CL125" s="21">
        <f>EXP(-LN(2)/25)*CL124+(1-EXP(-LN(2)/25))/(LN(2)/25)*Calculateur!CG125*Calculateur!CI125*VLOOKUP('Données projet'!$B$12,Paramètres!$A$1:$I$89,3,0)*0.475*44/12</f>
        <v>4.1654123836443695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15.059870640564698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4.0294800000000048</v>
      </c>
      <c r="D126" s="11">
        <f t="shared" si="86"/>
        <v>1.5788834966210177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2.164631525011623</v>
      </c>
      <c r="H126" s="67">
        <f t="shared" si="56"/>
        <v>266.43456642328164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346.2919953121168</v>
      </c>
      <c r="T126" s="59">
        <f t="shared" si="88"/>
        <v>255.63939678041237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69.657347661945636</v>
      </c>
      <c r="AA126" s="21">
        <f>EXP(-LN(2)/25)*AA125+(1-EXP(-LN(2)/25))/(LN(2)/25)*Calculateur!V126*Calculateur!X126*VLOOKUP('Données projet'!$B$9,Paramètres!$A$1:$I$89,3,0)*0.475*44/12</f>
        <v>24.339736301091396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93.997083963037028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298.32148815673816</v>
      </c>
      <c r="AO126" s="59">
        <f t="shared" si="90"/>
        <v>303.51754260758827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38.649051896812402</v>
      </c>
      <c r="AV126" s="21">
        <f>EXP(-LN(2)/25)*AV125+(1-EXP(-LN(2)/25))/(LN(2)/25)*Calculateur!AQ126*Calculateur!AS126*VLOOKUP('Données projet'!$B$10,Paramètres!$A$1:$I$89,3,0)*0.475*44/12</f>
        <v>13.2397974288534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51.888849325665802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-4.2632564145606011E-13</v>
      </c>
      <c r="BE126" s="13">
        <f>BD126*VLOOKUP('Données projet'!$B$11,Paramètres!$A$1:$I$89,3,0)*VLOOKUP('Données projet'!$B$11,Paramètres!$A$1:$I$89,5,0)</f>
        <v>-2.4385826691286639E-13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287.9055604128643</v>
      </c>
      <c r="BJ126" s="59">
        <f t="shared" si="92"/>
        <v>197.74605993031139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79.200810300688588</v>
      </c>
      <c r="BQ126" s="21">
        <f>EXP(-LN(2)/25)*BQ125+(1-EXP(-LN(2)/25))/(LN(2)/25)*Calculateur!BL126*Calculateur!BN126*VLOOKUP('Données projet'!$B$11,Paramètres!$A$1:$I$89,3,0)*0.475*44/12</f>
        <v>30.506430225854373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109.70724052654296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135.89743589743577</v>
      </c>
      <c r="BZ126" s="13">
        <f>BY126*VLOOKUP('Données projet'!$B$12,Paramètres!$A$1:$I$89,3,0)*VLOOKUP('Données projet'!$B$12,Paramètres!$A$1:$I$89,5,0)</f>
        <v>118.71999999999991</v>
      </c>
      <c r="CA126" s="13">
        <f t="shared" si="93"/>
        <v>31.376274241265865</v>
      </c>
      <c r="CB126" s="20">
        <f t="shared" si="64"/>
        <v>261.41767763687125</v>
      </c>
      <c r="CC126" s="59">
        <f t="shared" si="65"/>
        <v>554.75101097020456</v>
      </c>
      <c r="CD126" s="59">
        <f ca="1">AVERAGE(OFFSET($CC$3,0,0,'Données projet'!$E$12+1,1))-AVERAGE(OFFSET($H$3,0,0,'Données projet'!$E$12+1,1))</f>
        <v>201.78062426023638</v>
      </c>
      <c r="CE126" s="59">
        <f t="shared" si="94"/>
        <v>183.0364139873468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10.680824575465522</v>
      </c>
      <c r="CL126" s="21">
        <f>EXP(-LN(2)/25)*CL125+(1-EXP(-LN(2)/25))/(LN(2)/25)*Calculateur!CG126*Calculateur!CI126*VLOOKUP('Données projet'!$B$12,Paramètres!$A$1:$I$89,3,0)*0.475*44/12</f>
        <v>4.051508962964097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14.732333538429618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4.0622400000000045</v>
      </c>
      <c r="D127" s="11">
        <f t="shared" si="86"/>
        <v>1.5902204342232014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2.1816513956650976</v>
      </c>
      <c r="H127" s="67">
        <f t="shared" si="56"/>
        <v>266.51136858960541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346.2919953121168</v>
      </c>
      <c r="T127" s="59">
        <f t="shared" si="88"/>
        <v>255.63939678041237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68.291409561081736</v>
      </c>
      <c r="AA127" s="21">
        <f>EXP(-LN(2)/25)*AA126+(1-EXP(-LN(2)/25))/(LN(2)/25)*Calculateur!V127*Calculateur!X127*VLOOKUP('Données projet'!$B$9,Paramètres!$A$1:$I$89,3,0)*0.475*44/12</f>
        <v>23.674164931966949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91.965574493048678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298.32148815673816</v>
      </c>
      <c r="AO127" s="59">
        <f t="shared" si="90"/>
        <v>303.51754260758827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37.891167562709867</v>
      </c>
      <c r="AV127" s="21">
        <f>EXP(-LN(2)/25)*AV126+(1-EXP(-LN(2)/25))/(LN(2)/25)*Calculateur!AQ127*Calculateur!AS127*VLOOKUP('Données projet'!$B$10,Paramètres!$A$1:$I$89,3,0)*0.475*44/12</f>
        <v>12.877754471910718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50.768922034620587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-4.2632564145606011E-13</v>
      </c>
      <c r="BE127" s="13">
        <f>BD127*VLOOKUP('Données projet'!$B$11,Paramètres!$A$1:$I$89,3,0)*VLOOKUP('Données projet'!$B$11,Paramètres!$A$1:$I$89,5,0)</f>
        <v>-2.4385826691286639E-13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287.9055604128643</v>
      </c>
      <c r="BJ127" s="59">
        <f t="shared" si="92"/>
        <v>197.74605993031139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77.647730718416369</v>
      </c>
      <c r="BQ127" s="21">
        <f>EXP(-LN(2)/25)*BQ126+(1-EXP(-LN(2)/25))/(LN(2)/25)*Calculateur!BL127*Calculateur!BN127*VLOOKUP('Données projet'!$B$11,Paramètres!$A$1:$I$89,3,0)*0.475*44/12</f>
        <v>29.672230287064945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107.31996100548132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135.89743589743577</v>
      </c>
      <c r="BZ127" s="13">
        <f>BY127*VLOOKUP('Données projet'!$B$12,Paramètres!$A$1:$I$89,3,0)*VLOOKUP('Données projet'!$B$12,Paramètres!$A$1:$I$89,5,0)</f>
        <v>118.71999999999991</v>
      </c>
      <c r="CA127" s="13">
        <f t="shared" si="93"/>
        <v>31.376274241265865</v>
      </c>
      <c r="CB127" s="20">
        <f t="shared" si="64"/>
        <v>261.41767763687125</v>
      </c>
      <c r="CC127" s="59">
        <f t="shared" si="65"/>
        <v>554.75101097020456</v>
      </c>
      <c r="CD127" s="59">
        <f ca="1">AVERAGE(OFFSET($CC$3,0,0,'Données projet'!$E$12+1,1))-AVERAGE(OFFSET($H$3,0,0,'Données projet'!$E$12+1,1))</f>
        <v>201.78062426023638</v>
      </c>
      <c r="CE127" s="59">
        <f t="shared" si="94"/>
        <v>183.0364139873468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10.471380120200365</v>
      </c>
      <c r="CL127" s="21">
        <f>EXP(-LN(2)/25)*CL126+(1-EXP(-LN(2)/25))/(LN(2)/25)*Calculateur!CG127*Calculateur!CI127*VLOOKUP('Données projet'!$B$12,Paramètres!$A$1:$I$89,3,0)*0.475*44/12</f>
        <v>3.9407202373122474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14.412100357512612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4.0950000000000042</v>
      </c>
      <c r="D128" s="11">
        <f t="shared" si="86"/>
        <v>1.6015467346037444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2.1986671607242538</v>
      </c>
      <c r="H128" s="67">
        <f t="shared" si="56"/>
        <v>266.58815222943485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346.2919953121168</v>
      </c>
      <c r="T128" s="59">
        <f t="shared" si="88"/>
        <v>255.63939678041237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66.952256673235794</v>
      </c>
      <c r="AA128" s="21">
        <f>EXP(-LN(2)/25)*AA127+(1-EXP(-LN(2)/25))/(LN(2)/25)*Calculateur!V128*Calculateur!X128*VLOOKUP('Données projet'!$B$9,Paramètres!$A$1:$I$89,3,0)*0.475*44/12</f>
        <v>23.026793646932088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89.979050320167886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298.32148815673816</v>
      </c>
      <c r="AO128" s="59">
        <f t="shared" si="90"/>
        <v>303.51754260758827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37.148144878135284</v>
      </c>
      <c r="AV128" s="21">
        <f>EXP(-LN(2)/25)*AV127+(1-EXP(-LN(2)/25))/(LN(2)/25)*Calculateur!AQ128*Calculateur!AS128*VLOOKUP('Données projet'!$B$10,Paramètres!$A$1:$I$89,3,0)*0.475*44/12</f>
        <v>12.525611598664645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49.67375647679993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-4.2632564145606011E-13</v>
      </c>
      <c r="BE128" s="13">
        <f>BD128*VLOOKUP('Données projet'!$B$11,Paramètres!$A$1:$I$89,3,0)*VLOOKUP('Données projet'!$B$11,Paramètres!$A$1:$I$89,5,0)</f>
        <v>-2.4385826691286639E-13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287.9055604128643</v>
      </c>
      <c r="BJ128" s="59">
        <f t="shared" si="92"/>
        <v>197.74605993031139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76.125106079467514</v>
      </c>
      <c r="BQ128" s="21">
        <f>EXP(-LN(2)/25)*BQ127+(1-EXP(-LN(2)/25))/(LN(2)/25)*Calculateur!BL128*Calculateur!BN128*VLOOKUP('Données projet'!$B$11,Paramètres!$A$1:$I$89,3,0)*0.475*44/12</f>
        <v>28.860841589470379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104.9859476689379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135.89743589743577</v>
      </c>
      <c r="BZ128" s="13">
        <f>BY128*VLOOKUP('Données projet'!$B$12,Paramètres!$A$1:$I$89,3,0)*VLOOKUP('Données projet'!$B$12,Paramètres!$A$1:$I$89,5,0)</f>
        <v>118.71999999999991</v>
      </c>
      <c r="CA128" s="13">
        <f t="shared" si="93"/>
        <v>31.376274241265865</v>
      </c>
      <c r="CB128" s="20">
        <f t="shared" si="64"/>
        <v>261.41767763687125</v>
      </c>
      <c r="CC128" s="59">
        <f t="shared" si="65"/>
        <v>554.75101097020456</v>
      </c>
      <c r="CD128" s="59">
        <f ca="1">AVERAGE(OFFSET($CC$3,0,0,'Données projet'!$E$12+1,1))-AVERAGE(OFFSET($H$3,0,0,'Données projet'!$E$12+1,1))</f>
        <v>201.78062426023638</v>
      </c>
      <c r="CE128" s="59">
        <f t="shared" si="94"/>
        <v>183.0364139873468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10.266042742954454</v>
      </c>
      <c r="CL128" s="21">
        <f>EXP(-LN(2)/25)*CL127+(1-EXP(-LN(2)/25))/(LN(2)/25)*Calculateur!CG128*Calculateur!CI128*VLOOKUP('Données projet'!$B$12,Paramètres!$A$1:$I$89,3,0)*0.475*44/12</f>
        <v>3.8329610351894732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14.099003778143928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4.1277600000000039</v>
      </c>
      <c r="D129" s="11">
        <f t="shared" si="86"/>
        <v>1.612862492723615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2.2156788568406949</v>
      </c>
      <c r="H129" s="67">
        <f t="shared" si="56"/>
        <v>266.66491750816033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346.2919953121168</v>
      </c>
      <c r="T129" s="59">
        <f t="shared" si="88"/>
        <v>255.63939678041237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65.639363756717913</v>
      </c>
      <c r="AA129" s="21">
        <f>EXP(-LN(2)/25)*AA128+(1-EXP(-LN(2)/25))/(LN(2)/25)*Calculateur!V129*Calculateur!X129*VLOOKUP('Données projet'!$B$9,Paramètres!$A$1:$I$89,3,0)*0.475*44/12</f>
        <v>22.397124763730279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88.036488520448188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298.32148815673816</v>
      </c>
      <c r="AO129" s="59">
        <f t="shared" si="90"/>
        <v>303.51754260758827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36.419692415206121</v>
      </c>
      <c r="AV129" s="21">
        <f>EXP(-LN(2)/25)*AV128+(1-EXP(-LN(2)/25))/(LN(2)/25)*Calculateur!AQ129*Calculateur!AS129*VLOOKUP('Données projet'!$B$10,Paramètres!$A$1:$I$89,3,0)*0.475*44/12</f>
        <v>12.183098090805874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48.602790506011999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-4.2632564145606011E-13</v>
      </c>
      <c r="BE129" s="13">
        <f>BD129*VLOOKUP('Données projet'!$B$11,Paramètres!$A$1:$I$89,3,0)*VLOOKUP('Données projet'!$B$11,Paramètres!$A$1:$I$89,5,0)</f>
        <v>-2.4385826691286639E-13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287.9055604128643</v>
      </c>
      <c r="BJ129" s="59">
        <f t="shared" si="92"/>
        <v>197.74605993031139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74.632339180979116</v>
      </c>
      <c r="BQ129" s="21">
        <f>EXP(-LN(2)/25)*BQ128+(1-EXP(-LN(2)/25))/(LN(2)/25)*Calculateur!BL129*Calculateur!BN129*VLOOKUP('Données projet'!$B$11,Paramètres!$A$1:$I$89,3,0)*0.475*44/12</f>
        <v>28.071640358480614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102.70397953945974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135.89743589743577</v>
      </c>
      <c r="BZ129" s="13">
        <f>BY129*VLOOKUP('Données projet'!$B$12,Paramètres!$A$1:$I$89,3,0)*VLOOKUP('Données projet'!$B$12,Paramètres!$A$1:$I$89,5,0)</f>
        <v>118.71999999999991</v>
      </c>
      <c r="CA129" s="13">
        <f t="shared" si="93"/>
        <v>31.376274241265865</v>
      </c>
      <c r="CB129" s="20">
        <f t="shared" si="64"/>
        <v>261.41767763687125</v>
      </c>
      <c r="CC129" s="59">
        <f t="shared" si="65"/>
        <v>554.75101097020456</v>
      </c>
      <c r="CD129" s="59">
        <f ca="1">AVERAGE(OFFSET($CC$3,0,0,'Données projet'!$E$12+1,1))-AVERAGE(OFFSET($H$3,0,0,'Données projet'!$E$12+1,1))</f>
        <v>201.78062426023638</v>
      </c>
      <c r="CE129" s="59">
        <f t="shared" si="94"/>
        <v>183.0364139873468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10.064731906432902</v>
      </c>
      <c r="CL129" s="21">
        <f>EXP(-LN(2)/25)*CL128+(1-EXP(-LN(2)/25))/(LN(2)/25)*Calculateur!CG129*Calculateur!CI129*VLOOKUP('Données projet'!$B$12,Paramètres!$A$1:$I$89,3,0)*0.475*44/12</f>
        <v>3.7281485141155564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13.792880420548459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4.1605200000000035</v>
      </c>
      <c r="D130" s="11">
        <f t="shared" si="86"/>
        <v>1.6241678019494232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2.2326865200506565</v>
      </c>
      <c r="H130" s="67">
        <f t="shared" si="56"/>
        <v>266.74166458839528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346.2919953121168</v>
      </c>
      <c r="T130" s="59">
        <f t="shared" si="88"/>
        <v>255.63939678041237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64.352215869507333</v>
      </c>
      <c r="AA130" s="21">
        <f>EXP(-LN(2)/25)*AA129+(1-EXP(-LN(2)/25))/(LN(2)/25)*Calculateur!V130*Calculateur!X130*VLOOKUP('Données projet'!$B$9,Paramètres!$A$1:$I$89,3,0)*0.475*44/12</f>
        <v>21.784674209252472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86.136890078759805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298.32148815673816</v>
      </c>
      <c r="AO130" s="59">
        <f t="shared" si="90"/>
        <v>303.51754260758827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35.705524460762874</v>
      </c>
      <c r="AV130" s="21">
        <f>EXP(-LN(2)/25)*AV129+(1-EXP(-LN(2)/25))/(LN(2)/25)*Calculateur!AQ130*Calculateur!AS130*VLOOKUP('Données projet'!$B$10,Paramètres!$A$1:$I$89,3,0)*0.475*44/12</f>
        <v>11.849950632831504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47.555475093594382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-4.2632564145606011E-13</v>
      </c>
      <c r="BE130" s="13">
        <f>BD130*VLOOKUP('Données projet'!$B$11,Paramètres!$A$1:$I$89,3,0)*VLOOKUP('Données projet'!$B$11,Paramètres!$A$1:$I$89,5,0)</f>
        <v>-2.4385826691286639E-13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287.9055604128643</v>
      </c>
      <c r="BJ130" s="59">
        <f t="shared" si="92"/>
        <v>197.74605993031139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73.168844530872164</v>
      </c>
      <c r="BQ130" s="21">
        <f>EXP(-LN(2)/25)*BQ129+(1-EXP(-LN(2)/25))/(LN(2)/25)*Calculateur!BL130*Calculateur!BN130*VLOOKUP('Données projet'!$B$11,Paramètres!$A$1:$I$89,3,0)*0.475*44/12</f>
        <v>27.304019876654554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100.47286440752671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135.89743589743577</v>
      </c>
      <c r="BZ130" s="13">
        <f>BY130*VLOOKUP('Données projet'!$B$12,Paramètres!$A$1:$I$89,3,0)*VLOOKUP('Données projet'!$B$12,Paramètres!$A$1:$I$89,5,0)</f>
        <v>118.71999999999991</v>
      </c>
      <c r="CA130" s="13">
        <f t="shared" si="93"/>
        <v>31.376274241265865</v>
      </c>
      <c r="CB130" s="20">
        <f t="shared" si="64"/>
        <v>261.41767763687125</v>
      </c>
      <c r="CC130" s="59">
        <f t="shared" si="65"/>
        <v>554.75101097020456</v>
      </c>
      <c r="CD130" s="59">
        <f ca="1">AVERAGE(OFFSET($CC$3,0,0,'Données projet'!$E$12+1,1))-AVERAGE(OFFSET($H$3,0,0,'Données projet'!$E$12+1,1))</f>
        <v>201.78062426023638</v>
      </c>
      <c r="CE130" s="59">
        <f t="shared" si="94"/>
        <v>183.0364139873468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9.867368652628052</v>
      </c>
      <c r="CL130" s="21">
        <f>EXP(-LN(2)/25)*CL129+(1-EXP(-LN(2)/25))/(LN(2)/25)*Calculateur!CG130*Calculateur!CI130*VLOOKUP('Données projet'!$B$12,Paramètres!$A$1:$I$89,3,0)*0.475*44/12</f>
        <v>3.626202096942257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13.49357074957031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4.1932800000000032</v>
      </c>
      <c r="D131" s="11">
        <f t="shared" si="86"/>
        <v>1.6354627540925317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2.2496901857901013</v>
      </c>
      <c r="H131" s="67">
        <f t="shared" si="56"/>
        <v>266.81839363004451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346.2919953121168</v>
      </c>
      <c r="T131" s="59">
        <f t="shared" si="88"/>
        <v>255.63939678041237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63.090308167282259</v>
      </c>
      <c r="AA131" s="21">
        <f>EXP(-LN(2)/25)*AA130+(1-EXP(-LN(2)/25))/(LN(2)/25)*Calculateur!V131*Calculateur!X131*VLOOKUP('Données projet'!$B$9,Paramètres!$A$1:$I$89,3,0)*0.475*44/12</f>
        <v>21.188971147394238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84.279279314676501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298.32148815673816</v>
      </c>
      <c r="AO131" s="59">
        <f t="shared" si="90"/>
        <v>303.51754260758827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35.005360904306812</v>
      </c>
      <c r="AV131" s="21">
        <f>EXP(-LN(2)/25)*AV130+(1-EXP(-LN(2)/25))/(LN(2)/25)*Calculateur!AQ131*Calculateur!AS131*VLOOKUP('Données projet'!$B$10,Paramètres!$A$1:$I$89,3,0)*0.475*44/12</f>
        <v>11.525913109614907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46.531274013921717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-4.2632564145606011E-13</v>
      </c>
      <c r="BE131" s="13">
        <f>BD131*VLOOKUP('Données projet'!$B$11,Paramètres!$A$1:$I$89,3,0)*VLOOKUP('Données projet'!$B$11,Paramètres!$A$1:$I$89,5,0)</f>
        <v>-2.4385826691286639E-13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287.9055604128643</v>
      </c>
      <c r="BJ131" s="59">
        <f t="shared" si="92"/>
        <v>197.74605993031139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71.734048118210211</v>
      </c>
      <c r="BQ131" s="21">
        <f>EXP(-LN(2)/25)*BQ130+(1-EXP(-LN(2)/25))/(LN(2)/25)*Calculateur!BL131*Calculateur!BN131*VLOOKUP('Données projet'!$B$11,Paramètres!$A$1:$I$89,3,0)*0.475*44/12</f>
        <v>26.557390017271434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98.291438135481641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135.89743589743577</v>
      </c>
      <c r="BZ131" s="13">
        <f>BY131*VLOOKUP('Données projet'!$B$12,Paramètres!$A$1:$I$89,3,0)*VLOOKUP('Données projet'!$B$12,Paramètres!$A$1:$I$89,5,0)</f>
        <v>118.71999999999991</v>
      </c>
      <c r="CA131" s="13">
        <f t="shared" si="93"/>
        <v>31.376274241265865</v>
      </c>
      <c r="CB131" s="20">
        <f t="shared" si="64"/>
        <v>261.41767763687125</v>
      </c>
      <c r="CC131" s="59">
        <f t="shared" si="65"/>
        <v>554.75101097020456</v>
      </c>
      <c r="CD131" s="59">
        <f ca="1">AVERAGE(OFFSET($CC$3,0,0,'Données projet'!$E$12+1,1))-AVERAGE(OFFSET($H$3,0,0,'Données projet'!$E$12+1,1))</f>
        <v>201.78062426023638</v>
      </c>
      <c r="CE131" s="59">
        <f t="shared" si="94"/>
        <v>183.0364139873468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9.6738755718506155</v>
      </c>
      <c r="CL131" s="21">
        <f>EXP(-LN(2)/25)*CL130+(1-EXP(-LN(2)/25))/(LN(2)/25)*Calculateur!CG131*Calculateur!CI131*VLOOKUP('Données projet'!$B$12,Paramètres!$A$1:$I$89,3,0)*0.475*44/12</f>
        <v>3.5270434099076904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13.200918981758306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4.2260400000000029</v>
      </c>
      <c r="D132" s="11">
        <f t="shared" si="86"/>
        <v>1.6467474394469042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2.2666898889093328</v>
      </c>
      <c r="H132" s="67">
        <f t="shared" ref="H132:H195" si="110">(B132+E132+F132)*44/12+(C132+D132)*0.475*44/12</f>
        <v>266.89510479037006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346.2919953121168</v>
      </c>
      <c r="T132" s="59">
        <f t="shared" si="88"/>
        <v>255.63939678041237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61.853145705410128</v>
      </c>
      <c r="AA132" s="21">
        <f>EXP(-LN(2)/25)*AA131+(1-EXP(-LN(2)/25))/(LN(2)/25)*Calculateur!V132*Calculateur!X132*VLOOKUP('Données projet'!$B$9,Paramètres!$A$1:$I$89,3,0)*0.475*44/12</f>
        <v>20.609557617089177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82.462703322499308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298.32148815673816</v>
      </c>
      <c r="AO132" s="59">
        <f t="shared" si="90"/>
        <v>303.51754260758827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34.318927128135257</v>
      </c>
      <c r="AV132" s="21">
        <f>EXP(-LN(2)/25)*AV131+(1-EXP(-LN(2)/25))/(LN(2)/25)*Calculateur!AQ132*Calculateur!AS132*VLOOKUP('Données projet'!$B$10,Paramètres!$A$1:$I$89,3,0)*0.475*44/12</f>
        <v>11.210736409511059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45.529663537646314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-4.2632564145606011E-13</v>
      </c>
      <c r="BE132" s="13">
        <f>BD132*VLOOKUP('Données projet'!$B$11,Paramètres!$A$1:$I$89,3,0)*VLOOKUP('Données projet'!$B$11,Paramètres!$A$1:$I$89,5,0)</f>
        <v>-2.4385826691286639E-13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287.9055604128643</v>
      </c>
      <c r="BJ132" s="59">
        <f t="shared" si="92"/>
        <v>197.74605993031139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70.327387188061167</v>
      </c>
      <c r="BQ132" s="21">
        <f>EXP(-LN(2)/25)*BQ131+(1-EXP(-LN(2)/25))/(LN(2)/25)*Calculateur!BL132*Calculateur!BN132*VLOOKUP('Données projet'!$B$11,Paramètres!$A$1:$I$89,3,0)*0.475*44/12</f>
        <v>25.831176790656702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96.158563978717865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135.89743589743577</v>
      </c>
      <c r="BZ132" s="13">
        <f>BY132*VLOOKUP('Données projet'!$B$12,Paramètres!$A$1:$I$89,3,0)*VLOOKUP('Données projet'!$B$12,Paramètres!$A$1:$I$89,5,0)</f>
        <v>118.71999999999991</v>
      </c>
      <c r="CA132" s="13">
        <f t="shared" si="93"/>
        <v>31.376274241265865</v>
      </c>
      <c r="CB132" s="20">
        <f t="shared" ref="CB132:CB153" si="118">(BZ132+CA132)*0.475*44/12</f>
        <v>261.41767763687125</v>
      </c>
      <c r="CC132" s="59">
        <f t="shared" ref="CC132:CC195" si="119">CB132+(BT132+BU132)*44/12</f>
        <v>554.75101097020456</v>
      </c>
      <c r="CD132" s="59">
        <f ca="1">AVERAGE(OFFSET($CC$3,0,0,'Données projet'!$E$12+1,1))-AVERAGE(OFFSET($H$3,0,0,'Données projet'!$E$12+1,1))</f>
        <v>201.78062426023638</v>
      </c>
      <c r="CE132" s="59">
        <f t="shared" si="94"/>
        <v>183.0364139873468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9.4841767723680999</v>
      </c>
      <c r="CL132" s="21">
        <f>EXP(-LN(2)/25)*CL131+(1-EXP(-LN(2)/25))/(LN(2)/25)*Calculateur!CG132*Calculateur!CI132*VLOOKUP('Données projet'!$B$12,Paramètres!$A$1:$I$89,3,0)*0.475*44/12</f>
        <v>3.4305962223846129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12.914772994752713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4.2588000000000026</v>
      </c>
      <c r="D133" s="11">
        <f t="shared" ref="D133:D196" si="140">IFERROR(EXP(-1.0587+0.8836*LN(C133)+0.284),0)</f>
        <v>1.6580219468257469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2.2836856636871312</v>
      </c>
      <c r="H133" s="67">
        <f t="shared" si="110"/>
        <v>266.97179822405485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346.2919953121168</v>
      </c>
      <c r="T133" s="59">
        <f t="shared" ref="T133:T196" si="142">$T$3</f>
        <v>255.63939678041237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60.640243244820716</v>
      </c>
      <c r="AA133" s="21">
        <f>EXP(-LN(2)/25)*AA132+(1-EXP(-LN(2)/25))/(LN(2)/25)*Calculateur!V133*Calculateur!X133*VLOOKUP('Données projet'!$B$9,Paramètres!$A$1:$I$89,3,0)*0.475*44/12</f>
        <v>20.045988180240343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80.686231425061067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298.32148815673816</v>
      </c>
      <c r="AO133" s="59">
        <f t="shared" ref="AO133:AO196" si="144">$AO$3</f>
        <v>303.51754260758827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33.645953899631159</v>
      </c>
      <c r="AV133" s="21">
        <f>EXP(-LN(2)/25)*AV132+(1-EXP(-LN(2)/25))/(LN(2)/25)*Calculateur!AQ133*Calculateur!AS133*VLOOKUP('Données projet'!$B$10,Paramètres!$A$1:$I$89,3,0)*0.475*44/12</f>
        <v>10.904178232845974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44.550132132477131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-4.2632564145606011E-13</v>
      </c>
      <c r="BE133" s="13">
        <f>BD133*VLOOKUP('Données projet'!$B$11,Paramètres!$A$1:$I$89,3,0)*VLOOKUP('Données projet'!$B$11,Paramètres!$A$1:$I$89,5,0)</f>
        <v>-2.4385826691286639E-13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287.9055604128643</v>
      </c>
      <c r="BJ133" s="59">
        <f t="shared" ref="BJ133:BJ196" si="146">$BJ$3</f>
        <v>197.74605993031139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68.948310020773903</v>
      </c>
      <c r="BQ133" s="21">
        <f>EXP(-LN(2)/25)*BQ132+(1-EXP(-LN(2)/25))/(LN(2)/25)*Calculateur!BL133*Calculateur!BN133*VLOOKUP('Données projet'!$B$11,Paramètres!$A$1:$I$89,3,0)*0.475*44/12</f>
        <v>25.124821902913645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94.073131923687555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135.89743589743577</v>
      </c>
      <c r="BZ133" s="13">
        <f>BY133*VLOOKUP('Données projet'!$B$12,Paramètres!$A$1:$I$89,3,0)*VLOOKUP('Données projet'!$B$12,Paramètres!$A$1:$I$89,5,0)</f>
        <v>118.71999999999991</v>
      </c>
      <c r="CA133" s="13">
        <f t="shared" ref="CA133:CA153" si="147">EXP(-1.0587+0.8836*LN(BZ133)+0.284)</f>
        <v>31.376274241265865</v>
      </c>
      <c r="CB133" s="20">
        <f t="shared" si="118"/>
        <v>261.41767763687125</v>
      </c>
      <c r="CC133" s="59">
        <f t="shared" si="119"/>
        <v>554.75101097020456</v>
      </c>
      <c r="CD133" s="59">
        <f ca="1">AVERAGE(OFFSET($CC$3,0,0,'Données projet'!$E$12+1,1))-AVERAGE(OFFSET($H$3,0,0,'Données projet'!$E$12+1,1))</f>
        <v>201.78062426023638</v>
      </c>
      <c r="CE133" s="59">
        <f t="shared" ref="CE133:CE196" si="148">$CE$3</f>
        <v>183.0364139873468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9.2981978506385925</v>
      </c>
      <c r="CL133" s="21">
        <f>EXP(-LN(2)/25)*CL132+(1-EXP(-LN(2)/25))/(LN(2)/25)*Calculateur!CG133*Calculateur!CI133*VLOOKUP('Données projet'!$B$12,Paramètres!$A$1:$I$89,3,0)*0.475*44/12</f>
        <v>3.3367863882762911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12.634984238914884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4.2915600000000023</v>
      </c>
      <c r="D134" s="11">
        <f t="shared" si="140"/>
        <v>1.6692863635969923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2.3006775438444538</v>
      </c>
      <c r="H134" s="67">
        <f t="shared" si="110"/>
        <v>267.04847408326481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346.2919953121168</v>
      </c>
      <c r="T134" s="59">
        <f t="shared" si="142"/>
        <v>255.63939678041237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59.451125061686007</v>
      </c>
      <c r="AA134" s="21">
        <f>EXP(-LN(2)/25)*AA133+(1-EXP(-LN(2)/25))/(LN(2)/25)*Calculateur!V134*Calculateur!X134*VLOOKUP('Données projet'!$B$9,Paramètres!$A$1:$I$89,3,0)*0.475*44/12</f>
        <v>19.497829579278967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78.948954640964971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298.32148815673816</v>
      </c>
      <c r="AO134" s="59">
        <f t="shared" si="144"/>
        <v>303.51754260758827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32.986177265664892</v>
      </c>
      <c r="AV134" s="21">
        <f>EXP(-LN(2)/25)*AV133+(1-EXP(-LN(2)/25))/(LN(2)/25)*Calculateur!AQ134*Calculateur!AS134*VLOOKUP('Données projet'!$B$10,Paramètres!$A$1:$I$89,3,0)*0.475*44/12</f>
        <v>10.606002905642988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43.592180171307881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-4.2632564145606011E-13</v>
      </c>
      <c r="BE134" s="13">
        <f>BD134*VLOOKUP('Données projet'!$B$11,Paramètres!$A$1:$I$89,3,0)*VLOOKUP('Données projet'!$B$11,Paramètres!$A$1:$I$89,5,0)</f>
        <v>-2.4385826691286639E-13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287.9055604128643</v>
      </c>
      <c r="BJ134" s="59">
        <f t="shared" si="146"/>
        <v>197.74605993031139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67.596275715583118</v>
      </c>
      <c r="BQ134" s="21">
        <f>EXP(-LN(2)/25)*BQ133+(1-EXP(-LN(2)/25))/(LN(2)/25)*Calculateur!BL134*Calculateur!BN134*VLOOKUP('Données projet'!$B$11,Paramètres!$A$1:$I$89,3,0)*0.475*44/12</f>
        <v>24.437782326721511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92.034058042304622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135.89743589743577</v>
      </c>
      <c r="BZ134" s="13">
        <f>BY134*VLOOKUP('Données projet'!$B$12,Paramètres!$A$1:$I$89,3,0)*VLOOKUP('Données projet'!$B$12,Paramètres!$A$1:$I$89,5,0)</f>
        <v>118.71999999999991</v>
      </c>
      <c r="CA134" s="13">
        <f t="shared" si="147"/>
        <v>31.376274241265865</v>
      </c>
      <c r="CB134" s="20">
        <f t="shared" si="118"/>
        <v>261.41767763687125</v>
      </c>
      <c r="CC134" s="59">
        <f t="shared" si="119"/>
        <v>554.75101097020456</v>
      </c>
      <c r="CD134" s="59">
        <f ca="1">AVERAGE(OFFSET($CC$3,0,0,'Données projet'!$E$12+1,1))-AVERAGE(OFFSET($H$3,0,0,'Données projet'!$E$12+1,1))</f>
        <v>201.78062426023638</v>
      </c>
      <c r="CE134" s="59">
        <f t="shared" si="148"/>
        <v>183.0364139873468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9.1158658621282598</v>
      </c>
      <c r="CL134" s="21">
        <f>EXP(-LN(2)/25)*CL133+(1-EXP(-LN(2)/25))/(LN(2)/25)*Calculateur!CG134*Calculateur!CI134*VLOOKUP('Données projet'!$B$12,Paramètres!$A$1:$I$89,3,0)*0.475*44/12</f>
        <v>3.2455417890149061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12.361407651143166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4.3243200000000019</v>
      </c>
      <c r="D135" s="11">
        <f t="shared" si="140"/>
        <v>1.6805407757176658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2.3176655625576967</v>
      </c>
      <c r="H135" s="67">
        <f t="shared" si="110"/>
        <v>267.12513251770827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346.2919953121168</v>
      </c>
      <c r="T135" s="59">
        <f t="shared" si="142"/>
        <v>255.63939678041237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58.285324760832097</v>
      </c>
      <c r="AA135" s="21">
        <f>EXP(-LN(2)/25)*AA134+(1-EXP(-LN(2)/25))/(LN(2)/25)*Calculateur!V135*Calculateur!X135*VLOOKUP('Données projet'!$B$9,Paramètres!$A$1:$I$89,3,0)*0.475*44/12</f>
        <v>18.96466040408729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77.249985164919394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298.32148815673816</v>
      </c>
      <c r="AO135" s="59">
        <f t="shared" si="144"/>
        <v>303.51754260758827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32.339338449066695</v>
      </c>
      <c r="AV135" s="21">
        <f>EXP(-LN(2)/25)*AV134+(1-EXP(-LN(2)/25))/(LN(2)/25)*Calculateur!AQ135*Calculateur!AS135*VLOOKUP('Données projet'!$B$10,Paramètres!$A$1:$I$89,3,0)*0.475*44/12</f>
        <v>10.315981198442728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42.655319647509423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-4.2632564145606011E-13</v>
      </c>
      <c r="BE135" s="13">
        <f>BD135*VLOOKUP('Données projet'!$B$11,Paramètres!$A$1:$I$89,3,0)*VLOOKUP('Données projet'!$B$11,Paramètres!$A$1:$I$89,5,0)</f>
        <v>-2.4385826691286639E-13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287.9055604128643</v>
      </c>
      <c r="BJ135" s="59">
        <f t="shared" si="146"/>
        <v>197.74605993031139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66.270753978457634</v>
      </c>
      <c r="BQ135" s="21">
        <f>EXP(-LN(2)/25)*BQ134+(1-EXP(-LN(2)/25))/(LN(2)/25)*Calculateur!BL135*Calculateur!BN135*VLOOKUP('Données projet'!$B$11,Paramètres!$A$1:$I$89,3,0)*0.475*44/12</f>
        <v>23.769529883870192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90.040283862327826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135.89743589743577</v>
      </c>
      <c r="BZ135" s="13">
        <f>BY135*VLOOKUP('Données projet'!$B$12,Paramètres!$A$1:$I$89,3,0)*VLOOKUP('Données projet'!$B$12,Paramètres!$A$1:$I$89,5,0)</f>
        <v>118.71999999999991</v>
      </c>
      <c r="CA135" s="13">
        <f t="shared" si="147"/>
        <v>31.376274241265865</v>
      </c>
      <c r="CB135" s="20">
        <f t="shared" si="118"/>
        <v>261.41767763687125</v>
      </c>
      <c r="CC135" s="59">
        <f t="shared" si="119"/>
        <v>554.75101097020456</v>
      </c>
      <c r="CD135" s="59">
        <f ca="1">AVERAGE(OFFSET($CC$3,0,0,'Données projet'!$E$12+1,1))-AVERAGE(OFFSET($H$3,0,0,'Données projet'!$E$12+1,1))</f>
        <v>201.78062426023638</v>
      </c>
      <c r="CE135" s="59">
        <f t="shared" si="148"/>
        <v>183.0364139873468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8.9371092927010842</v>
      </c>
      <c r="CL135" s="21">
        <f>EXP(-LN(2)/25)*CL134+(1-EXP(-LN(2)/25))/(LN(2)/25)*Calculateur!CG135*Calculateur!CI135*VLOOKUP('Données projet'!$B$12,Paramètres!$A$1:$I$89,3,0)*0.475*44/12</f>
        <v>3.1567922781186684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12.093901570819753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4.3570800000000016</v>
      </c>
      <c r="D136" s="11">
        <f t="shared" si="140"/>
        <v>1.6917852677671852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2.3346497524715462</v>
      </c>
      <c r="H136" s="67">
        <f t="shared" si="110"/>
        <v>267.20177367469455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346.2919953121168</v>
      </c>
      <c r="T136" s="59">
        <f t="shared" si="142"/>
        <v>255.63939678041237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57.14238509280996</v>
      </c>
      <c r="AA136" s="21">
        <f>EXP(-LN(2)/25)*AA135+(1-EXP(-LN(2)/25))/(LN(2)/25)*Calculateur!V136*Calculateur!X136*VLOOKUP('Données projet'!$B$9,Paramètres!$A$1:$I$89,3,0)*0.475*44/12</f>
        <v>18.446070768029376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75.588455860839332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298.32148815673816</v>
      </c>
      <c r="AO136" s="59">
        <f t="shared" si="144"/>
        <v>303.51754260758827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31.705183747129265</v>
      </c>
      <c r="AV136" s="21">
        <f>EXP(-LN(2)/25)*AV135+(1-EXP(-LN(2)/25))/(LN(2)/25)*Calculateur!AQ136*Calculateur!AS136*VLOOKUP('Données projet'!$B$10,Paramètres!$A$1:$I$89,3,0)*0.475*44/12</f>
        <v>10.033890150077438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41.739073897206701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-4.2632564145606011E-13</v>
      </c>
      <c r="BE136" s="13">
        <f>BD136*VLOOKUP('Données projet'!$B$11,Paramètres!$A$1:$I$89,3,0)*VLOOKUP('Données projet'!$B$11,Paramètres!$A$1:$I$89,5,0)</f>
        <v>-2.4385826691286639E-13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287.9055604128643</v>
      </c>
      <c r="BJ136" s="59">
        <f t="shared" si="146"/>
        <v>197.74605993031139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64.971224914108745</v>
      </c>
      <c r="BQ136" s="21">
        <f>EXP(-LN(2)/25)*BQ135+(1-EXP(-LN(2)/25))/(LN(2)/25)*Calculateur!BL136*Calculateur!BN136*VLOOKUP('Données projet'!$B$11,Paramètres!$A$1:$I$89,3,0)*0.475*44/12</f>
        <v>23.119550839210511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88.090775753319264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135.89743589743577</v>
      </c>
      <c r="BZ136" s="13">
        <f>BY136*VLOOKUP('Données projet'!$B$12,Paramètres!$A$1:$I$89,3,0)*VLOOKUP('Données projet'!$B$12,Paramètres!$A$1:$I$89,5,0)</f>
        <v>118.71999999999991</v>
      </c>
      <c r="CA136" s="13">
        <f t="shared" si="147"/>
        <v>31.376274241265865</v>
      </c>
      <c r="CB136" s="20">
        <f t="shared" si="118"/>
        <v>261.41767763687125</v>
      </c>
      <c r="CC136" s="59">
        <f t="shared" si="119"/>
        <v>554.75101097020456</v>
      </c>
      <c r="CD136" s="59">
        <f ca="1">AVERAGE(OFFSET($CC$3,0,0,'Données projet'!$E$12+1,1))-AVERAGE(OFFSET($H$3,0,0,'Données projet'!$E$12+1,1))</f>
        <v>201.78062426023638</v>
      </c>
      <c r="CE136" s="59">
        <f t="shared" si="148"/>
        <v>183.0364139873468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8.7618580305696341</v>
      </c>
      <c r="CL136" s="21">
        <f>EXP(-LN(2)/25)*CL135+(1-EXP(-LN(2)/25))/(LN(2)/25)*Calculateur!CG136*Calculateur!CI136*VLOOKUP('Données projet'!$B$12,Paramètres!$A$1:$I$89,3,0)*0.475*44/12</f>
        <v>3.0704696272650223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11.832327657834657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4.3898400000000013</v>
      </c>
      <c r="D137" s="11">
        <f t="shared" si="140"/>
        <v>1.7030199229796252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2.3516301457114355</v>
      </c>
      <c r="H137" s="67">
        <f t="shared" si="110"/>
        <v>267.27839769918955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346.2919953121168</v>
      </c>
      <c r="T137" s="59">
        <f t="shared" si="142"/>
        <v>255.63939678041237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56.021857774553375</v>
      </c>
      <c r="AA137" s="21">
        <f>EXP(-LN(2)/25)*AA136+(1-EXP(-LN(2)/25))/(LN(2)/25)*Calculateur!V137*Calculateur!X137*VLOOKUP('Données projet'!$B$9,Paramètres!$A$1:$I$89,3,0)*0.475*44/12</f>
        <v>17.94166199284091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73.963519767394288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298.32148815673816</v>
      </c>
      <c r="AO137" s="59">
        <f t="shared" si="144"/>
        <v>303.51754260758827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31.083464432100651</v>
      </c>
      <c r="AV137" s="21">
        <f>EXP(-LN(2)/25)*AV136+(1-EXP(-LN(2)/25))/(LN(2)/25)*Calculateur!AQ137*Calculateur!AS137*VLOOKUP('Données projet'!$B$10,Paramètres!$A$1:$I$89,3,0)*0.475*44/12</f>
        <v>9.759512896264221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40.842977328364874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-4.2632564145606011E-13</v>
      </c>
      <c r="BE137" s="13">
        <f>BD137*VLOOKUP('Données projet'!$B$11,Paramètres!$A$1:$I$89,3,0)*VLOOKUP('Données projet'!$B$11,Paramètres!$A$1:$I$89,5,0)</f>
        <v>-2.4385826691286639E-13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287.9055604128643</v>
      </c>
      <c r="BJ137" s="59">
        <f t="shared" si="146"/>
        <v>197.74605993031139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63.697178822077277</v>
      </c>
      <c r="BQ137" s="21">
        <f>EXP(-LN(2)/25)*BQ136+(1-EXP(-LN(2)/25))/(LN(2)/25)*Calculateur!BL137*Calculateur!BN137*VLOOKUP('Données projet'!$B$11,Paramètres!$A$1:$I$89,3,0)*0.475*44/12</f>
        <v>22.48734550570796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86.18452432778524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135.89743589743577</v>
      </c>
      <c r="BZ137" s="13">
        <f>BY137*VLOOKUP('Données projet'!$B$12,Paramètres!$A$1:$I$89,3,0)*VLOOKUP('Données projet'!$B$12,Paramètres!$A$1:$I$89,5,0)</f>
        <v>118.71999999999991</v>
      </c>
      <c r="CA137" s="13">
        <f t="shared" si="147"/>
        <v>31.376274241265865</v>
      </c>
      <c r="CB137" s="20">
        <f t="shared" si="118"/>
        <v>261.41767763687125</v>
      </c>
      <c r="CC137" s="59">
        <f t="shared" si="119"/>
        <v>554.75101097020456</v>
      </c>
      <c r="CD137" s="59">
        <f ca="1">AVERAGE(OFFSET($CC$3,0,0,'Données projet'!$E$12+1,1))-AVERAGE(OFFSET($H$3,0,0,'Données projet'!$E$12+1,1))</f>
        <v>201.78062426023638</v>
      </c>
      <c r="CE137" s="59">
        <f t="shared" si="148"/>
        <v>183.0364139873468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8.5900433387958657</v>
      </c>
      <c r="CL137" s="21">
        <f>EXP(-LN(2)/25)*CL136+(1-EXP(-LN(2)/25))/(LN(2)/25)*Calculateur!CG137*Calculateur!CI137*VLOOKUP('Données projet'!$B$12,Paramètres!$A$1:$I$89,3,0)*0.475*44/12</f>
        <v>2.98650747383848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11.576550812634345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4.422600000000001</v>
      </c>
      <c r="D138" s="11">
        <f t="shared" si="140"/>
        <v>1.7142448232749932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2.3686067738956118</v>
      </c>
      <c r="H138" s="67">
        <f t="shared" si="110"/>
        <v>267.35500473387066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346.2919953121168</v>
      </c>
      <c r="T138" s="59">
        <f t="shared" si="142"/>
        <v>255.63939678041237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54.923303313553625</v>
      </c>
      <c r="AA138" s="21">
        <f>EXP(-LN(2)/25)*AA137+(1-EXP(-LN(2)/25))/(LN(2)/25)*Calculateur!V138*Calculateur!X138*VLOOKUP('Données projet'!$B$9,Paramètres!$A$1:$I$89,3,0)*0.475*44/12</f>
        <v>17.451046302135676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72.374349615689297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298.32148815673816</v>
      </c>
      <c r="AO138" s="59">
        <f t="shared" si="144"/>
        <v>303.51754260758827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30.47393665362841</v>
      </c>
      <c r="AV138" s="21">
        <f>EXP(-LN(2)/25)*AV137+(1-EXP(-LN(2)/25))/(LN(2)/25)*Calculateur!AQ138*Calculateur!AS138*VLOOKUP('Données projet'!$B$10,Paramètres!$A$1:$I$89,3,0)*0.475*44/12</f>
        <v>9.4926385028853986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39.966575156513812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-4.2632564145606011E-13</v>
      </c>
      <c r="BE138" s="13">
        <f>BD138*VLOOKUP('Données projet'!$B$11,Paramètres!$A$1:$I$89,3,0)*VLOOKUP('Données projet'!$B$11,Paramètres!$A$1:$I$89,5,0)</f>
        <v>-2.4385826691286639E-13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287.9055604128643</v>
      </c>
      <c r="BJ138" s="59">
        <f t="shared" si="146"/>
        <v>197.74605993031139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62.448115996819162</v>
      </c>
      <c r="BQ138" s="21">
        <f>EXP(-LN(2)/25)*BQ137+(1-EXP(-LN(2)/25))/(LN(2)/25)*Calculateur!BL138*Calculateur!BN138*VLOOKUP('Données projet'!$B$11,Paramètres!$A$1:$I$89,3,0)*0.475*44/12</f>
        <v>21.87242786029627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84.320543857115439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135.89743589743577</v>
      </c>
      <c r="BZ138" s="13">
        <f>BY138*VLOOKUP('Données projet'!$B$12,Paramètres!$A$1:$I$89,3,0)*VLOOKUP('Données projet'!$B$12,Paramètres!$A$1:$I$89,5,0)</f>
        <v>118.71999999999991</v>
      </c>
      <c r="CA138" s="13">
        <f t="shared" si="147"/>
        <v>31.376274241265865</v>
      </c>
      <c r="CB138" s="20">
        <f t="shared" si="118"/>
        <v>261.41767763687125</v>
      </c>
      <c r="CC138" s="59">
        <f t="shared" si="119"/>
        <v>554.75101097020456</v>
      </c>
      <c r="CD138" s="59">
        <f ca="1">AVERAGE(OFFSET($CC$3,0,0,'Données projet'!$E$12+1,1))-AVERAGE(OFFSET($H$3,0,0,'Données projet'!$E$12+1,1))</f>
        <v>201.78062426023638</v>
      </c>
      <c r="CE138" s="59">
        <f t="shared" si="148"/>
        <v>183.0364139873468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8.4215978283311674</v>
      </c>
      <c r="CL138" s="21">
        <f>EXP(-LN(2)/25)*CL137+(1-EXP(-LN(2)/25))/(LN(2)/25)*Calculateur!CG138*Calculateur!CI138*VLOOKUP('Données projet'!$B$12,Paramètres!$A$1:$I$89,3,0)*0.475*44/12</f>
        <v>2.9048412699127644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11.326439098243931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4.4553600000000007</v>
      </c>
      <c r="D139" s="11">
        <f t="shared" si="140"/>
        <v>1.7254600492895527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2.3855796681468457</v>
      </c>
      <c r="H139" s="67">
        <f t="shared" si="110"/>
        <v>267.4315949191793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346.2919953121168</v>
      </c>
      <c r="T139" s="59">
        <f t="shared" si="142"/>
        <v>255.63939678041237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53.846290835482016</v>
      </c>
      <c r="AA139" s="21">
        <f>EXP(-LN(2)/25)*AA138+(1-EXP(-LN(2)/25))/(LN(2)/25)*Calculateur!V139*Calculateur!X139*VLOOKUP('Données projet'!$B$9,Paramètres!$A$1:$I$89,3,0)*0.475*44/12</f>
        <v>16.973846523293137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70.820137358775156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298.32148815673816</v>
      </c>
      <c r="AO139" s="59">
        <f t="shared" si="144"/>
        <v>303.51754260758827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29.876361343116777</v>
      </c>
      <c r="AV139" s="21">
        <f>EXP(-LN(2)/25)*AV138+(1-EXP(-LN(2)/25))/(LN(2)/25)*Calculateur!AQ139*Calculateur!AS139*VLOOKUP('Données projet'!$B$10,Paramètres!$A$1:$I$89,3,0)*0.475*44/12</f>
        <v>9.2330618038278338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39.109423146944607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-4.2632564145606011E-13</v>
      </c>
      <c r="BE139" s="13">
        <f>BD139*VLOOKUP('Données projet'!$B$11,Paramètres!$A$1:$I$89,3,0)*VLOOKUP('Données projet'!$B$11,Paramètres!$A$1:$I$89,5,0)</f>
        <v>-2.4385826691286639E-13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287.9055604128643</v>
      </c>
      <c r="BJ139" s="59">
        <f t="shared" si="146"/>
        <v>197.74605993031139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61.223546531711264</v>
      </c>
      <c r="BQ139" s="21">
        <f>EXP(-LN(2)/25)*BQ138+(1-EXP(-LN(2)/25))/(LN(2)/25)*Calculateur!BL139*Calculateur!BN139*VLOOKUP('Données projet'!$B$11,Paramètres!$A$1:$I$89,3,0)*0.475*44/12</f>
        <v>21.274325170235478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82.497871701946735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135.89743589743577</v>
      </c>
      <c r="BZ139" s="13">
        <f>BY139*VLOOKUP('Données projet'!$B$12,Paramètres!$A$1:$I$89,3,0)*VLOOKUP('Données projet'!$B$12,Paramètres!$A$1:$I$89,5,0)</f>
        <v>118.71999999999991</v>
      </c>
      <c r="CA139" s="13">
        <f t="shared" si="147"/>
        <v>31.376274241265865</v>
      </c>
      <c r="CB139" s="20">
        <f t="shared" si="118"/>
        <v>261.41767763687125</v>
      </c>
      <c r="CC139" s="59">
        <f t="shared" si="119"/>
        <v>554.75101097020456</v>
      </c>
      <c r="CD139" s="59">
        <f ca="1">AVERAGE(OFFSET($CC$3,0,0,'Données projet'!$E$12+1,1))-AVERAGE(OFFSET($H$3,0,0,'Données projet'!$E$12+1,1))</f>
        <v>201.78062426023638</v>
      </c>
      <c r="CE139" s="59">
        <f t="shared" si="148"/>
        <v>183.0364139873468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8.2564554315850653</v>
      </c>
      <c r="CL139" s="21">
        <f>EXP(-LN(2)/25)*CL138+(1-EXP(-LN(2)/25))/(LN(2)/25)*Calculateur!CG139*Calculateur!CI139*VLOOKUP('Données projet'!$B$12,Paramètres!$A$1:$I$89,3,0)*0.475*44/12</f>
        <v>2.8254082326280368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11.081863664213103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4.4881200000000003</v>
      </c>
      <c r="D140" s="11">
        <f t="shared" si="140"/>
        <v>1.7366656804052272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2.402548859103772</v>
      </c>
      <c r="H140" s="67">
        <f t="shared" si="110"/>
        <v>267.50816839337244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346.2919953121168</v>
      </c>
      <c r="T140" s="59">
        <f t="shared" si="142"/>
        <v>255.63939678041237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52.790397915192649</v>
      </c>
      <c r="AA140" s="21">
        <f>EXP(-LN(2)/25)*AA139+(1-EXP(-LN(2)/25))/(LN(2)/25)*Calculateur!V140*Calculateur!X140*VLOOKUP('Données projet'!$B$9,Paramètres!$A$1:$I$89,3,0)*0.475*44/12</f>
        <v>16.509695797497891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69.30009371269054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298.32148815673816</v>
      </c>
      <c r="AO140" s="59">
        <f t="shared" si="144"/>
        <v>303.51754260758827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29.290504119959326</v>
      </c>
      <c r="AV140" s="21">
        <f>EXP(-LN(2)/25)*AV139+(1-EXP(-LN(2)/25))/(LN(2)/25)*Calculateur!AQ140*Calculateur!AS140*VLOOKUP('Données projet'!$B$10,Paramètres!$A$1:$I$89,3,0)*0.475*44/12</f>
        <v>8.9805832432565431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38.271087363215869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-4.2632564145606011E-13</v>
      </c>
      <c r="BE140" s="13">
        <f>BD140*VLOOKUP('Données projet'!$B$11,Paramètres!$A$1:$I$89,3,0)*VLOOKUP('Données projet'!$B$11,Paramètres!$A$1:$I$89,5,0)</f>
        <v>-2.4385826691286639E-13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287.9055604128643</v>
      </c>
      <c r="BJ140" s="59">
        <f t="shared" si="146"/>
        <v>197.74605993031139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60.02299012690051</v>
      </c>
      <c r="BQ140" s="21">
        <f>EXP(-LN(2)/25)*BQ139+(1-EXP(-LN(2)/25))/(LN(2)/25)*Calculateur!BL140*Calculateur!BN140*VLOOKUP('Données projet'!$B$11,Paramètres!$A$1:$I$89,3,0)*0.475*44/12</f>
        <v>20.69257762968725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80.71556775658776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135.89743589743577</v>
      </c>
      <c r="BZ140" s="13">
        <f>BY140*VLOOKUP('Données projet'!$B$12,Paramètres!$A$1:$I$89,3,0)*VLOOKUP('Données projet'!$B$12,Paramètres!$A$1:$I$89,5,0)</f>
        <v>118.71999999999991</v>
      </c>
      <c r="CA140" s="13">
        <f t="shared" si="147"/>
        <v>31.376274241265865</v>
      </c>
      <c r="CB140" s="20">
        <f t="shared" si="118"/>
        <v>261.41767763687125</v>
      </c>
      <c r="CC140" s="59">
        <f t="shared" si="119"/>
        <v>554.75101097020456</v>
      </c>
      <c r="CD140" s="59">
        <f ca="1">AVERAGE(OFFSET($CC$3,0,0,'Données projet'!$E$12+1,1))-AVERAGE(OFFSET($H$3,0,0,'Données projet'!$E$12+1,1))</f>
        <v>201.78062426023638</v>
      </c>
      <c r="CE140" s="59">
        <f t="shared" si="148"/>
        <v>183.0364139873468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8.0945513765122374</v>
      </c>
      <c r="CL140" s="21">
        <f>EXP(-LN(2)/25)*CL139+(1-EXP(-LN(2)/25))/(LN(2)/25)*Calculateur!CG140*Calculateur!CI140*VLOOKUP('Données projet'!$B$12,Paramètres!$A$1:$I$89,3,0)*0.475*44/12</f>
        <v>2.7481472959250617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10.842698672437299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4.52088</v>
      </c>
      <c r="D141" s="11">
        <f t="shared" si="140"/>
        <v>1.7478617947781245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2.4195143769319079</v>
      </c>
      <c r="H141" s="67">
        <f t="shared" si="110"/>
        <v>267.58472529257193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346.2919953121168</v>
      </c>
      <c r="T141" s="59">
        <f t="shared" si="142"/>
        <v>255.63939678041237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51.755210411039066</v>
      </c>
      <c r="AA141" s="21">
        <f>EXP(-LN(2)/25)*AA140+(1-EXP(-LN(2)/25))/(LN(2)/25)*Calculateur!V141*Calculateur!X141*VLOOKUP('Données projet'!$B$9,Paramètres!$A$1:$I$89,3,0)*0.475*44/12</f>
        <v>16.058237297708143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67.813447708747205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298.32148815673816</v>
      </c>
      <c r="AO141" s="59">
        <f t="shared" si="144"/>
        <v>303.51754260758827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28.71613519961037</v>
      </c>
      <c r="AV141" s="21">
        <f>EXP(-LN(2)/25)*AV140+(1-EXP(-LN(2)/25))/(LN(2)/25)*Calculateur!AQ141*Calculateur!AS141*VLOOKUP('Données projet'!$B$10,Paramètres!$A$1:$I$89,3,0)*0.475*44/12</f>
        <v>8.7350087222013464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37.45114392181172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-4.2632564145606011E-13</v>
      </c>
      <c r="BE141" s="13">
        <f>BD141*VLOOKUP('Données projet'!$B$11,Paramètres!$A$1:$I$89,3,0)*VLOOKUP('Données projet'!$B$11,Paramètres!$A$1:$I$89,5,0)</f>
        <v>-2.4385826691286639E-13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287.9055604128643</v>
      </c>
      <c r="BJ141" s="59">
        <f t="shared" si="146"/>
        <v>197.74605993031139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58.84597590092099</v>
      </c>
      <c r="BQ141" s="21">
        <f>EXP(-LN(2)/25)*BQ140+(1-EXP(-LN(2)/25))/(LN(2)/25)*Calculateur!BL141*Calculateur!BN141*VLOOKUP('Données projet'!$B$11,Paramètres!$A$1:$I$89,3,0)*0.475*44/12</f>
        <v>20.126738006228088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78.972713907149085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135.89743589743577</v>
      </c>
      <c r="BZ141" s="13">
        <f>BY141*VLOOKUP('Données projet'!$B$12,Paramètres!$A$1:$I$89,3,0)*VLOOKUP('Données projet'!$B$12,Paramètres!$A$1:$I$89,5,0)</f>
        <v>118.71999999999991</v>
      </c>
      <c r="CA141" s="13">
        <f t="shared" si="147"/>
        <v>31.376274241265865</v>
      </c>
      <c r="CB141" s="20">
        <f t="shared" si="118"/>
        <v>261.41767763687125</v>
      </c>
      <c r="CC141" s="59">
        <f t="shared" si="119"/>
        <v>554.75101097020456</v>
      </c>
      <c r="CD141" s="59">
        <f ca="1">AVERAGE(OFFSET($CC$3,0,0,'Données projet'!$E$12+1,1))-AVERAGE(OFFSET($H$3,0,0,'Données projet'!$E$12+1,1))</f>
        <v>201.78062426023638</v>
      </c>
      <c r="CE141" s="59">
        <f t="shared" si="148"/>
        <v>183.0364139873468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7.9358221612076649</v>
      </c>
      <c r="CL141" s="21">
        <f>EXP(-LN(2)/25)*CL140+(1-EXP(-LN(2)/25))/(LN(2)/25)*Calculateur!CG141*Calculateur!CI141*VLOOKUP('Données projet'!$B$12,Paramètres!$A$1:$I$89,3,0)*0.475*44/12</f>
        <v>2.6729990635992054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10.608821224806871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4.5536399999999997</v>
      </c>
      <c r="D142" s="11">
        <f t="shared" si="140"/>
        <v>1.759048469366205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2.4364762513343248</v>
      </c>
      <c r="H142" s="67">
        <f t="shared" si="110"/>
        <v>267.66126575081284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346.2919953121168</v>
      </c>
      <c r="T142" s="59">
        <f t="shared" si="142"/>
        <v>255.63939678041237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50.7403223024399</v>
      </c>
      <c r="AA142" s="21">
        <f>EXP(-LN(2)/25)*AA141+(1-EXP(-LN(2)/25))/(LN(2)/25)*Calculateur!V142*Calculateur!X142*VLOOKUP('Données projet'!$B$9,Paramètres!$A$1:$I$89,3,0)*0.475*44/12</f>
        <v>15.619123954336315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66.359446256776209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298.32148815673816</v>
      </c>
      <c r="AO142" s="59">
        <f t="shared" si="144"/>
        <v>303.51754260758827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28.153029303459007</v>
      </c>
      <c r="AV142" s="21">
        <f>EXP(-LN(2)/25)*AV141+(1-EXP(-LN(2)/25))/(LN(2)/25)*Calculateur!AQ142*Calculateur!AS142*VLOOKUP('Données projet'!$B$10,Paramètres!$A$1:$I$89,3,0)*0.475*44/12</f>
        <v>8.4961494493386063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36.64917875279761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-4.2632564145606011E-13</v>
      </c>
      <c r="BE142" s="13">
        <f>BD142*VLOOKUP('Données projet'!$B$11,Paramètres!$A$1:$I$89,3,0)*VLOOKUP('Données projet'!$B$11,Paramètres!$A$1:$I$89,5,0)</f>
        <v>-2.4385826691286639E-13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287.9055604128643</v>
      </c>
      <c r="BJ142" s="59">
        <f t="shared" si="146"/>
        <v>197.74605993031139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57.692042206005141</v>
      </c>
      <c r="BQ142" s="21">
        <f>EXP(-LN(2)/25)*BQ141+(1-EXP(-LN(2)/25))/(LN(2)/25)*Calculateur!BL142*Calculateur!BN142*VLOOKUP('Données projet'!$B$11,Paramètres!$A$1:$I$89,3,0)*0.475*44/12</f>
        <v>19.576371297028629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77.26841350303377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135.89743589743577</v>
      </c>
      <c r="BZ142" s="13">
        <f>BY142*VLOOKUP('Données projet'!$B$12,Paramètres!$A$1:$I$89,3,0)*VLOOKUP('Données projet'!$B$12,Paramètres!$A$1:$I$89,5,0)</f>
        <v>118.71999999999991</v>
      </c>
      <c r="CA142" s="13">
        <f t="shared" si="147"/>
        <v>31.376274241265865</v>
      </c>
      <c r="CB142" s="20">
        <f t="shared" si="118"/>
        <v>261.41767763687125</v>
      </c>
      <c r="CC142" s="59">
        <f t="shared" si="119"/>
        <v>554.75101097020456</v>
      </c>
      <c r="CD142" s="59">
        <f ca="1">AVERAGE(OFFSET($CC$3,0,0,'Données projet'!$E$12+1,1))-AVERAGE(OFFSET($H$3,0,0,'Données projet'!$E$12+1,1))</f>
        <v>201.78062426023638</v>
      </c>
      <c r="CE142" s="59">
        <f t="shared" si="148"/>
        <v>183.0364139873468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7.7802055289999537</v>
      </c>
      <c r="CL142" s="21">
        <f>EXP(-LN(2)/25)*CL141+(1-EXP(-LN(2)/25))/(LN(2)/25)*Calculateur!CG142*Calculateur!CI142*VLOOKUP('Données projet'!$B$12,Paramètres!$A$1:$I$89,3,0)*0.475*44/12</f>
        <v>2.5999057636381737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10.380111292638126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4.5863999999999994</v>
      </c>
      <c r="D143" s="11">
        <f t="shared" si="140"/>
        <v>1.7702257799561372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2.4534345115620178</v>
      </c>
      <c r="H143" s="67">
        <f t="shared" si="110"/>
        <v>267.73778990009026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346.2919953121168</v>
      </c>
      <c r="T143" s="59">
        <f t="shared" si="142"/>
        <v>255.63939678041237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49.745335530629745</v>
      </c>
      <c r="AA143" s="21">
        <f>EXP(-LN(2)/25)*AA142+(1-EXP(-LN(2)/25))/(LN(2)/25)*Calculateur!V143*Calculateur!X143*VLOOKUP('Données projet'!$B$9,Paramètres!$A$1:$I$89,3,0)*0.475*44/12</f>
        <v>15.192018188430957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64.937353719060695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298.32148815673816</v>
      </c>
      <c r="AO143" s="59">
        <f t="shared" si="144"/>
        <v>303.51754260758827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27.600965570470493</v>
      </c>
      <c r="AV143" s="21">
        <f>EXP(-LN(2)/25)*AV142+(1-EXP(-LN(2)/25))/(LN(2)/25)*Calculateur!AQ143*Calculateur!AS143*VLOOKUP('Données projet'!$B$10,Paramètres!$A$1:$I$89,3,0)*0.475*44/12</f>
        <v>8.2638217958533602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35.864787366323853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-4.2632564145606011E-13</v>
      </c>
      <c r="BE143" s="13">
        <f>BD143*VLOOKUP('Données projet'!$B$11,Paramètres!$A$1:$I$89,3,0)*VLOOKUP('Données projet'!$B$11,Paramètres!$A$1:$I$89,5,0)</f>
        <v>-2.4385826691286639E-13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287.9055604128643</v>
      </c>
      <c r="BJ143" s="59">
        <f t="shared" si="146"/>
        <v>197.74605993031139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56.560736447016531</v>
      </c>
      <c r="BQ143" s="21">
        <f>EXP(-LN(2)/25)*BQ142+(1-EXP(-LN(2)/25))/(LN(2)/25)*Calculateur!BL143*Calculateur!BN143*VLOOKUP('Données projet'!$B$11,Paramètres!$A$1:$I$89,3,0)*0.475*44/12</f>
        <v>19.041054394434756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75.60179084145129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135.89743589743577</v>
      </c>
      <c r="BZ143" s="13">
        <f>BY143*VLOOKUP('Données projet'!$B$12,Paramètres!$A$1:$I$89,3,0)*VLOOKUP('Données projet'!$B$12,Paramètres!$A$1:$I$89,5,0)</f>
        <v>118.71999999999991</v>
      </c>
      <c r="CA143" s="13">
        <f t="shared" si="147"/>
        <v>31.376274241265865</v>
      </c>
      <c r="CB143" s="20">
        <f t="shared" si="118"/>
        <v>261.41767763687125</v>
      </c>
      <c r="CC143" s="59">
        <f t="shared" si="119"/>
        <v>554.75101097020456</v>
      </c>
      <c r="CD143" s="59">
        <f ca="1">AVERAGE(OFFSET($CC$3,0,0,'Données projet'!$E$12+1,1))-AVERAGE(OFFSET($H$3,0,0,'Données projet'!$E$12+1,1))</f>
        <v>201.78062426023638</v>
      </c>
      <c r="CE143" s="59">
        <f t="shared" si="148"/>
        <v>183.0364139873468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7.6276404440330623</v>
      </c>
      <c r="CL143" s="21">
        <f>EXP(-LN(2)/25)*CL142+(1-EXP(-LN(2)/25))/(LN(2)/25)*Calculateur!CG143*Calculateur!CI143*VLOOKUP('Données projet'!$B$12,Paramètres!$A$1:$I$89,3,0)*0.475*44/12</f>
        <v>2.5288112038083859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10.156451647841449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4.619159999999999</v>
      </c>
      <c r="D144" s="11">
        <f t="shared" si="140"/>
        <v>1.7813938011893564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2.470389186423962</v>
      </c>
      <c r="H144" s="67">
        <f t="shared" si="110"/>
        <v>267.8142978704048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346.2919953121168</v>
      </c>
      <c r="T144" s="59">
        <f t="shared" si="142"/>
        <v>255.63939678041237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48.769859842532782</v>
      </c>
      <c r="AA144" s="21">
        <f>EXP(-LN(2)/25)*AA143+(1-EXP(-LN(2)/25))/(LN(2)/25)*Calculateur!V144*Calculateur!X144*VLOOKUP('Données projet'!$B$9,Paramètres!$A$1:$I$89,3,0)*0.475*44/12</f>
        <v>14.776591652154798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63.546451494687581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298.32148815673816</v>
      </c>
      <c r="AO144" s="59">
        <f t="shared" si="144"/>
        <v>303.51754260758827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27.059727470560254</v>
      </c>
      <c r="AV144" s="21">
        <f>EXP(-LN(2)/25)*AV143+(1-EXP(-LN(2)/25))/(LN(2)/25)*Calculateur!AQ144*Calculateur!AS144*VLOOKUP('Données projet'!$B$10,Paramètres!$A$1:$I$89,3,0)*0.475*44/12</f>
        <v>8.0378471542702492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35.0975746248305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-4.2632564145606011E-13</v>
      </c>
      <c r="BE144" s="13">
        <f>BD144*VLOOKUP('Données projet'!$B$11,Paramètres!$A$1:$I$89,3,0)*VLOOKUP('Données projet'!$B$11,Paramètres!$A$1:$I$89,5,0)</f>
        <v>-2.4385826691286639E-13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287.9055604128643</v>
      </c>
      <c r="BJ144" s="59">
        <f t="shared" si="146"/>
        <v>197.74605993031139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55.451614903933311</v>
      </c>
      <c r="BQ144" s="21">
        <f>EXP(-LN(2)/25)*BQ143+(1-EXP(-LN(2)/25))/(LN(2)/25)*Calculateur!BL144*Calculateur!BN144*VLOOKUP('Données projet'!$B$11,Paramètres!$A$1:$I$89,3,0)*0.475*44/12</f>
        <v>18.520375760693405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73.971990664626716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135.89743589743577</v>
      </c>
      <c r="BZ144" s="13">
        <f>BY144*VLOOKUP('Données projet'!$B$12,Paramètres!$A$1:$I$89,3,0)*VLOOKUP('Données projet'!$B$12,Paramètres!$A$1:$I$89,5,0)</f>
        <v>118.71999999999991</v>
      </c>
      <c r="CA144" s="13">
        <f t="shared" si="147"/>
        <v>31.376274241265865</v>
      </c>
      <c r="CB144" s="20">
        <f t="shared" si="118"/>
        <v>261.41767763687125</v>
      </c>
      <c r="CC144" s="59">
        <f t="shared" si="119"/>
        <v>554.75101097020456</v>
      </c>
      <c r="CD144" s="59">
        <f ca="1">AVERAGE(OFFSET($CC$3,0,0,'Données projet'!$E$12+1,1))-AVERAGE(OFFSET($H$3,0,0,'Données projet'!$E$12+1,1))</f>
        <v>201.78062426023638</v>
      </c>
      <c r="CE144" s="59">
        <f t="shared" si="148"/>
        <v>183.0364139873468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7.4780670673268581</v>
      </c>
      <c r="CL144" s="21">
        <f>EXP(-LN(2)/25)*CL143+(1-EXP(-LN(2)/25))/(LN(2)/25)*Calculateur!CG144*Calculateur!CI144*VLOOKUP('Données projet'!$B$12,Paramètres!$A$1:$I$89,3,0)*0.475*44/12</f>
        <v>2.459660728455844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9.9377277957827026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4.6519199999999987</v>
      </c>
      <c r="D145" s="11">
        <f t="shared" si="140"/>
        <v>1.7925526065873725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2.4873403042968807</v>
      </c>
      <c r="H145" s="67">
        <f t="shared" si="110"/>
        <v>267.89078978980638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346.2919953121168</v>
      </c>
      <c r="T145" s="59">
        <f t="shared" si="142"/>
        <v>255.63939678041237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47.813512637697976</v>
      </c>
      <c r="AA145" s="21">
        <f>EXP(-LN(2)/25)*AA144+(1-EXP(-LN(2)/25))/(LN(2)/25)*Calculateur!V145*Calculateur!X145*VLOOKUP('Données projet'!$B$9,Paramètres!$A$1:$I$89,3,0)*0.475*44/12</f>
        <v>14.372524976359442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62.186037614057419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298.32148815673816</v>
      </c>
      <c r="AO145" s="59">
        <f t="shared" si="144"/>
        <v>303.51754260758827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26.529102719666611</v>
      </c>
      <c r="AV145" s="21">
        <f>EXP(-LN(2)/25)*AV144+(1-EXP(-LN(2)/25))/(LN(2)/25)*Calculateur!AQ145*Calculateur!AS145*VLOOKUP('Données projet'!$B$10,Paramètres!$A$1:$I$89,3,0)*0.475*44/12</f>
        <v>7.8180518011447182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34.34715452081133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-4.2632564145606011E-13</v>
      </c>
      <c r="BE145" s="13">
        <f>BD145*VLOOKUP('Données projet'!$B$11,Paramètres!$A$1:$I$89,3,0)*VLOOKUP('Données projet'!$B$11,Paramètres!$A$1:$I$89,5,0)</f>
        <v>-2.4385826691286639E-13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287.9055604128643</v>
      </c>
      <c r="BJ145" s="59">
        <f t="shared" si="146"/>
        <v>197.74605993031139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54.364242557812609</v>
      </c>
      <c r="BQ145" s="21">
        <f>EXP(-LN(2)/25)*BQ144+(1-EXP(-LN(2)/25))/(LN(2)/25)*Calculateur!BL145*Calculateur!BN145*VLOOKUP('Données projet'!$B$11,Paramètres!$A$1:$I$89,3,0)*0.475*44/12</f>
        <v>18.013935111573012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72.378177669385622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135.89743589743577</v>
      </c>
      <c r="BZ145" s="13">
        <f>BY145*VLOOKUP('Données projet'!$B$12,Paramètres!$A$1:$I$89,3,0)*VLOOKUP('Données projet'!$B$12,Paramètres!$A$1:$I$89,5,0)</f>
        <v>118.71999999999991</v>
      </c>
      <c r="CA145" s="13">
        <f t="shared" si="147"/>
        <v>31.376274241265865</v>
      </c>
      <c r="CB145" s="20">
        <f t="shared" si="118"/>
        <v>261.41767763687125</v>
      </c>
      <c r="CC145" s="59">
        <f t="shared" si="119"/>
        <v>554.75101097020456</v>
      </c>
      <c r="CD145" s="59">
        <f ca="1">AVERAGE(OFFSET($CC$3,0,0,'Données projet'!$E$12+1,1))-AVERAGE(OFFSET($H$3,0,0,'Données projet'!$E$12+1,1))</f>
        <v>201.78062426023638</v>
      </c>
      <c r="CE145" s="59">
        <f t="shared" si="148"/>
        <v>183.0364139873468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7.3314267333071115</v>
      </c>
      <c r="CL145" s="21">
        <f>EXP(-LN(2)/25)*CL144+(1-EXP(-LN(2)/25))/(LN(2)/25)*Calculateur!CG145*Calculateur!CI145*VLOOKUP('Données projet'!$B$12,Paramètres!$A$1:$I$89,3,0)*0.475*44/12</f>
        <v>2.3924011764882831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9.7238279097953946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4.6846799999999984</v>
      </c>
      <c r="D146" s="11">
        <f t="shared" si="140"/>
        <v>1.8037022685763344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2.504287893134725</v>
      </c>
      <c r="H146" s="67">
        <f t="shared" si="110"/>
        <v>267.96726578443713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346.2919953121168</v>
      </c>
      <c r="T146" s="59">
        <f t="shared" si="142"/>
        <v>255.63939678041237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46.875918818235782</v>
      </c>
      <c r="AA146" s="21">
        <f>EXP(-LN(2)/25)*AA145+(1-EXP(-LN(2)/25))/(LN(2)/25)*Calculateur!V146*Calculateur!X146*VLOOKUP('Données projet'!$B$9,Paramètres!$A$1:$I$89,3,0)*0.475*44/12</f>
        <v>13.979507525062653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60.855426343298433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298.32148815673816</v>
      </c>
      <c r="AO146" s="59">
        <f t="shared" si="144"/>
        <v>303.51754260758827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26.008883196488853</v>
      </c>
      <c r="AV146" s="21">
        <f>EXP(-LN(2)/25)*AV145+(1-EXP(-LN(2)/25))/(LN(2)/25)*Calculateur!AQ146*Calculateur!AS146*VLOOKUP('Données projet'!$B$10,Paramètres!$A$1:$I$89,3,0)*0.475*44/12</f>
        <v>7.6042667635089405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33.613149959997791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-4.2632564145606011E-13</v>
      </c>
      <c r="BE146" s="13">
        <f>BD146*VLOOKUP('Données projet'!$B$11,Paramètres!$A$1:$I$89,3,0)*VLOOKUP('Données projet'!$B$11,Paramètres!$A$1:$I$89,5,0)</f>
        <v>-2.4385826691286639E-13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287.9055604128643</v>
      </c>
      <c r="BJ146" s="59">
        <f t="shared" si="146"/>
        <v>197.74605993031139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53.298192920167693</v>
      </c>
      <c r="BQ146" s="21">
        <f>EXP(-LN(2)/25)*BQ145+(1-EXP(-LN(2)/25))/(LN(2)/25)*Calculateur!BL146*Calculateur!BN146*VLOOKUP('Données projet'!$B$11,Paramètres!$A$1:$I$89,3,0)*0.475*44/12</f>
        <v>17.521343108635371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70.819536028803071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135.89743589743577</v>
      </c>
      <c r="BZ146" s="13">
        <f>BY146*VLOOKUP('Données projet'!$B$12,Paramètres!$A$1:$I$89,3,0)*VLOOKUP('Données projet'!$B$12,Paramètres!$A$1:$I$89,5,0)</f>
        <v>118.71999999999991</v>
      </c>
      <c r="CA146" s="13">
        <f t="shared" si="147"/>
        <v>31.376274241265865</v>
      </c>
      <c r="CB146" s="20">
        <f t="shared" si="118"/>
        <v>261.41767763687125</v>
      </c>
      <c r="CC146" s="59">
        <f t="shared" si="119"/>
        <v>554.75101097020456</v>
      </c>
      <c r="CD146" s="59">
        <f ca="1">AVERAGE(OFFSET($CC$3,0,0,'Données projet'!$E$12+1,1))-AVERAGE(OFFSET($H$3,0,0,'Données projet'!$E$12+1,1))</f>
        <v>201.78062426023638</v>
      </c>
      <c r="CE146" s="59">
        <f t="shared" si="148"/>
        <v>183.0364139873468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7.1876619267957196</v>
      </c>
      <c r="CL146" s="21">
        <f>EXP(-LN(2)/25)*CL145+(1-EXP(-LN(2)/25))/(LN(2)/25)*Calculateur!CG146*Calculateur!CI146*VLOOKUP('Données projet'!$B$12,Paramètres!$A$1:$I$89,3,0)*0.475*44/12</f>
        <v>2.3269808405063008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9.5146427673020213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4.7174399999999981</v>
      </c>
      <c r="D147" s="11">
        <f t="shared" si="140"/>
        <v>1.8148428585108958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2.5212319804778889</v>
      </c>
      <c r="H147" s="67">
        <f t="shared" si="110"/>
        <v>268.04372597857315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346.2919953121168</v>
      </c>
      <c r="T147" s="59">
        <f t="shared" si="142"/>
        <v>255.63939678041237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45.956710641697484</v>
      </c>
      <c r="AA147" s="21">
        <f>EXP(-LN(2)/25)*AA146+(1-EXP(-LN(2)/25))/(LN(2)/25)*Calculateur!V147*Calculateur!X147*VLOOKUP('Données projet'!$B$9,Paramètres!$A$1:$I$89,3,0)*0.475*44/12</f>
        <v>13.597237156639464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59.553947798336949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298.32148815673816</v>
      </c>
      <c r="AO147" s="59">
        <f t="shared" si="144"/>
        <v>303.51754260758827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25.498864860858031</v>
      </c>
      <c r="AV147" s="21">
        <f>EXP(-LN(2)/25)*AV146+(1-EXP(-LN(2)/25))/(LN(2)/25)*Calculateur!AQ147*Calculateur!AS147*VLOOKUP('Données projet'!$B$10,Paramètres!$A$1:$I$89,3,0)*0.475*44/12</f>
        <v>7.3963276889697793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32.895192549827811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-4.2632564145606011E-13</v>
      </c>
      <c r="BE147" s="13">
        <f>BD147*VLOOKUP('Données projet'!$B$11,Paramètres!$A$1:$I$89,3,0)*VLOOKUP('Données projet'!$B$11,Paramètres!$A$1:$I$89,5,0)</f>
        <v>-2.4385826691286639E-13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287.9055604128643</v>
      </c>
      <c r="BJ147" s="59">
        <f t="shared" si="146"/>
        <v>197.74605993031139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52.253047865690917</v>
      </c>
      <c r="BQ147" s="21">
        <f>EXP(-LN(2)/25)*BQ146+(1-EXP(-LN(2)/25))/(LN(2)/25)*Calculateur!BL147*Calculateur!BN147*VLOOKUP('Données projet'!$B$11,Paramètres!$A$1:$I$89,3,0)*0.475*44/12</f>
        <v>17.042221059922348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69.295268925613271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135.89743589743577</v>
      </c>
      <c r="BZ147" s="13">
        <f>BY147*VLOOKUP('Données projet'!$B$12,Paramètres!$A$1:$I$89,3,0)*VLOOKUP('Données projet'!$B$12,Paramètres!$A$1:$I$89,5,0)</f>
        <v>118.71999999999991</v>
      </c>
      <c r="CA147" s="13">
        <f t="shared" si="147"/>
        <v>31.376274241265865</v>
      </c>
      <c r="CB147" s="20">
        <f t="shared" si="118"/>
        <v>261.41767763687125</v>
      </c>
      <c r="CC147" s="59">
        <f t="shared" si="119"/>
        <v>554.75101097020456</v>
      </c>
      <c r="CD147" s="59">
        <f ca="1">AVERAGE(OFFSET($CC$3,0,0,'Données projet'!$E$12+1,1))-AVERAGE(OFFSET($H$3,0,0,'Données projet'!$E$12+1,1))</f>
        <v>201.78062426023638</v>
      </c>
      <c r="CE147" s="59">
        <f t="shared" si="148"/>
        <v>183.0364139873468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7.0467162604521425</v>
      </c>
      <c r="CL147" s="21">
        <f>EXP(-LN(2)/25)*CL146+(1-EXP(-LN(2)/25))/(LN(2)/25)*Calculateur!CG147*Calculateur!CI147*VLOOKUP('Données projet'!$B$12,Paramètres!$A$1:$I$89,3,0)*0.475*44/12</f>
        <v>2.2633494270520522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9.3100656875041956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4.7501999999999978</v>
      </c>
      <c r="D148" s="11">
        <f t="shared" si="140"/>
        <v>1.8259744466973926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2.5381725934621504</v>
      </c>
      <c r="H148" s="67">
        <f t="shared" si="110"/>
        <v>268.12017049466465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346.2919953121168</v>
      </c>
      <c r="T148" s="59">
        <f t="shared" si="142"/>
        <v>255.63939678041237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45.055527576839474</v>
      </c>
      <c r="AA148" s="21">
        <f>EXP(-LN(2)/25)*AA147+(1-EXP(-LN(2)/25))/(LN(2)/25)*Calculateur!V148*Calculateur!X148*VLOOKUP('Données projet'!$B$9,Paramètres!$A$1:$I$89,3,0)*0.475*44/12</f>
        <v>13.225419991543532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58.280947568383006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298.32148815673816</v>
      </c>
      <c r="AO148" s="59">
        <f t="shared" si="144"/>
        <v>303.51754260758827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24.998847673708461</v>
      </c>
      <c r="AV148" s="21">
        <f>EXP(-LN(2)/25)*AV147+(1-EXP(-LN(2)/25))/(LN(2)/25)*Calculateur!AQ148*Calculateur!AS148*VLOOKUP('Données projet'!$B$10,Paramètres!$A$1:$I$89,3,0)*0.475*44/12</f>
        <v>7.1940747193589321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32.192922393067391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-4.2632564145606011E-13</v>
      </c>
      <c r="BE148" s="13">
        <f>BD148*VLOOKUP('Données projet'!$B$11,Paramètres!$A$1:$I$89,3,0)*VLOOKUP('Données projet'!$B$11,Paramètres!$A$1:$I$89,5,0)</f>
        <v>-2.4385826691286639E-13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287.9055604128643</v>
      </c>
      <c r="BJ148" s="59">
        <f t="shared" si="146"/>
        <v>197.74605993031139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51.228397468256894</v>
      </c>
      <c r="BQ148" s="21">
        <f>EXP(-LN(2)/25)*BQ147+(1-EXP(-LN(2)/25))/(LN(2)/25)*Calculateur!BL148*Calculateur!BN148*VLOOKUP('Données projet'!$B$11,Paramètres!$A$1:$I$89,3,0)*0.475*44/12</f>
        <v>16.576200628827316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67.804598097084209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135.89743589743577</v>
      </c>
      <c r="BZ148" s="13">
        <f>BY148*VLOOKUP('Données projet'!$B$12,Paramètres!$A$1:$I$89,3,0)*VLOOKUP('Données projet'!$B$12,Paramètres!$A$1:$I$89,5,0)</f>
        <v>118.71999999999991</v>
      </c>
      <c r="CA148" s="13">
        <f t="shared" si="147"/>
        <v>31.376274241265865</v>
      </c>
      <c r="CB148" s="20">
        <f t="shared" si="118"/>
        <v>261.41767763687125</v>
      </c>
      <c r="CC148" s="59">
        <f t="shared" si="119"/>
        <v>554.75101097020456</v>
      </c>
      <c r="CD148" s="59">
        <f ca="1">AVERAGE(OFFSET($CC$3,0,0,'Données projet'!$E$12+1,1))-AVERAGE(OFFSET($H$3,0,0,'Données projet'!$E$12+1,1))</f>
        <v>201.78062426023638</v>
      </c>
      <c r="CE148" s="59">
        <f t="shared" si="148"/>
        <v>183.0364139873468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6.9085344526571957</v>
      </c>
      <c r="CL148" s="21">
        <f>EXP(-LN(2)/25)*CL147+(1-EXP(-LN(2)/25))/(LN(2)/25)*Calculateur!CG148*Calculateur!CI148*VLOOKUP('Données projet'!$B$12,Paramètres!$A$1:$I$89,3,0)*0.475*44/12</f>
        <v>2.2014580179449403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9.1099924706021369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4.7829599999999974</v>
      </c>
      <c r="D149" s="11">
        <f t="shared" si="140"/>
        <v>1.8370971024163689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2.5551097588273697</v>
      </c>
      <c r="H149" s="67">
        <f t="shared" si="110"/>
        <v>268.1965994533752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346.2919953121168</v>
      </c>
      <c r="T149" s="59">
        <f t="shared" si="142"/>
        <v>255.63939678041237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44.172016162215932</v>
      </c>
      <c r="AA149" s="21">
        <f>EXP(-LN(2)/25)*AA148+(1-EXP(-LN(2)/25))/(LN(2)/25)*Calculateur!V149*Calculateur!X149*VLOOKUP('Données projet'!$B$9,Paramètres!$A$1:$I$89,3,0)*0.475*44/12</f>
        <v>12.863770186380163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57.035786348596098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298.32148815673816</v>
      </c>
      <c r="AO149" s="59">
        <f t="shared" si="144"/>
        <v>303.51754260758827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24.508635518618526</v>
      </c>
      <c r="AV149" s="21">
        <f>EXP(-LN(2)/25)*AV148+(1-EXP(-LN(2)/25))/(LN(2)/25)*Calculateur!AQ149*Calculateur!AS149*VLOOKUP('Données projet'!$B$10,Paramètres!$A$1:$I$89,3,0)*0.475*44/12</f>
        <v>6.9973523678381149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31.505987886456641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-4.2632564145606011E-13</v>
      </c>
      <c r="BE149" s="13">
        <f>BD149*VLOOKUP('Données projet'!$B$11,Paramètres!$A$1:$I$89,3,0)*VLOOKUP('Données projet'!$B$11,Paramètres!$A$1:$I$89,5,0)</f>
        <v>-2.4385826691286639E-13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287.9055604128643</v>
      </c>
      <c r="BJ149" s="59">
        <f t="shared" si="146"/>
        <v>197.74605993031139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50.223839840141522</v>
      </c>
      <c r="BQ149" s="21">
        <f>EXP(-LN(2)/25)*BQ148+(1-EXP(-LN(2)/25))/(LN(2)/25)*Calculateur!BL149*Calculateur!BN149*VLOOKUP('Données projet'!$B$11,Paramètres!$A$1:$I$89,3,0)*0.475*44/12</f>
        <v>16.122923550927528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66.346763391069047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135.89743589743577</v>
      </c>
      <c r="BZ149" s="13">
        <f>BY149*VLOOKUP('Données projet'!$B$12,Paramètres!$A$1:$I$89,3,0)*VLOOKUP('Données projet'!$B$12,Paramètres!$A$1:$I$89,5,0)</f>
        <v>118.71999999999991</v>
      </c>
      <c r="CA149" s="13">
        <f t="shared" si="147"/>
        <v>31.376274241265865</v>
      </c>
      <c r="CB149" s="20">
        <f t="shared" si="118"/>
        <v>261.41767763687125</v>
      </c>
      <c r="CC149" s="59">
        <f t="shared" si="119"/>
        <v>554.75101097020456</v>
      </c>
      <c r="CD149" s="59">
        <f ca="1">AVERAGE(OFFSET($CC$3,0,0,'Données projet'!$E$12+1,1))-AVERAGE(OFFSET($H$3,0,0,'Données projet'!$E$12+1,1))</f>
        <v>201.78062426023638</v>
      </c>
      <c r="CE149" s="59">
        <f t="shared" si="148"/>
        <v>183.0364139873468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6.7730623058305266</v>
      </c>
      <c r="CL149" s="21">
        <f>EXP(-LN(2)/25)*CL148+(1-EXP(-LN(2)/25))/(LN(2)/25)*Calculateur!CG149*Calculateur!CI149*VLOOKUP('Données projet'!$B$12,Paramètres!$A$1:$I$89,3,0)*0.475*44/12</f>
        <v>2.1412590326745904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8.9143213385051165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4.8157199999999971</v>
      </c>
      <c r="D150" s="11">
        <f t="shared" si="140"/>
        <v>1.848210893944459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2.5720435029259305</v>
      </c>
      <c r="H150" s="67">
        <f t="shared" si="110"/>
        <v>268.27301297361993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346.2919953121168</v>
      </c>
      <c r="T150" s="59">
        <f t="shared" si="142"/>
        <v>255.63939678041237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43.305829867544411</v>
      </c>
      <c r="AA150" s="21">
        <f>EXP(-LN(2)/25)*AA149+(1-EXP(-LN(2)/25))/(LN(2)/25)*Calculateur!V150*Calculateur!X150*VLOOKUP('Données projet'!$B$9,Paramètres!$A$1:$I$89,3,0)*0.475*44/12</f>
        <v>12.512009714157324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55.817839581701733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298.32148815673816</v>
      </c>
      <c r="AO150" s="59">
        <f t="shared" si="144"/>
        <v>303.51754260758827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24.028036124890011</v>
      </c>
      <c r="AV150" s="21">
        <f>EXP(-LN(2)/25)*AV149+(1-EXP(-LN(2)/25))/(LN(2)/25)*Calculateur!AQ150*Calculateur!AS150*VLOOKUP('Données projet'!$B$10,Paramètres!$A$1:$I$89,3,0)*0.475*44/12</f>
        <v>6.8060093993648136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30.834045524254826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-4.2632564145606011E-13</v>
      </c>
      <c r="BE150" s="13">
        <f>BD150*VLOOKUP('Données projet'!$B$11,Paramètres!$A$1:$I$89,3,0)*VLOOKUP('Données projet'!$B$11,Paramètres!$A$1:$I$89,5,0)</f>
        <v>-2.4385826691286639E-13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287.9055604128643</v>
      </c>
      <c r="BJ150" s="59">
        <f t="shared" si="146"/>
        <v>197.74605993031139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49.23898097439384</v>
      </c>
      <c r="BQ150" s="21">
        <f>EXP(-LN(2)/25)*BQ149+(1-EXP(-LN(2)/25))/(LN(2)/25)*Calculateur!BL150*Calculateur!BN150*VLOOKUP('Données projet'!$B$11,Paramètres!$A$1:$I$89,3,0)*0.475*44/12</f>
        <v>15.682041358559715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64.921022332953555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135.89743589743577</v>
      </c>
      <c r="BZ150" s="13">
        <f>BY150*VLOOKUP('Données projet'!$B$12,Paramètres!$A$1:$I$89,3,0)*VLOOKUP('Données projet'!$B$12,Paramètres!$A$1:$I$89,5,0)</f>
        <v>118.71999999999991</v>
      </c>
      <c r="CA150" s="13">
        <f t="shared" si="147"/>
        <v>31.376274241265865</v>
      </c>
      <c r="CB150" s="20">
        <f t="shared" si="118"/>
        <v>261.41767763687125</v>
      </c>
      <c r="CC150" s="59">
        <f t="shared" si="119"/>
        <v>554.75101097020456</v>
      </c>
      <c r="CD150" s="59">
        <f ca="1">AVERAGE(OFFSET($CC$3,0,0,'Données projet'!$E$12+1,1))-AVERAGE(OFFSET($H$3,0,0,'Données projet'!$E$12+1,1))</f>
        <v>201.78062426023638</v>
      </c>
      <c r="CE150" s="59">
        <f t="shared" si="148"/>
        <v>183.0364139873468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6.6402466851732784</v>
      </c>
      <c r="CL150" s="21">
        <f>EXP(-LN(2)/25)*CL149+(1-EXP(-LN(2)/25))/(LN(2)/25)*Calculateur!CG150*Calculateur!CI150*VLOOKUP('Données projet'!$B$12,Paramètres!$A$1:$I$89,3,0)*0.475*44/12</f>
        <v>2.0827061918221852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8.7229528769954641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4.8484799999999968</v>
      </c>
      <c r="D151" s="11">
        <f t="shared" si="140"/>
        <v>1.8593158885756698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2.5889738517309593</v>
      </c>
      <c r="H151" s="67">
        <f t="shared" si="110"/>
        <v>268.34941117260263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346.2919953121168</v>
      </c>
      <c r="T151" s="59">
        <f t="shared" si="142"/>
        <v>255.63939678041237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42.456628957789924</v>
      </c>
      <c r="AA151" s="21">
        <f>EXP(-LN(2)/25)*AA150+(1-EXP(-LN(2)/25))/(LN(2)/25)*Calculateur!V151*Calculateur!X151*VLOOKUP('Données projet'!$B$9,Paramètres!$A$1:$I$89,3,0)*0.475*44/12</f>
        <v>12.169868150545698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54.62649710833562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298.32148815673816</v>
      </c>
      <c r="AO151" s="59">
        <f t="shared" si="144"/>
        <v>303.51754260758827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23.556860992135828</v>
      </c>
      <c r="AV151" s="21">
        <f>EXP(-LN(2)/25)*AV150+(1-EXP(-LN(2)/25))/(LN(2)/25)*Calculateur!AQ151*Calculateur!AS151*VLOOKUP('Données projet'!$B$10,Paramètres!$A$1:$I$89,3,0)*0.475*44/12</f>
        <v>6.6198987144267036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30.176759706562532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-4.2632564145606011E-13</v>
      </c>
      <c r="BE151" s="13">
        <f>BD151*VLOOKUP('Données projet'!$B$11,Paramètres!$A$1:$I$89,3,0)*VLOOKUP('Données projet'!$B$11,Paramètres!$A$1:$I$89,5,0)</f>
        <v>-2.4385826691286639E-13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287.9055604128643</v>
      </c>
      <c r="BJ151" s="59">
        <f t="shared" si="146"/>
        <v>197.74605993031139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48.273434590298876</v>
      </c>
      <c r="BQ151" s="21">
        <f>EXP(-LN(2)/25)*BQ150+(1-EXP(-LN(2)/25))/(LN(2)/25)*Calculateur!BL151*Calculateur!BN151*VLOOKUP('Données projet'!$B$11,Paramètres!$A$1:$I$89,3,0)*0.475*44/12</f>
        <v>15.253215112927187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63.526649703226063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135.89743589743577</v>
      </c>
      <c r="BZ151" s="13">
        <f>BY151*VLOOKUP('Données projet'!$B$12,Paramètres!$A$1:$I$89,3,0)*VLOOKUP('Données projet'!$B$12,Paramètres!$A$1:$I$89,5,0)</f>
        <v>118.71999999999991</v>
      </c>
      <c r="CA151" s="13">
        <f t="shared" si="147"/>
        <v>31.376274241265865</v>
      </c>
      <c r="CB151" s="20">
        <f t="shared" si="118"/>
        <v>261.41767763687125</v>
      </c>
      <c r="CC151" s="59">
        <f t="shared" si="119"/>
        <v>554.75101097020456</v>
      </c>
      <c r="CD151" s="59">
        <f ca="1">AVERAGE(OFFSET($CC$3,0,0,'Données projet'!$E$12+1,1))-AVERAGE(OFFSET($H$3,0,0,'Données projet'!$E$12+1,1))</f>
        <v>201.78062426023638</v>
      </c>
      <c r="CE151" s="59">
        <f t="shared" si="148"/>
        <v>183.0364139873468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6.5100354978275892</v>
      </c>
      <c r="CL151" s="21">
        <f>EXP(-LN(2)/25)*CL150+(1-EXP(-LN(2)/25))/(LN(2)/25)*Calculateur!CG151*Calculateur!CI151*VLOOKUP('Données projet'!$B$12,Paramètres!$A$1:$I$89,3,0)*0.475*44/12</f>
        <v>2.025754481482049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8.5357899793096372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4.8812399999999965</v>
      </c>
      <c r="D152" s="11">
        <f t="shared" si="140"/>
        <v>1.870412152642059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2.6059008308443024</v>
      </c>
      <c r="H152" s="67">
        <f t="shared" si="110"/>
        <v>268.42579416585158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346.2919953121168</v>
      </c>
      <c r="T152" s="59">
        <f t="shared" si="142"/>
        <v>255.63939678041237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41.624080359914309</v>
      </c>
      <c r="AA152" s="21">
        <f>EXP(-LN(2)/25)*AA151+(1-EXP(-LN(2)/25))/(LN(2)/25)*Calculateur!V152*Calculateur!X152*VLOOKUP('Données projet'!$B$9,Paramètres!$A$1:$I$89,3,0)*0.475*44/12</f>
        <v>11.837082465983475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53.461162825897787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298.32148815673816</v>
      </c>
      <c r="AO152" s="59">
        <f t="shared" si="144"/>
        <v>303.51754260758827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23.094925316346501</v>
      </c>
      <c r="AV152" s="21">
        <f>EXP(-LN(2)/25)*AV151+(1-EXP(-LN(2)/25))/(LN(2)/25)*Calculateur!AQ152*Calculateur!AS152*VLOOKUP('Données projet'!$B$10,Paramètres!$A$1:$I$89,3,0)*0.475*44/12</f>
        <v>6.4388772359553617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29.533802552301864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-4.2632564145606011E-13</v>
      </c>
      <c r="BE152" s="13">
        <f>BD152*VLOOKUP('Données projet'!$B$11,Paramètres!$A$1:$I$89,3,0)*VLOOKUP('Données projet'!$B$11,Paramètres!$A$1:$I$89,5,0)</f>
        <v>-2.4385826691286639E-13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287.9055604128643</v>
      </c>
      <c r="BJ152" s="59">
        <f t="shared" si="146"/>
        <v>197.74605993031139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47.326821981870872</v>
      </c>
      <c r="BQ152" s="21">
        <f>EXP(-LN(2)/25)*BQ151+(1-EXP(-LN(2)/25))/(LN(2)/25)*Calculateur!BL152*Calculateur!BN152*VLOOKUP('Données projet'!$B$11,Paramètres!$A$1:$I$89,3,0)*0.475*44/12</f>
        <v>14.836115143532473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62.162937125403346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135.89743589743577</v>
      </c>
      <c r="BZ152" s="13">
        <f>BY152*VLOOKUP('Données projet'!$B$12,Paramètres!$A$1:$I$89,3,0)*VLOOKUP('Données projet'!$B$12,Paramètres!$A$1:$I$89,5,0)</f>
        <v>118.71999999999991</v>
      </c>
      <c r="CA152" s="13">
        <f t="shared" si="147"/>
        <v>31.376274241265865</v>
      </c>
      <c r="CB152" s="20">
        <f t="shared" si="118"/>
        <v>261.41767763687125</v>
      </c>
      <c r="CC152" s="59">
        <f t="shared" si="119"/>
        <v>554.75101097020456</v>
      </c>
      <c r="CD152" s="59">
        <f ca="1">AVERAGE(OFFSET($CC$3,0,0,'Données projet'!$E$12+1,1))-AVERAGE(OFFSET($H$3,0,0,'Données projet'!$E$12+1,1))</f>
        <v>201.78062426023638</v>
      </c>
      <c r="CE152" s="59">
        <f t="shared" si="148"/>
        <v>183.0364139873468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6.3823776724447665</v>
      </c>
      <c r="CL152" s="21">
        <f>EXP(-LN(2)/25)*CL151+(1-EXP(-LN(2)/25))/(LN(2)/25)*Calculateur!CG152*Calculateur!CI152*VLOOKUP('Données projet'!$B$12,Paramètres!$A$1:$I$89,3,0)*0.475*44/12</f>
        <v>1.9703601186561241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8.3527377911008909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4.9139999999999961</v>
      </c>
      <c r="D153" s="11">
        <f t="shared" si="140"/>
        <v>1.8814997515338485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2.6228244655042912</v>
      </c>
      <c r="H153" s="67">
        <f t="shared" si="110"/>
        <v>268.5021620672548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346.2919953121168</v>
      </c>
      <c r="T153" s="59">
        <f t="shared" si="142"/>
        <v>255.63939678041237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40.807857532238536</v>
      </c>
      <c r="AA153" s="21">
        <f>EXP(-LN(2)/25)*AA152+(1-EXP(-LN(2)/25))/(LN(2)/25)*Calculateur!V153*Calculateur!X153*VLOOKUP('Données projet'!$B$9,Paramètres!$A$1:$I$89,3,0)*0.475*44/12</f>
        <v>11.513396823466044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52.321254355704582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298.32148815673816</v>
      </c>
      <c r="AO153" s="59">
        <f t="shared" si="144"/>
        <v>303.51754260758827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22.642047917406462</v>
      </c>
      <c r="AV153" s="21">
        <f>EXP(-LN(2)/25)*AV152+(1-EXP(-LN(2)/25))/(LN(2)/25)*Calculateur!AQ153*Calculateur!AS153*VLOOKUP('Données projet'!$B$10,Paramètres!$A$1:$I$89,3,0)*0.475*44/12</f>
        <v>6.262805799332325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28.904853716738785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-4.2632564145606011E-13</v>
      </c>
      <c r="BE153" s="13">
        <f>BD153*VLOOKUP('Données projet'!$B$11,Paramètres!$A$1:$I$89,3,0)*VLOOKUP('Données projet'!$B$11,Paramètres!$A$1:$I$89,5,0)</f>
        <v>-2.4385826691286639E-13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287.9055604128643</v>
      </c>
      <c r="BJ153" s="59">
        <f t="shared" si="146"/>
        <v>197.74605993031139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46.398771869317464</v>
      </c>
      <c r="BQ153" s="21">
        <f>EXP(-LN(2)/25)*BQ152+(1-EXP(-LN(2)/25))/(LN(2)/25)*Calculateur!BL153*Calculateur!BN153*VLOOKUP('Données projet'!$B$11,Paramètres!$A$1:$I$89,3,0)*0.475*44/12</f>
        <v>14.430420794735189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60.829192664052655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135.89743589743577</v>
      </c>
      <c r="BZ153" s="13">
        <f>BY153*VLOOKUP('Données projet'!$B$12,Paramètres!$A$1:$I$89,3,0)*VLOOKUP('Données projet'!$B$12,Paramètres!$A$1:$I$89,5,0)</f>
        <v>118.71999999999991</v>
      </c>
      <c r="CA153" s="13">
        <f t="shared" si="147"/>
        <v>31.376274241265865</v>
      </c>
      <c r="CB153" s="20">
        <f t="shared" si="118"/>
        <v>261.41767763687125</v>
      </c>
      <c r="CC153" s="59">
        <f t="shared" si="119"/>
        <v>554.75101097020456</v>
      </c>
      <c r="CD153" s="59">
        <f ca="1">AVERAGE(OFFSET($CC$3,0,0,'Données projet'!$E$12+1,1))-AVERAGE(OFFSET($H$3,0,0,'Données projet'!$E$12+1,1))</f>
        <v>201.78062426023638</v>
      </c>
      <c r="CE153" s="59">
        <f t="shared" si="148"/>
        <v>183.0364139873468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6.2572231391541164</v>
      </c>
      <c r="CL153" s="21">
        <f>EXP(-LN(2)/25)*CL152+(1-EXP(-LN(2)/25))/(LN(2)/25)*Calculateur!CG153*Calculateur!CI153*VLOOKUP('Données projet'!$B$12,Paramètres!$A$1:$I$89,3,0)*0.475*44/12</f>
        <v>1.916480517594737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8.1737036567488541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4.9467599999999958</v>
      </c>
      <c r="D154" s="11">
        <f t="shared" si="140"/>
        <v>1.8925787497189863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2.6397447805932912</v>
      </c>
      <c r="H154" s="67">
        <f t="shared" si="110"/>
        <v>268.57851498909389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346.2919953121168</v>
      </c>
      <c r="T154" s="59">
        <f t="shared" si="142"/>
        <v>255.63939678041237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40.00764033636672</v>
      </c>
      <c r="AA154" s="21">
        <f>EXP(-LN(2)/25)*AA153+(1-EXP(-LN(2)/25))/(LN(2)/25)*Calculateur!V154*Calculateur!X154*VLOOKUP('Données projet'!$B$9,Paramètres!$A$1:$I$89,3,0)*0.475*44/12</f>
        <v>11.198562381865139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51.206202718231857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298.32148815673816</v>
      </c>
      <c r="AO154" s="59">
        <f t="shared" si="144"/>
        <v>303.51754260758827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22.198051168031697</v>
      </c>
      <c r="AV154" s="21">
        <f>EXP(-LN(2)/25)*AV153+(1-EXP(-LN(2)/25))/(LN(2)/25)*Calculateur!AQ154*Calculateur!AS154*VLOOKUP('Données projet'!$B$10,Paramètres!$A$1:$I$89,3,0)*0.475*44/12</f>
        <v>6.0915490454029397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28.289600213434635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-4.2632564145606011E-13</v>
      </c>
      <c r="BE154" s="13">
        <f>BD154*VLOOKUP('Données projet'!$B$11,Paramètres!$A$1:$I$89,3,0)*VLOOKUP('Données projet'!$B$11,Paramètres!$A$1:$I$89,5,0)</f>
        <v>-2.4385826691286639E-13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287.9055604128643</v>
      </c>
      <c r="BJ154" s="59">
        <f t="shared" si="146"/>
        <v>197.74605993031139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45.488920253416552</v>
      </c>
      <c r="BQ154" s="21">
        <f>EXP(-LN(2)/25)*BQ153+(1-EXP(-LN(2)/25))/(LN(2)/25)*Calculateur!BL154*Calculateur!BN154*VLOOKUP('Données projet'!$B$11,Paramètres!$A$1:$I$89,3,0)*0.475*44/12</f>
        <v>14.035820179240307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59.524740432656856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135.89743589743577</v>
      </c>
      <c r="BZ154" s="13">
        <f>BY154*VLOOKUP('Données projet'!$B$12,Paramètres!$A$1:$I$89,3,0)*VLOOKUP('Données projet'!$B$12,Paramètres!$A$1:$I$89,5,0)</f>
        <v>118.71999999999991</v>
      </c>
      <c r="CA154" s="13">
        <f t="shared" ref="CA154:CA203" si="170">EXP(-1.0587+0.8836*LN(BZ154)+0.284)</f>
        <v>31.376274241265865</v>
      </c>
      <c r="CB154" s="20">
        <f t="shared" ref="CB154:CB203" si="171">(BZ154+CA154)*0.475*44/12</f>
        <v>261.41767763687125</v>
      </c>
      <c r="CC154" s="59">
        <f t="shared" si="119"/>
        <v>554.75101097020456</v>
      </c>
      <c r="CD154" s="59">
        <f ca="1">AVERAGE(OFFSET($CC$3,0,0,'Données projet'!$E$12+1,1))-AVERAGE(OFFSET($H$3,0,0,'Données projet'!$E$12+1,1))</f>
        <v>201.78062426023638</v>
      </c>
      <c r="CE154" s="59">
        <f t="shared" si="148"/>
        <v>183.0364139873468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6.1345228099245679</v>
      </c>
      <c r="CL154" s="21">
        <f>EXP(-LN(2)/25)*CL153+(1-EXP(-LN(2)/25))/(LN(2)/25)*Calculateur!CG154*Calculateur!CI154*VLOOKUP('Données projet'!$B$12,Paramètres!$A$1:$I$89,3,0)*0.475*44/12</f>
        <v>1.8640742570577786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7.998597066982347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4.9795199999999955</v>
      </c>
      <c r="D155" s="11">
        <f t="shared" si="140"/>
        <v>1.9036492107621727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2.6566618006450478</v>
      </c>
      <c r="H155" s="67">
        <f t="shared" si="110"/>
        <v>268.65485304207743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346.2919953121168</v>
      </c>
      <c r="T155" s="59">
        <f t="shared" si="142"/>
        <v>255.63939678041237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39.22311491162165</v>
      </c>
      <c r="AA155" s="21">
        <f>EXP(-LN(2)/25)*AA154+(1-EXP(-LN(2)/25))/(LN(2)/25)*Calculateur!V155*Calculateur!X155*VLOOKUP('Données projet'!$B$9,Paramètres!$A$1:$I$89,3,0)*0.475*44/12</f>
        <v>10.892337104626236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50.115452016247886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298.32148815673816</v>
      </c>
      <c r="AO155" s="59">
        <f t="shared" si="144"/>
        <v>303.51754260758827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21.762760924100895</v>
      </c>
      <c r="AV155" s="21">
        <f>EXP(-LN(2)/25)*AV154+(1-EXP(-LN(2)/25))/(LN(2)/25)*Calculateur!AQ155*Calculateur!AS155*VLOOKUP('Données projet'!$B$10,Paramètres!$A$1:$I$89,3,0)*0.475*44/12</f>
        <v>5.9249753164157548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27.687736240516649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-4.2632564145606011E-13</v>
      </c>
      <c r="BE155" s="13">
        <f>BD155*VLOOKUP('Données projet'!$B$11,Paramètres!$A$1:$I$89,3,0)*VLOOKUP('Données projet'!$B$11,Paramètres!$A$1:$I$89,5,0)</f>
        <v>-2.4385826691286639E-13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287.9055604128643</v>
      </c>
      <c r="BJ155" s="59">
        <f t="shared" si="146"/>
        <v>197.74605993031139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44.596910272748765</v>
      </c>
      <c r="BQ155" s="21">
        <f>EXP(-LN(2)/25)*BQ154+(1-EXP(-LN(2)/25))/(LN(2)/25)*Calculateur!BL155*Calculateur!BN155*VLOOKUP('Données projet'!$B$11,Paramètres!$A$1:$I$89,3,0)*0.475*44/12</f>
        <v>13.652009938327277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58.24892021107604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135.89743589743577</v>
      </c>
      <c r="BZ155" s="13">
        <f>BY155*VLOOKUP('Données projet'!$B$12,Paramètres!$A$1:$I$89,3,0)*VLOOKUP('Données projet'!$B$12,Paramètres!$A$1:$I$89,5,0)</f>
        <v>118.71999999999991</v>
      </c>
      <c r="CA155" s="13">
        <f t="shared" si="170"/>
        <v>31.376274241265865</v>
      </c>
      <c r="CB155" s="20">
        <f t="shared" si="171"/>
        <v>261.41767763687125</v>
      </c>
      <c r="CC155" s="59">
        <f t="shared" si="119"/>
        <v>554.75101097020456</v>
      </c>
      <c r="CD155" s="59">
        <f ca="1">AVERAGE(OFFSET($CC$3,0,0,'Données projet'!$E$12+1,1))-AVERAGE(OFFSET($H$3,0,0,'Données projet'!$E$12+1,1))</f>
        <v>201.78062426023638</v>
      </c>
      <c r="CE155" s="59">
        <f t="shared" si="148"/>
        <v>183.0364139873468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6.0142285593114</v>
      </c>
      <c r="CL155" s="21">
        <f>EXP(-LN(2)/25)*CL154+(1-EXP(-LN(2)/25))/(LN(2)/25)*Calculateur!CG155*Calculateur!CI155*VLOOKUP('Données projet'!$B$12,Paramètres!$A$1:$I$89,3,0)*0.475*44/12</f>
        <v>1.813101048471129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7.827329607782529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5.0122799999999952</v>
      </c>
      <c r="D156" s="11">
        <f t="shared" si="140"/>
        <v>1.9147111973433733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2.6735755498518263</v>
      </c>
      <c r="H156" s="67">
        <f t="shared" si="110"/>
        <v>268.73117633537305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346.2919953121168</v>
      </c>
      <c r="T156" s="59">
        <f t="shared" si="142"/>
        <v>255.63939678041237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38.453973551942575</v>
      </c>
      <c r="AA156" s="21">
        <f>EXP(-LN(2)/25)*AA155+(1-EXP(-LN(2)/25))/(LN(2)/25)*Calculateur!V156*Calculateur!X156*VLOOKUP('Données projet'!$B$9,Paramètres!$A$1:$I$89,3,0)*0.475*44/12</f>
        <v>10.594485573697119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49.048459125639695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298.32148815673816</v>
      </c>
      <c r="AO156" s="59">
        <f t="shared" si="144"/>
        <v>303.51754260758827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21.336006456352745</v>
      </c>
      <c r="AV156" s="21">
        <f>EXP(-LN(2)/25)*AV155+(1-EXP(-LN(2)/25))/(LN(2)/25)*Calculateur!AQ156*Calculateur!AS156*VLOOKUP('Données projet'!$B$10,Paramètres!$A$1:$I$89,3,0)*0.475*44/12</f>
        <v>5.7629565548074559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27.098963011160201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-4.2632564145606011E-13</v>
      </c>
      <c r="BE156" s="13">
        <f>BD156*VLOOKUP('Données projet'!$B$11,Paramètres!$A$1:$I$89,3,0)*VLOOKUP('Données projet'!$B$11,Paramètres!$A$1:$I$89,5,0)</f>
        <v>-2.4385826691286639E-13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287.9055604128643</v>
      </c>
      <c r="BJ156" s="59">
        <f t="shared" si="146"/>
        <v>197.74605993031139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43.722392063729508</v>
      </c>
      <c r="BQ156" s="21">
        <f>EXP(-LN(2)/25)*BQ155+(1-EXP(-LN(2)/25))/(LN(2)/25)*Calculateur!BL156*Calculateur!BN156*VLOOKUP('Données projet'!$B$11,Paramètres!$A$1:$I$89,3,0)*0.475*44/12</f>
        <v>13.278695008635717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57.001087072365223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135.89743589743577</v>
      </c>
      <c r="BZ156" s="13">
        <f>BY156*VLOOKUP('Données projet'!$B$12,Paramètres!$A$1:$I$89,3,0)*VLOOKUP('Données projet'!$B$12,Paramètres!$A$1:$I$89,5,0)</f>
        <v>118.71999999999991</v>
      </c>
      <c r="CA156" s="13">
        <f t="shared" si="170"/>
        <v>31.376274241265865</v>
      </c>
      <c r="CB156" s="20">
        <f t="shared" si="171"/>
        <v>261.41767763687125</v>
      </c>
      <c r="CC156" s="59">
        <f t="shared" si="119"/>
        <v>554.75101097020456</v>
      </c>
      <c r="CD156" s="59">
        <f ca="1">AVERAGE(OFFSET($CC$3,0,0,'Données projet'!$E$12+1,1))-AVERAGE(OFFSET($H$3,0,0,'Données projet'!$E$12+1,1))</f>
        <v>201.78062426023638</v>
      </c>
      <c r="CE156" s="59">
        <f t="shared" si="148"/>
        <v>183.0364139873468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5.8962932055805082</v>
      </c>
      <c r="CL156" s="21">
        <f>EXP(-LN(2)/25)*CL155+(1-EXP(-LN(2)/25))/(LN(2)/25)*Calculateur!CG156*Calculateur!CI156*VLOOKUP('Données projet'!$B$12,Paramètres!$A$1:$I$89,3,0)*0.475*44/12</f>
        <v>1.7635217049538456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7.6598149105343536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5.0450399999999949</v>
      </c>
      <c r="D157" s="11">
        <f t="shared" si="140"/>
        <v>1.9257647712758326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2.6904860520713725</v>
      </c>
      <c r="H157" s="67">
        <f t="shared" si="110"/>
        <v>268.80748497663876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346.2919953121168</v>
      </c>
      <c r="T157" s="59">
        <f t="shared" si="142"/>
        <v>255.63939678041237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37.6999145851969</v>
      </c>
      <c r="AA157" s="21">
        <f>EXP(-LN(2)/25)*AA156+(1-EXP(-LN(2)/25))/(LN(2)/25)*Calculateur!V157*Calculateur!X157*VLOOKUP('Données projet'!$B$9,Paramètres!$A$1:$I$89,3,0)*0.475*44/12</f>
        <v>10.304778808544588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48.004693393741491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298.32148815673816</v>
      </c>
      <c r="AO157" s="59">
        <f t="shared" si="144"/>
        <v>303.51754260758827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20.917620383422612</v>
      </c>
      <c r="AV157" s="21">
        <f>EXP(-LN(2)/25)*AV156+(1-EXP(-LN(2)/25))/(LN(2)/25)*Calculateur!AQ157*Calculateur!AS157*VLOOKUP('Données projet'!$B$10,Paramètres!$A$1:$I$89,3,0)*0.475*44/12</f>
        <v>5.605368204755532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26.522988588178144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-4.2632564145606011E-13</v>
      </c>
      <c r="BE157" s="13">
        <f>BD157*VLOOKUP('Données projet'!$B$11,Paramètres!$A$1:$I$89,3,0)*VLOOKUP('Données projet'!$B$11,Paramètres!$A$1:$I$89,5,0)</f>
        <v>-2.4385826691286639E-13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287.9055604128643</v>
      </c>
      <c r="BJ157" s="59">
        <f t="shared" si="146"/>
        <v>197.74605993031139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42.865022623385684</v>
      </c>
      <c r="BQ157" s="21">
        <f>EXP(-LN(2)/25)*BQ156+(1-EXP(-LN(2)/25))/(LN(2)/25)*Calculateur!BL157*Calculateur!BN157*VLOOKUP('Données projet'!$B$11,Paramètres!$A$1:$I$89,3,0)*0.475*44/12</f>
        <v>12.915588395328351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55.780611018714033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135.89743589743577</v>
      </c>
      <c r="BZ157" s="13">
        <f>BY157*VLOOKUP('Données projet'!$B$12,Paramètres!$A$1:$I$89,3,0)*VLOOKUP('Données projet'!$B$12,Paramètres!$A$1:$I$89,5,0)</f>
        <v>118.71999999999991</v>
      </c>
      <c r="CA157" s="13">
        <f t="shared" si="170"/>
        <v>31.376274241265865</v>
      </c>
      <c r="CB157" s="20">
        <f t="shared" si="171"/>
        <v>261.41767763687125</v>
      </c>
      <c r="CC157" s="59">
        <f t="shared" si="119"/>
        <v>554.75101097020456</v>
      </c>
      <c r="CD157" s="59">
        <f ca="1">AVERAGE(OFFSET($CC$3,0,0,'Données projet'!$E$12+1,1))-AVERAGE(OFFSET($H$3,0,0,'Données projet'!$E$12+1,1))</f>
        <v>201.78062426023638</v>
      </c>
      <c r="CE157" s="59">
        <f t="shared" si="148"/>
        <v>183.0364139873468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5.780670492202816</v>
      </c>
      <c r="CL157" s="21">
        <f>EXP(-LN(2)/25)*CL156+(1-EXP(-LN(2)/25))/(LN(2)/25)*Calculateur!CG157*Calculateur!CI157*VLOOKUP('Données projet'!$B$12,Paramètres!$A$1:$I$89,3,0)*0.475*44/12</f>
        <v>1.7152981111923069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7.4959686033951227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5.0777999999999945</v>
      </c>
      <c r="D158" s="11">
        <f t="shared" si="140"/>
        <v>1.9368099935236092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2.7073933308336717</v>
      </c>
      <c r="H158" s="67">
        <f t="shared" si="110"/>
        <v>268.88377907205364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346.2919953121168</v>
      </c>
      <c r="T158" s="59">
        <f t="shared" si="142"/>
        <v>255.63939678041237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36.960642254858548</v>
      </c>
      <c r="AA158" s="21">
        <f>EXP(-LN(2)/25)*AA157+(1-EXP(-LN(2)/25))/(LN(2)/25)*Calculateur!V158*Calculateur!X158*VLOOKUP('Données projet'!$B$9,Paramètres!$A$1:$I$89,3,0)*0.475*44/12</f>
        <v>10.022994090120172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46.98363634497872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298.32148815673816</v>
      </c>
      <c r="AO158" s="59">
        <f t="shared" si="144"/>
        <v>303.51754260758827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20.507438606192334</v>
      </c>
      <c r="AV158" s="21">
        <f>EXP(-LN(2)/25)*AV157+(1-EXP(-LN(2)/25))/(LN(2)/25)*Calculateur!AQ158*Calculateur!AS158*VLOOKUP('Données projet'!$B$10,Paramètres!$A$1:$I$89,3,0)*0.475*44/12</f>
        <v>5.4520891164229894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25.959527722615324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-4.2632564145606011E-13</v>
      </c>
      <c r="BE158" s="13">
        <f>BD158*VLOOKUP('Données projet'!$B$11,Paramètres!$A$1:$I$89,3,0)*VLOOKUP('Données projet'!$B$11,Paramètres!$A$1:$I$89,5,0)</f>
        <v>-2.4385826691286639E-13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287.9055604128643</v>
      </c>
      <c r="BJ158" s="59">
        <f t="shared" si="146"/>
        <v>197.74605993031139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42.024465674823276</v>
      </c>
      <c r="BQ158" s="21">
        <f>EXP(-LN(2)/25)*BQ157+(1-EXP(-LN(2)/25))/(LN(2)/25)*Calculateur!BL158*Calculateur!BN158*VLOOKUP('Données projet'!$B$11,Paramètres!$A$1:$I$89,3,0)*0.475*44/12</f>
        <v>12.562410951456823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54.586876626280102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135.89743589743577</v>
      </c>
      <c r="BZ158" s="13">
        <f>BY158*VLOOKUP('Données projet'!$B$12,Paramètres!$A$1:$I$89,3,0)*VLOOKUP('Données projet'!$B$12,Paramètres!$A$1:$I$89,5,0)</f>
        <v>118.71999999999991</v>
      </c>
      <c r="CA158" s="13">
        <f t="shared" si="170"/>
        <v>31.376274241265865</v>
      </c>
      <c r="CB158" s="20">
        <f t="shared" si="171"/>
        <v>261.41767763687125</v>
      </c>
      <c r="CC158" s="59">
        <f t="shared" si="119"/>
        <v>554.75101097020456</v>
      </c>
      <c r="CD158" s="59">
        <f ca="1">AVERAGE(OFFSET($CC$3,0,0,'Données projet'!$E$12+1,1))-AVERAGE(OFFSET($H$3,0,0,'Données projet'!$E$12+1,1))</f>
        <v>201.78062426023638</v>
      </c>
      <c r="CE158" s="59">
        <f t="shared" si="148"/>
        <v>183.0364139873468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5.6673150697115693</v>
      </c>
      <c r="CL158" s="21">
        <f>EXP(-LN(2)/25)*CL157+(1-EXP(-LN(2)/25))/(LN(2)/25)*Calculateur!CG158*Calculateur!CI158*VLOOKUP('Données projet'!$B$12,Paramètres!$A$1:$I$89,3,0)*0.475*44/12</f>
        <v>1.668393194138146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7.3357082638497157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5.1105599999999942</v>
      </c>
      <c r="D159" s="11">
        <f t="shared" si="140"/>
        <v>1.94784692421864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2.7242974093475429</v>
      </c>
      <c r="H159" s="67">
        <f t="shared" si="110"/>
        <v>268.96005872634748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346.2919953121168</v>
      </c>
      <c r="T159" s="59">
        <f t="shared" si="142"/>
        <v>255.63939678041237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36.235866604006539</v>
      </c>
      <c r="AA159" s="21">
        <f>EXP(-LN(2)/25)*AA158+(1-EXP(-LN(2)/25))/(LN(2)/25)*Calculateur!V159*Calculateur!X159*VLOOKUP('Données projet'!$B$9,Paramètres!$A$1:$I$89,3,0)*0.475*44/12</f>
        <v>9.7489147896394837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45.984781393646024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298.32148815673816</v>
      </c>
      <c r="AO159" s="59">
        <f t="shared" si="144"/>
        <v>303.51754260758827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20.105300243427362</v>
      </c>
      <c r="AV159" s="21">
        <f>EXP(-LN(2)/25)*AV158+(1-EXP(-LN(2)/25))/(LN(2)/25)*Calculateur!AQ159*Calculateur!AS159*VLOOKUP('Données projet'!$B$10,Paramètres!$A$1:$I$89,3,0)*0.475*44/12</f>
        <v>5.3030014528214968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25.408301696248859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-4.2632564145606011E-13</v>
      </c>
      <c r="BE159" s="13">
        <f>BD159*VLOOKUP('Données projet'!$B$11,Paramètres!$A$1:$I$89,3,0)*VLOOKUP('Données projet'!$B$11,Paramètres!$A$1:$I$89,5,0)</f>
        <v>-2.4385826691286639E-13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287.9055604128643</v>
      </c>
      <c r="BJ159" s="59">
        <f t="shared" si="146"/>
        <v>197.74605993031139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41.200391535333061</v>
      </c>
      <c r="BQ159" s="21">
        <f>EXP(-LN(2)/25)*BQ158+(1-EXP(-LN(2)/25))/(LN(2)/25)*Calculateur!BL159*Calculateur!BN159*VLOOKUP('Données projet'!$B$11,Paramètres!$A$1:$I$89,3,0)*0.475*44/12</f>
        <v>12.218891163360755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53.41928269869382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135.89743589743577</v>
      </c>
      <c r="BZ159" s="13">
        <f>BY159*VLOOKUP('Données projet'!$B$12,Paramètres!$A$1:$I$89,3,0)*VLOOKUP('Données projet'!$B$12,Paramètres!$A$1:$I$89,5,0)</f>
        <v>118.71999999999991</v>
      </c>
      <c r="CA159" s="13">
        <f t="shared" si="170"/>
        <v>31.376274241265865</v>
      </c>
      <c r="CB159" s="20">
        <f t="shared" si="171"/>
        <v>261.41767763687125</v>
      </c>
      <c r="CC159" s="59">
        <f t="shared" si="119"/>
        <v>554.75101097020456</v>
      </c>
      <c r="CD159" s="59">
        <f ca="1">AVERAGE(OFFSET($CC$3,0,0,'Données projet'!$E$12+1,1))-AVERAGE(OFFSET($H$3,0,0,'Données projet'!$E$12+1,1))</f>
        <v>201.78062426023638</v>
      </c>
      <c r="CE159" s="59">
        <f t="shared" si="148"/>
        <v>183.0364139873468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5.556182477915395</v>
      </c>
      <c r="CL159" s="21">
        <f>EXP(-LN(2)/25)*CL158+(1-EXP(-LN(2)/25))/(LN(2)/25)*Calculateur!CG159*Calculateur!CI159*VLOOKUP('Données projet'!$B$12,Paramètres!$A$1:$I$89,3,0)*0.475*44/12</f>
        <v>1.6227708945074535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7.178953372422848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5.1433199999999939</v>
      </c>
      <c r="D160" s="11">
        <f t="shared" si="140"/>
        <v>1.9588756226773618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2.7411983105070501</v>
      </c>
      <c r="H160" s="67">
        <f t="shared" si="110"/>
        <v>269.03632404282973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346.2919953121168</v>
      </c>
      <c r="T160" s="59">
        <f t="shared" si="142"/>
        <v>255.63939678041237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35.52530336159824</v>
      </c>
      <c r="AA160" s="21">
        <f>EXP(-LN(2)/25)*AA159+(1-EXP(-LN(2)/25))/(LN(2)/25)*Calculateur!V160*Calculateur!X160*VLOOKUP('Données projet'!$B$9,Paramètres!$A$1:$I$89,3,0)*0.475*44/12</f>
        <v>9.4823302020436451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45.007633563641889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298.32148815673816</v>
      </c>
      <c r="AO160" s="59">
        <f t="shared" si="144"/>
        <v>303.51754260758827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19.711047568676026</v>
      </c>
      <c r="AV160" s="21">
        <f>EXP(-LN(2)/25)*AV159+(1-EXP(-LN(2)/25))/(LN(2)/25)*Calculateur!AQ160*Calculateur!AS160*VLOOKUP('Données projet'!$B$10,Paramètres!$A$1:$I$89,3,0)*0.475*44/12</f>
        <v>5.1579905992213666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24.869038167897394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-4.2632564145606011E-13</v>
      </c>
      <c r="BE160" s="13">
        <f>BD160*VLOOKUP('Données projet'!$B$11,Paramètres!$A$1:$I$89,3,0)*VLOOKUP('Données projet'!$B$11,Paramètres!$A$1:$I$89,5,0)</f>
        <v>-2.4385826691286639E-13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287.9055604128643</v>
      </c>
      <c r="BJ160" s="59">
        <f t="shared" si="146"/>
        <v>197.74605993031139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40.392476987082659</v>
      </c>
      <c r="BQ160" s="21">
        <f>EXP(-LN(2)/25)*BQ159+(1-EXP(-LN(2)/25))/(LN(2)/25)*Calculateur!BL160*Calculateur!BN160*VLOOKUP('Données projet'!$B$11,Paramètres!$A$1:$I$89,3,0)*0.475*44/12</f>
        <v>11.884764941935096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52.277241929017755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135.89743589743577</v>
      </c>
      <c r="BZ160" s="13">
        <f>BY160*VLOOKUP('Données projet'!$B$12,Paramètres!$A$1:$I$89,3,0)*VLOOKUP('Données projet'!$B$12,Paramètres!$A$1:$I$89,5,0)</f>
        <v>118.71999999999991</v>
      </c>
      <c r="CA160" s="13">
        <f t="shared" si="170"/>
        <v>31.376274241265865</v>
      </c>
      <c r="CB160" s="20">
        <f t="shared" si="171"/>
        <v>261.41767763687125</v>
      </c>
      <c r="CC160" s="59">
        <f t="shared" si="119"/>
        <v>554.75101097020456</v>
      </c>
      <c r="CD160" s="59">
        <f ca="1">AVERAGE(OFFSET($CC$3,0,0,'Données projet'!$E$12+1,1))-AVERAGE(OFFSET($H$3,0,0,'Données projet'!$E$12+1,1))</f>
        <v>201.78062426023638</v>
      </c>
      <c r="CE160" s="59">
        <f t="shared" si="148"/>
        <v>183.0364139873468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5.4472291284601555</v>
      </c>
      <c r="CL160" s="21">
        <f>EXP(-LN(2)/25)*CL159+(1-EXP(-LN(2)/25))/(LN(2)/25)*Calculateur!CG160*Calculateur!CI160*VLOOKUP('Données projet'!$B$12,Paramètres!$A$1:$I$89,3,0)*0.475*44/12</f>
        <v>1.5783961390593346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7.0256252675194899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5.1760799999999936</v>
      </c>
      <c r="D161" s="11">
        <f t="shared" si="140"/>
        <v>1.9698961474168899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2.7580960568977448</v>
      </c>
      <c r="H161" s="67">
        <f t="shared" si="110"/>
        <v>269.11257512341774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346.2919953121168</v>
      </c>
      <c r="T161" s="59">
        <f t="shared" si="142"/>
        <v>255.63939678041237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34.828673830972782</v>
      </c>
      <c r="AA161" s="21">
        <f>EXP(-LN(2)/25)*AA160+(1-EXP(-LN(2)/25))/(LN(2)/25)*Calculateur!V161*Calculateur!X161*VLOOKUP('Données projet'!$B$9,Paramètres!$A$1:$I$89,3,0)*0.475*44/12</f>
        <v>9.2230353840146879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44.051709214987468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298.32148815673816</v>
      </c>
      <c r="AO161" s="59">
        <f t="shared" si="144"/>
        <v>303.51754260758827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19.324525948406176</v>
      </c>
      <c r="AV161" s="21">
        <f>EXP(-LN(2)/25)*AV160+(1-EXP(-LN(2)/25))/(LN(2)/25)*Calculateur!AQ161*Calculateur!AS161*VLOOKUP('Données projet'!$B$10,Paramètres!$A$1:$I$89,3,0)*0.475*44/12</f>
        <v>5.0169450750387217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24.341471023444896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-4.2632564145606011E-13</v>
      </c>
      <c r="BE161" s="13">
        <f>BD161*VLOOKUP('Données projet'!$B$11,Paramètres!$A$1:$I$89,3,0)*VLOOKUP('Données projet'!$B$11,Paramètres!$A$1:$I$89,5,0)</f>
        <v>-2.4385826691286639E-13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287.9055604128643</v>
      </c>
      <c r="BJ161" s="59">
        <f t="shared" si="146"/>
        <v>197.74605993031139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39.60040515034423</v>
      </c>
      <c r="BQ161" s="21">
        <f>EXP(-LN(2)/25)*BQ160+(1-EXP(-LN(2)/25))/(LN(2)/25)*Calculateur!BL161*Calculateur!BN161*VLOOKUP('Données projet'!$B$11,Paramètres!$A$1:$I$89,3,0)*0.475*44/12</f>
        <v>11.559775419605256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51.160180569949489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135.89743589743577</v>
      </c>
      <c r="BZ161" s="13">
        <f>BY161*VLOOKUP('Données projet'!$B$12,Paramètres!$A$1:$I$89,3,0)*VLOOKUP('Données projet'!$B$12,Paramètres!$A$1:$I$89,5,0)</f>
        <v>118.71999999999991</v>
      </c>
      <c r="CA161" s="13">
        <f t="shared" si="170"/>
        <v>31.376274241265865</v>
      </c>
      <c r="CB161" s="20">
        <f t="shared" si="171"/>
        <v>261.41767763687125</v>
      </c>
      <c r="CC161" s="59">
        <f t="shared" si="119"/>
        <v>554.75101097020456</v>
      </c>
      <c r="CD161" s="59">
        <f ca="1">AVERAGE(OFFSET($CC$3,0,0,'Données projet'!$E$12+1,1))-AVERAGE(OFFSET($H$3,0,0,'Données projet'!$E$12+1,1))</f>
        <v>201.78062426023638</v>
      </c>
      <c r="CE161" s="59">
        <f t="shared" si="148"/>
        <v>183.0364139873468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5.340412287732752</v>
      </c>
      <c r="CL161" s="21">
        <f>EXP(-LN(2)/25)*CL160+(1-EXP(-LN(2)/25))/(LN(2)/25)*Calculateur!CG161*Calculateur!CI161*VLOOKUP('Données projet'!$B$12,Paramètres!$A$1:$I$89,3,0)*0.475*44/12</f>
        <v>1.5352348136325116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6.8756471013652636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5.2088399999999933</v>
      </c>
      <c r="D162" s="11">
        <f t="shared" si="140"/>
        <v>1.9809085561707791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2.7749906708027545</v>
      </c>
      <c r="H162" s="67">
        <f t="shared" si="110"/>
        <v>269.18881206866411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346.2919953121168</v>
      </c>
      <c r="T162" s="59">
        <f t="shared" si="142"/>
        <v>255.63939678041237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34.145704780540832</v>
      </c>
      <c r="AA162" s="21">
        <f>EXP(-LN(2)/25)*AA161+(1-EXP(-LN(2)/25))/(LN(2)/25)*Calculateur!V162*Calculateur!X162*VLOOKUP('Données projet'!$B$9,Paramètres!$A$1:$I$89,3,0)*0.475*44/12</f>
        <v>8.9708309964204549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43.116535776961285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298.32148815673816</v>
      </c>
      <c r="AO162" s="59">
        <f t="shared" si="144"/>
        <v>303.51754260758827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18.945583781354909</v>
      </c>
      <c r="AV162" s="21">
        <f>EXP(-LN(2)/25)*AV161+(1-EXP(-LN(2)/25))/(LN(2)/25)*Calculateur!AQ162*Calculateur!AS162*VLOOKUP('Données projet'!$B$10,Paramètres!$A$1:$I$89,3,0)*0.475*44/12</f>
        <v>4.8797564481321123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23.825340229487022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-4.2632564145606011E-13</v>
      </c>
      <c r="BE162" s="13">
        <f>BD162*VLOOKUP('Données projet'!$B$11,Paramètres!$A$1:$I$89,3,0)*VLOOKUP('Données projet'!$B$11,Paramètres!$A$1:$I$89,5,0)</f>
        <v>-2.4385826691286639E-13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287.9055604128643</v>
      </c>
      <c r="BJ162" s="59">
        <f t="shared" si="146"/>
        <v>197.74605993031139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38.823865359208128</v>
      </c>
      <c r="BQ162" s="21">
        <f>EXP(-LN(2)/25)*BQ161+(1-EXP(-LN(2)/25))/(LN(2)/25)*Calculateur!BL162*Calculateur!BN162*VLOOKUP('Données projet'!$B$11,Paramètres!$A$1:$I$89,3,0)*0.475*44/12</f>
        <v>11.24367275285398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50.06753811206211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135.89743589743577</v>
      </c>
      <c r="BZ162" s="13">
        <f>BY162*VLOOKUP('Données projet'!$B$12,Paramètres!$A$1:$I$89,3,0)*VLOOKUP('Données projet'!$B$12,Paramètres!$A$1:$I$89,5,0)</f>
        <v>118.71999999999991</v>
      </c>
      <c r="CA162" s="13">
        <f t="shared" si="170"/>
        <v>31.376274241265865</v>
      </c>
      <c r="CB162" s="20">
        <f t="shared" si="171"/>
        <v>261.41767763687125</v>
      </c>
      <c r="CC162" s="59">
        <f t="shared" si="119"/>
        <v>554.75101097020456</v>
      </c>
      <c r="CD162" s="59">
        <f ca="1">AVERAGE(OFFSET($CC$3,0,0,'Données projet'!$E$12+1,1))-AVERAGE(OFFSET($H$3,0,0,'Données projet'!$E$12+1,1))</f>
        <v>201.78062426023638</v>
      </c>
      <c r="CE162" s="59">
        <f t="shared" si="148"/>
        <v>183.0364139873468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5.2356900601001737</v>
      </c>
      <c r="CL162" s="21">
        <f>EXP(-LN(2)/25)*CL161+(1-EXP(-LN(2)/25))/(LN(2)/25)*Calculateur!CG162*Calculateur!CI162*VLOOKUP('Données projet'!$B$12,Paramètres!$A$1:$I$89,3,0)*0.475*44/12</f>
        <v>1.4932537369192405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6.7289437970194141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5.2415999999999929</v>
      </c>
      <c r="D163" s="11">
        <f t="shared" si="140"/>
        <v>1.9919129059043787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2.791882174208705</v>
      </c>
      <c r="H163" s="67">
        <f t="shared" si="110"/>
        <v>269.26503497778344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346.2919953121168</v>
      </c>
      <c r="T163" s="59">
        <f t="shared" si="142"/>
        <v>255.63939678041237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33.476128336617862</v>
      </c>
      <c r="AA163" s="21">
        <f>EXP(-LN(2)/25)*AA162+(1-EXP(-LN(2)/25))/(LN(2)/25)*Calculateur!V163*Calculateur!X163*VLOOKUP('Données projet'!$B$9,Paramètres!$A$1:$I$89,3,0)*0.475*44/12</f>
        <v>8.7255231510678382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42.201651487685702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298.32148815673816</v>
      </c>
      <c r="AO163" s="59">
        <f t="shared" si="144"/>
        <v>303.51754260758827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18.574072439067617</v>
      </c>
      <c r="AV163" s="21">
        <f>EXP(-LN(2)/25)*AV162+(1-EXP(-LN(2)/25))/(LN(2)/25)*Calculateur!AQ163*Calculateur!AS163*VLOOKUP('Données projet'!$B$10,Paramètres!$A$1:$I$89,3,0)*0.475*44/12</f>
        <v>4.7463192514427011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23.32039169051032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-4.2632564145606011E-13</v>
      </c>
      <c r="BE163" s="13">
        <f>BD163*VLOOKUP('Données projet'!$B$11,Paramètres!$A$1:$I$89,3,0)*VLOOKUP('Données projet'!$B$11,Paramètres!$A$1:$I$89,5,0)</f>
        <v>-2.4385826691286639E-13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287.9055604128643</v>
      </c>
      <c r="BJ163" s="59">
        <f t="shared" si="146"/>
        <v>197.74605993031139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38.0625530397337</v>
      </c>
      <c r="BQ163" s="21">
        <f>EXP(-LN(2)/25)*BQ162+(1-EXP(-LN(2)/25))/(LN(2)/25)*Calculateur!BL163*Calculateur!BN163*VLOOKUP('Données projet'!$B$11,Paramètres!$A$1:$I$89,3,0)*0.475*44/12</f>
        <v>10.936213930148135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48.998766969881835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135.89743589743577</v>
      </c>
      <c r="BZ163" s="13">
        <f>BY163*VLOOKUP('Données projet'!$B$12,Paramètres!$A$1:$I$89,3,0)*VLOOKUP('Données projet'!$B$12,Paramètres!$A$1:$I$89,5,0)</f>
        <v>118.71999999999991</v>
      </c>
      <c r="CA163" s="13">
        <f t="shared" si="170"/>
        <v>31.376274241265865</v>
      </c>
      <c r="CB163" s="20">
        <f t="shared" si="171"/>
        <v>261.41767763687125</v>
      </c>
      <c r="CC163" s="59">
        <f t="shared" si="119"/>
        <v>554.75101097020456</v>
      </c>
      <c r="CD163" s="59">
        <f ca="1">AVERAGE(OFFSET($CC$3,0,0,'Données projet'!$E$12+1,1))-AVERAGE(OFFSET($H$3,0,0,'Données projet'!$E$12+1,1))</f>
        <v>201.78062426023638</v>
      </c>
      <c r="CE163" s="59">
        <f t="shared" si="148"/>
        <v>183.0364139873468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5.1330213714772182</v>
      </c>
      <c r="CL163" s="21">
        <f>EXP(-LN(2)/25)*CL162+(1-EXP(-LN(2)/25))/(LN(2)/25)*Calculateur!CG163*Calculateur!CI163*VLOOKUP('Données projet'!$B$12,Paramètres!$A$1:$I$89,3,0)*0.475*44/12</f>
        <v>1.4524206349563826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6.5854420064336008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5.2743599999999926</v>
      </c>
      <c r="D164" s="11">
        <f t="shared" si="140"/>
        <v>2.0029092528297876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2.8087705888114947</v>
      </c>
      <c r="H164" s="67">
        <f t="shared" si="110"/>
        <v>269.34124394867854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346.2919953121168</v>
      </c>
      <c r="T164" s="59">
        <f t="shared" si="142"/>
        <v>255.63939678041237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32.819681878358921</v>
      </c>
      <c r="AA164" s="21">
        <f>EXP(-LN(2)/25)*AA163+(1-EXP(-LN(2)/25))/(LN(2)/25)*Calculateur!V164*Calculateur!X164*VLOOKUP('Données projet'!$B$9,Paramètres!$A$1:$I$89,3,0)*0.475*44/12</f>
        <v>8.4869232616465684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41.306605140005487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298.32148815673816</v>
      </c>
      <c r="AO164" s="59">
        <f t="shared" si="144"/>
        <v>303.51754260758827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18.209846207603036</v>
      </c>
      <c r="AV164" s="21">
        <f>EXP(-LN(2)/25)*AV163+(1-EXP(-LN(2)/25))/(LN(2)/25)*Calculateur!AQ164*Calculateur!AS164*VLOOKUP('Données projet'!$B$10,Paramètres!$A$1:$I$89,3,0)*0.475*44/12</f>
        <v>4.6165309019139187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22.826377109516955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-4.2632564145606011E-13</v>
      </c>
      <c r="BE164" s="13">
        <f>BD164*VLOOKUP('Données projet'!$B$11,Paramètres!$A$1:$I$89,3,0)*VLOOKUP('Données projet'!$B$11,Paramètres!$A$1:$I$89,5,0)</f>
        <v>-2.4385826691286639E-13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287.9055604128643</v>
      </c>
      <c r="BJ164" s="59">
        <f t="shared" si="146"/>
        <v>197.74605993031139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37.316169590489501</v>
      </c>
      <c r="BQ164" s="21">
        <f>EXP(-LN(2)/25)*BQ163+(1-EXP(-LN(2)/25))/(LN(2)/25)*Calculateur!BL164*Calculateur!BN164*VLOOKUP('Données projet'!$B$11,Paramètres!$A$1:$I$89,3,0)*0.475*44/12</f>
        <v>10.637162585117739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47.953332175607244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135.89743589743577</v>
      </c>
      <c r="BZ164" s="13">
        <f>BY164*VLOOKUP('Données projet'!$B$12,Paramètres!$A$1:$I$89,3,0)*VLOOKUP('Données projet'!$B$12,Paramètres!$A$1:$I$89,5,0)</f>
        <v>118.71999999999991</v>
      </c>
      <c r="CA164" s="13">
        <f t="shared" si="170"/>
        <v>31.376274241265865</v>
      </c>
      <c r="CB164" s="20">
        <f t="shared" si="171"/>
        <v>261.41767763687125</v>
      </c>
      <c r="CC164" s="59">
        <f t="shared" si="119"/>
        <v>554.75101097020456</v>
      </c>
      <c r="CD164" s="59">
        <f ca="1">AVERAGE(OFFSET($CC$3,0,0,'Données projet'!$E$12+1,1))-AVERAGE(OFFSET($H$3,0,0,'Données projet'!$E$12+1,1))</f>
        <v>201.78062426023638</v>
      </c>
      <c r="CE164" s="59">
        <f t="shared" si="148"/>
        <v>183.0364139873468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5.0323659532164422</v>
      </c>
      <c r="CL164" s="21">
        <f>EXP(-LN(2)/25)*CL163+(1-EXP(-LN(2)/25))/(LN(2)/25)*Calculateur!CG164*Calculateur!CI164*VLOOKUP('Données projet'!$B$12,Paramètres!$A$1:$I$89,3,0)*0.475*44/12</f>
        <v>1.4127041163140186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6.4450700695304608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5.3071199999999923</v>
      </c>
      <c r="D165" s="11">
        <f t="shared" si="140"/>
        <v>2.0138976524204293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2.8256559360219176</v>
      </c>
      <c r="H165" s="67">
        <f t="shared" si="110"/>
        <v>269.41743907796558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346.2919953121168</v>
      </c>
      <c r="T165" s="59">
        <f t="shared" si="142"/>
        <v>255.63939678041237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32.176107934753631</v>
      </c>
      <c r="AA165" s="21">
        <f>EXP(-LN(2)/25)*AA164+(1-EXP(-LN(2)/25))/(LN(2)/25)*Calculateur!V165*Calculateur!X165*VLOOKUP('Données projet'!$B$9,Paramètres!$A$1:$I$89,3,0)*0.475*44/12</f>
        <v>8.2548478987489453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40.43095583350258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298.32148815673816</v>
      </c>
      <c r="AO165" s="59">
        <f t="shared" si="144"/>
        <v>303.51754260758827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17.852762230381412</v>
      </c>
      <c r="AV165" s="21">
        <f>EXP(-LN(2)/25)*AV164+(1-EXP(-LN(2)/25))/(LN(2)/25)*Calculateur!AQ165*Calculateur!AS165*VLOOKUP('Données projet'!$B$10,Paramètres!$A$1:$I$89,3,0)*0.475*44/12</f>
        <v>4.4902916216282733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22.343053852009685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-4.2632564145606011E-13</v>
      </c>
      <c r="BE165" s="13">
        <f>BD165*VLOOKUP('Données projet'!$B$11,Paramètres!$A$1:$I$89,3,0)*VLOOKUP('Données projet'!$B$11,Paramètres!$A$1:$I$89,5,0)</f>
        <v>-2.4385826691286639E-13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287.9055604128643</v>
      </c>
      <c r="BJ165" s="59">
        <f t="shared" si="146"/>
        <v>197.74605993031139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36.584422265436025</v>
      </c>
      <c r="BQ165" s="21">
        <f>EXP(-LN(2)/25)*BQ164+(1-EXP(-LN(2)/25))/(LN(2)/25)*Calculateur!BL165*Calculateur!BN165*VLOOKUP('Données projet'!$B$11,Paramètres!$A$1:$I$89,3,0)*0.475*44/12</f>
        <v>10.346288814843625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46.93071108027965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135.89743589743577</v>
      </c>
      <c r="BZ165" s="13">
        <f>BY165*VLOOKUP('Données projet'!$B$12,Paramètres!$A$1:$I$89,3,0)*VLOOKUP('Données projet'!$B$12,Paramètres!$A$1:$I$89,5,0)</f>
        <v>118.71999999999991</v>
      </c>
      <c r="CA165" s="13">
        <f t="shared" si="170"/>
        <v>31.376274241265865</v>
      </c>
      <c r="CB165" s="20">
        <f t="shared" si="171"/>
        <v>261.41767763687125</v>
      </c>
      <c r="CC165" s="59">
        <f t="shared" si="119"/>
        <v>554.75101097020456</v>
      </c>
      <c r="CD165" s="59">
        <f ca="1">AVERAGE(OFFSET($CC$3,0,0,'Données projet'!$E$12+1,1))-AVERAGE(OFFSET($H$3,0,0,'Données projet'!$E$12+1,1))</f>
        <v>201.78062426023638</v>
      </c>
      <c r="CE165" s="59">
        <f t="shared" si="148"/>
        <v>183.0364139873468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4.9336843263140171</v>
      </c>
      <c r="CL165" s="21">
        <f>EXP(-LN(2)/25)*CL164+(1-EXP(-LN(2)/25))/(LN(2)/25)*Calculateur!CG165*Calculateur!CI165*VLOOKUP('Données projet'!$B$12,Paramètres!$A$1:$I$89,3,0)*0.475*44/12</f>
        <v>1.3740736479625311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6.3077579742765479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5.339879999999992</v>
      </c>
      <c r="D166" s="11">
        <f t="shared" si="140"/>
        <v>2.0248781594252598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2.84253823697115</v>
      </c>
      <c r="H166" s="67">
        <f t="shared" si="110"/>
        <v>269.49362046099901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346.2919953121168</v>
      </c>
      <c r="T166" s="59">
        <f t="shared" si="142"/>
        <v>255.63939678041237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31.545154083641098</v>
      </c>
      <c r="AA166" s="21">
        <f>EXP(-LN(2)/25)*AA165+(1-EXP(-LN(2)/25))/(LN(2)/25)*Calculateur!V166*Calculateur!X166*VLOOKUP('Données projet'!$B$9,Paramètres!$A$1:$I$89,3,0)*0.475*44/12</f>
        <v>8.0291186488540713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39.574272732495167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298.32148815673816</v>
      </c>
      <c r="AO166" s="59">
        <f t="shared" si="144"/>
        <v>303.51754260758827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17.502680452153381</v>
      </c>
      <c r="AV166" s="21">
        <f>EXP(-LN(2)/25)*AV165+(1-EXP(-LN(2)/25))/(LN(2)/25)*Calculateur!AQ166*Calculateur!AS166*VLOOKUP('Données projet'!$B$10,Paramètres!$A$1:$I$89,3,0)*0.475*44/12</f>
        <v>4.3675043611006741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21.870184813254056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-4.2632564145606011E-13</v>
      </c>
      <c r="BE166" s="13">
        <f>BD166*VLOOKUP('Données projet'!$B$11,Paramètres!$A$1:$I$89,3,0)*VLOOKUP('Données projet'!$B$11,Paramètres!$A$1:$I$89,5,0)</f>
        <v>-2.4385826691286639E-13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287.9055604128643</v>
      </c>
      <c r="BJ166" s="59">
        <f t="shared" si="146"/>
        <v>197.74605993031139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35.867024059105056</v>
      </c>
      <c r="BQ166" s="21">
        <f>EXP(-LN(2)/25)*BQ165+(1-EXP(-LN(2)/25))/(LN(2)/25)*Calculateur!BL166*Calculateur!BN166*VLOOKUP('Données projet'!$B$11,Paramètres!$A$1:$I$89,3,0)*0.475*44/12</f>
        <v>10.063369003114044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45.930393062219096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135.89743589743577</v>
      </c>
      <c r="BZ166" s="13">
        <f>BY166*VLOOKUP('Données projet'!$B$12,Paramètres!$A$1:$I$89,3,0)*VLOOKUP('Données projet'!$B$12,Paramètres!$A$1:$I$89,5,0)</f>
        <v>118.71999999999991</v>
      </c>
      <c r="CA166" s="13">
        <f t="shared" si="170"/>
        <v>31.376274241265865</v>
      </c>
      <c r="CB166" s="20">
        <f t="shared" si="171"/>
        <v>261.41767763687125</v>
      </c>
      <c r="CC166" s="59">
        <f t="shared" si="119"/>
        <v>554.75101097020456</v>
      </c>
      <c r="CD166" s="59">
        <f ca="1">AVERAGE(OFFSET($CC$3,0,0,'Données projet'!$E$12+1,1))-AVERAGE(OFFSET($H$3,0,0,'Données projet'!$E$12+1,1))</f>
        <v>201.78062426023638</v>
      </c>
      <c r="CE166" s="59">
        <f t="shared" si="148"/>
        <v>183.0364139873468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4.8369377859252998</v>
      </c>
      <c r="CL166" s="21">
        <f>EXP(-LN(2)/25)*CL165+(1-EXP(-LN(2)/25))/(LN(2)/25)*Calculateur!CG166*Calculateur!CI166*VLOOKUP('Données projet'!$B$12,Paramètres!$A$1:$I$89,3,0)*0.475*44/12</f>
        <v>1.3364995317996029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6.1734373177249022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5.3726399999999916</v>
      </c>
      <c r="D167" s="11">
        <f t="shared" si="140"/>
        <v>2.0358508278826113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2.8594175125160928</v>
      </c>
      <c r="H167" s="67">
        <f t="shared" si="110"/>
        <v>269.56978819189555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346.2919953121168</v>
      </c>
      <c r="T167" s="59">
        <f t="shared" si="142"/>
        <v>255.63939678041237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30.926572852705032</v>
      </c>
      <c r="AA167" s="21">
        <f>EXP(-LN(2)/25)*AA166+(1-EXP(-LN(2)/25))/(LN(2)/25)*Calculateur!V167*Calculateur!X167*VLOOKUP('Données projet'!$B$9,Paramètres!$A$1:$I$89,3,0)*0.475*44/12</f>
        <v>7.8095619771681575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38.736134829873187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298.32148815673816</v>
      </c>
      <c r="AO167" s="59">
        <f t="shared" si="144"/>
        <v>303.51754260758827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17.159463564067604</v>
      </c>
      <c r="AV167" s="21">
        <f>EXP(-LN(2)/25)*AV166+(1-EXP(-LN(2)/25))/(LN(2)/25)*Calculateur!AQ167*Calculateur!AS167*VLOOKUP('Données projet'!$B$10,Paramètres!$A$1:$I$89,3,0)*0.475*44/12</f>
        <v>4.248074724669304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21.407538288736909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-4.2632564145606011E-13</v>
      </c>
      <c r="BE167" s="13">
        <f>BD167*VLOOKUP('Données projet'!$B$11,Paramètres!$A$1:$I$89,3,0)*VLOOKUP('Données projet'!$B$11,Paramètres!$A$1:$I$89,5,0)</f>
        <v>-2.4385826691286639E-13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287.9055604128643</v>
      </c>
      <c r="BJ167" s="59">
        <f t="shared" si="146"/>
        <v>197.74605993031139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35.163693594030534</v>
      </c>
      <c r="BQ167" s="21">
        <f>EXP(-LN(2)/25)*BQ166+(1-EXP(-LN(2)/25))/(LN(2)/25)*Calculateur!BL167*Calculateur!BN167*VLOOKUP('Données projet'!$B$11,Paramètres!$A$1:$I$89,3,0)*0.475*44/12</f>
        <v>9.7881856485143146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44.951879242544848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135.89743589743577</v>
      </c>
      <c r="BZ167" s="13">
        <f>BY167*VLOOKUP('Données projet'!$B$12,Paramètres!$A$1:$I$89,3,0)*VLOOKUP('Données projet'!$B$12,Paramètres!$A$1:$I$89,5,0)</f>
        <v>118.71999999999991</v>
      </c>
      <c r="CA167" s="13">
        <f t="shared" si="170"/>
        <v>31.376274241265865</v>
      </c>
      <c r="CB167" s="20">
        <f t="shared" si="171"/>
        <v>261.41767763687125</v>
      </c>
      <c r="CC167" s="59">
        <f t="shared" si="119"/>
        <v>554.75101097020456</v>
      </c>
      <c r="CD167" s="59">
        <f ca="1">AVERAGE(OFFSET($CC$3,0,0,'Données projet'!$E$12+1,1))-AVERAGE(OFFSET($H$3,0,0,'Données projet'!$E$12+1,1))</f>
        <v>201.78062426023638</v>
      </c>
      <c r="CE167" s="59">
        <f t="shared" si="148"/>
        <v>183.0364139873468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4.7420883861840419</v>
      </c>
      <c r="CL167" s="21">
        <f>EXP(-LN(2)/25)*CL166+(1-EXP(-LN(2)/25))/(LN(2)/25)*Calculateur!CG167*Calculateur!CI167*VLOOKUP('Données projet'!$B$12,Paramètres!$A$1:$I$89,3,0)*0.475*44/12</f>
        <v>1.2999528818190871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6.0420412680031292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5.4053999999999913</v>
      </c>
      <c r="D168" s="11">
        <f t="shared" si="140"/>
        <v>2.0468157111336938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2.8762937832445803</v>
      </c>
      <c r="H168" s="67">
        <f t="shared" si="110"/>
        <v>269.64594236355788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346.2919953121168</v>
      </c>
      <c r="T168" s="59">
        <f t="shared" si="142"/>
        <v>255.63939678041237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30.320121622410326</v>
      </c>
      <c r="AA168" s="21">
        <f>EXP(-LN(2)/25)*AA167+(1-EXP(-LN(2)/25))/(LN(2)/25)*Calculateur!V168*Calculateur!X168*VLOOKUP('Données projet'!$B$9,Paramètres!$A$1:$I$89,3,0)*0.475*44/12</f>
        <v>7.5960090942154785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37.916130716625801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298.32148815673816</v>
      </c>
      <c r="AO168" s="59">
        <f t="shared" si="144"/>
        <v>303.51754260758827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16.822976949815558</v>
      </c>
      <c r="AV168" s="21">
        <f>EXP(-LN(2)/25)*AV167+(1-EXP(-LN(2)/25))/(LN(2)/25)*Calculateur!AQ168*Calculateur!AS168*VLOOKUP('Données projet'!$B$10,Paramètres!$A$1:$I$89,3,0)*0.475*44/12</f>
        <v>4.131910897926681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20.954887847742238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-4.2632564145606011E-13</v>
      </c>
      <c r="BE168" s="13">
        <f>BD168*VLOOKUP('Données projet'!$B$11,Paramètres!$A$1:$I$89,3,0)*VLOOKUP('Données projet'!$B$11,Paramètres!$A$1:$I$89,5,0)</f>
        <v>-2.4385826691286639E-13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287.9055604128643</v>
      </c>
      <c r="BJ168" s="59">
        <f t="shared" si="146"/>
        <v>197.74605993031139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34.474155010386902</v>
      </c>
      <c r="BQ168" s="21">
        <f>EXP(-LN(2)/25)*BQ167+(1-EXP(-LN(2)/25))/(LN(2)/25)*Calculateur!BL168*Calculateur!BN168*VLOOKUP('Données projet'!$B$11,Paramètres!$A$1:$I$89,3,0)*0.475*44/12</f>
        <v>9.5205271972173779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43.994682207604278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135.89743589743577</v>
      </c>
      <c r="BZ168" s="13">
        <f>BY168*VLOOKUP('Données projet'!$B$12,Paramètres!$A$1:$I$89,3,0)*VLOOKUP('Données projet'!$B$12,Paramètres!$A$1:$I$89,5,0)</f>
        <v>118.71999999999991</v>
      </c>
      <c r="CA168" s="13">
        <f t="shared" si="170"/>
        <v>31.376274241265865</v>
      </c>
      <c r="CB168" s="20">
        <f t="shared" si="171"/>
        <v>261.41767763687125</v>
      </c>
      <c r="CC168" s="59">
        <f t="shared" si="119"/>
        <v>554.75101097020456</v>
      </c>
      <c r="CD168" s="59">
        <f ca="1">AVERAGE(OFFSET($CC$3,0,0,'Données projet'!$E$12+1,1))-AVERAGE(OFFSET($H$3,0,0,'Données projet'!$E$12+1,1))</f>
        <v>201.78062426023638</v>
      </c>
      <c r="CE168" s="59">
        <f t="shared" si="148"/>
        <v>183.0364139873468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4.6490989253192891</v>
      </c>
      <c r="CL168" s="21">
        <f>EXP(-LN(2)/25)*CL167+(1-EXP(-LN(2)/25))/(LN(2)/25)*Calculateur!CG168*Calculateur!CI168*VLOOKUP('Données projet'!$B$12,Paramètres!$A$1:$I$89,3,0)*0.475*44/12</f>
        <v>1.2644056019041932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5.9135045272234823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5.438159999999991</v>
      </c>
      <c r="D169" s="11">
        <f t="shared" si="140"/>
        <v>2.0577728618357551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2.8931670694804636</v>
      </c>
      <c r="H169" s="67">
        <f t="shared" si="110"/>
        <v>269.72208306769727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346.2919953121168</v>
      </c>
      <c r="T169" s="59">
        <f t="shared" si="142"/>
        <v>255.63939678041237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29.725562530842971</v>
      </c>
      <c r="AA169" s="21">
        <f>EXP(-LN(2)/25)*AA168+(1-EXP(-LN(2)/25))/(LN(2)/25)*Calculateur!V169*Calculateur!X169*VLOOKUP('Données projet'!$B$9,Paramètres!$A$1:$I$89,3,0)*0.475*44/12</f>
        <v>7.3882958260773988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37.113858356920367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298.32148815673816</v>
      </c>
      <c r="AO169" s="59">
        <f t="shared" si="144"/>
        <v>303.51754260758827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16.493088632832425</v>
      </c>
      <c r="AV169" s="21">
        <f>EXP(-LN(2)/25)*AV168+(1-EXP(-LN(2)/25))/(LN(2)/25)*Calculateur!AQ169*Calculateur!AS169*VLOOKUP('Données projet'!$B$10,Paramètres!$A$1:$I$89,3,0)*0.475*44/12</f>
        <v>4.0189235771351255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20.512012209967551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-4.2632564145606011E-13</v>
      </c>
      <c r="BE169" s="13">
        <f>BD169*VLOOKUP('Données projet'!$B$11,Paramètres!$A$1:$I$89,3,0)*VLOOKUP('Données projet'!$B$11,Paramètres!$A$1:$I$89,5,0)</f>
        <v>-2.4385826691286639E-13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287.9055604128643</v>
      </c>
      <c r="BJ169" s="59">
        <f t="shared" si="146"/>
        <v>197.74605993031139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33.798137857791509</v>
      </c>
      <c r="BQ169" s="21">
        <f>EXP(-LN(2)/25)*BQ168+(1-EXP(-LN(2)/25))/(LN(2)/25)*Calculateur!BL169*Calculateur!BN169*VLOOKUP('Données projet'!$B$11,Paramètres!$A$1:$I$89,3,0)*0.475*44/12</f>
        <v>9.2601878803467024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43.058325738138208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135.89743589743577</v>
      </c>
      <c r="BZ169" s="13">
        <f>BY169*VLOOKUP('Données projet'!$B$12,Paramètres!$A$1:$I$89,3,0)*VLOOKUP('Données projet'!$B$12,Paramètres!$A$1:$I$89,5,0)</f>
        <v>118.71999999999991</v>
      </c>
      <c r="CA169" s="13">
        <f t="shared" si="170"/>
        <v>31.376274241265865</v>
      </c>
      <c r="CB169" s="20">
        <f t="shared" si="171"/>
        <v>261.41767763687125</v>
      </c>
      <c r="CC169" s="59">
        <f t="shared" si="119"/>
        <v>554.75101097020456</v>
      </c>
      <c r="CD169" s="59">
        <f ca="1">AVERAGE(OFFSET($CC$3,0,0,'Données projet'!$E$12+1,1))-AVERAGE(OFFSET($H$3,0,0,'Données projet'!$E$12+1,1))</f>
        <v>201.78062426023638</v>
      </c>
      <c r="CE169" s="59">
        <f t="shared" si="148"/>
        <v>183.0364139873468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4.5579329310641228</v>
      </c>
      <c r="CL169" s="21">
        <f>EXP(-LN(2)/25)*CL168+(1-EXP(-LN(2)/25))/(LN(2)/25)*Calculateur!CG169*Calculateur!CI169*VLOOKUP('Données projet'!$B$12,Paramètres!$A$1:$I$89,3,0)*0.475*44/12</f>
        <v>1.2298303642279222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5.787763295292045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5.4709199999999907</v>
      </c>
      <c r="D170" s="11">
        <f t="shared" si="140"/>
        <v>2.0687223319749188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2.9100373912885615</v>
      </c>
      <c r="H170" s="67">
        <f t="shared" si="110"/>
        <v>269.79821039485631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346.2919953121168</v>
      </c>
      <c r="T170" s="59">
        <f t="shared" si="142"/>
        <v>255.63939678041237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29.142662380416017</v>
      </c>
      <c r="AA170" s="21">
        <f>EXP(-LN(2)/25)*AA169+(1-EXP(-LN(2)/25))/(LN(2)/25)*Calculateur!V170*Calculateur!X170*VLOOKUP('Données projet'!$B$9,Paramètres!$A$1:$I$89,3,0)*0.475*44/12</f>
        <v>7.1862624881797208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36.328924868595735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298.32148815673816</v>
      </c>
      <c r="AO170" s="59">
        <f t="shared" si="144"/>
        <v>303.51754260758827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16.169669224533326</v>
      </c>
      <c r="AV170" s="21">
        <f>EXP(-LN(2)/25)*AV169+(1-EXP(-LN(2)/25))/(LN(2)/25)*Calculateur!AQ170*Calculateur!AS170*VLOOKUP('Données projet'!$B$10,Paramètres!$A$1:$I$89,3,0)*0.475*44/12</f>
        <v>3.90902590057236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20.078695125105686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-4.2632564145606011E-13</v>
      </c>
      <c r="BE170" s="13">
        <f>BD170*VLOOKUP('Données projet'!$B$11,Paramètres!$A$1:$I$89,3,0)*VLOOKUP('Données projet'!$B$11,Paramètres!$A$1:$I$89,5,0)</f>
        <v>-2.4385826691286639E-13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287.9055604128643</v>
      </c>
      <c r="BJ170" s="59">
        <f t="shared" si="146"/>
        <v>197.74605993031139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33.135376989228767</v>
      </c>
      <c r="BQ170" s="21">
        <f>EXP(-LN(2)/25)*BQ169+(1-EXP(-LN(2)/25))/(LN(2)/25)*Calculateur!BL170*Calculateur!BN170*VLOOKUP('Données projet'!$B$11,Paramètres!$A$1:$I$89,3,0)*0.475*44/12</f>
        <v>9.0069675557865061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42.142344545015277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135.89743589743577</v>
      </c>
      <c r="BZ170" s="13">
        <f>BY170*VLOOKUP('Données projet'!$B$12,Paramètres!$A$1:$I$89,3,0)*VLOOKUP('Données projet'!$B$12,Paramètres!$A$1:$I$89,5,0)</f>
        <v>118.71999999999991</v>
      </c>
      <c r="CA170" s="13">
        <f t="shared" si="170"/>
        <v>31.376274241265865</v>
      </c>
      <c r="CB170" s="20">
        <f t="shared" si="171"/>
        <v>261.41767763687125</v>
      </c>
      <c r="CC170" s="59">
        <f t="shared" si="119"/>
        <v>554.75101097020456</v>
      </c>
      <c r="CD170" s="59">
        <f ca="1">AVERAGE(OFFSET($CC$3,0,0,'Données projet'!$E$12+1,1))-AVERAGE(OFFSET($H$3,0,0,'Données projet'!$E$12+1,1))</f>
        <v>201.78062426023638</v>
      </c>
      <c r="CE170" s="59">
        <f t="shared" si="148"/>
        <v>183.0364139873468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4.468554646350535</v>
      </c>
      <c r="CL170" s="21">
        <f>EXP(-LN(2)/25)*CL169+(1-EXP(-LN(2)/25))/(LN(2)/25)*Calculateur!CG170*Calculateur!CI170*VLOOKUP('Données projet'!$B$12,Paramètres!$A$1:$I$89,3,0)*0.475*44/12</f>
        <v>1.1962005882441418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5.6647552345946766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5.5036799999999904</v>
      </c>
      <c r="D171" s="11">
        <f t="shared" si="140"/>
        <v>2.0796641728787035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2.926904768479496</v>
      </c>
      <c r="H171" s="67">
        <f t="shared" si="110"/>
        <v>269.87432443443043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346.2919953121168</v>
      </c>
      <c r="T171" s="59">
        <f t="shared" si="142"/>
        <v>255.63939678041237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28.571192546404948</v>
      </c>
      <c r="AA171" s="21">
        <f>EXP(-LN(2)/25)*AA170+(1-EXP(-LN(2)/25))/(LN(2)/25)*Calculateur!V171*Calculateur!X171*VLOOKUP('Données projet'!$B$9,Paramètres!$A$1:$I$89,3,0)*0.475*44/12</f>
        <v>6.9897537625313264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35.560946308936273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298.32148815673816</v>
      </c>
      <c r="AO171" s="59">
        <f t="shared" si="144"/>
        <v>303.51754260758827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15.852591873564611</v>
      </c>
      <c r="AV171" s="21">
        <f>EXP(-LN(2)/25)*AV170+(1-EXP(-LN(2)/25))/(LN(2)/25)*Calculateur!AQ171*Calculateur!AS171*VLOOKUP('Données projet'!$B$10,Paramètres!$A$1:$I$89,3,0)*0.475*44/12</f>
        <v>3.8021333817544707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19.654725255319082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-4.2632564145606011E-13</v>
      </c>
      <c r="BE171" s="13">
        <f>BD171*VLOOKUP('Données projet'!$B$11,Paramètres!$A$1:$I$89,3,0)*VLOOKUP('Données projet'!$B$11,Paramètres!$A$1:$I$89,5,0)</f>
        <v>-2.4385826691286639E-13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287.9055604128643</v>
      </c>
      <c r="BJ171" s="59">
        <f t="shared" si="146"/>
        <v>197.74605993031139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32.485612457054323</v>
      </c>
      <c r="BQ171" s="21">
        <f>EXP(-LN(2)/25)*BQ170+(1-EXP(-LN(2)/25))/(LN(2)/25)*Calculateur!BL171*Calculateur!BN171*VLOOKUP('Données projet'!$B$11,Paramètres!$A$1:$I$89,3,0)*0.475*44/12</f>
        <v>8.7606715543176854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41.246284011372012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135.89743589743577</v>
      </c>
      <c r="BZ171" s="13">
        <f>BY171*VLOOKUP('Données projet'!$B$12,Paramètres!$A$1:$I$89,3,0)*VLOOKUP('Données projet'!$B$12,Paramètres!$A$1:$I$89,5,0)</f>
        <v>118.71999999999991</v>
      </c>
      <c r="CA171" s="13">
        <f t="shared" si="170"/>
        <v>31.376274241265865</v>
      </c>
      <c r="CB171" s="20">
        <f t="shared" si="171"/>
        <v>261.41767763687125</v>
      </c>
      <c r="CC171" s="59">
        <f t="shared" si="119"/>
        <v>554.75101097020456</v>
      </c>
      <c r="CD171" s="59">
        <f ca="1">AVERAGE(OFFSET($CC$3,0,0,'Données projet'!$E$12+1,1))-AVERAGE(OFFSET($H$3,0,0,'Données projet'!$E$12+1,1))</f>
        <v>201.78062426023638</v>
      </c>
      <c r="CE171" s="59">
        <f t="shared" si="148"/>
        <v>183.0364139873468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4.3809290152848099</v>
      </c>
      <c r="CL171" s="21">
        <f>EXP(-LN(2)/25)*CL170+(1-EXP(-LN(2)/25))/(LN(2)/25)*Calculateur!CG171*Calculateur!CI171*VLOOKUP('Données projet'!$B$12,Paramètres!$A$1:$I$89,3,0)*0.475*44/12</f>
        <v>1.1634904202531506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5.5444194355379608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5.53643999999999</v>
      </c>
      <c r="D172" s="11">
        <f t="shared" si="140"/>
        <v>2.0905984352282347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2.9437692206144028</v>
      </c>
      <c r="H172" s="67">
        <f t="shared" si="110"/>
        <v>269.95042527468917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346.2919953121168</v>
      </c>
      <c r="T172" s="59">
        <f t="shared" si="142"/>
        <v>255.63939678041237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28.010928887276656</v>
      </c>
      <c r="AA172" s="21">
        <f>EXP(-LN(2)/25)*AA171+(1-EXP(-LN(2)/25))/(LN(2)/25)*Calculateur!V172*Calculateur!X172*VLOOKUP('Données projet'!$B$9,Paramètres!$A$1:$I$89,3,0)*0.475*44/12</f>
        <v>6.7986185783197319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34.809547465596388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298.32148815673816</v>
      </c>
      <c r="AO172" s="59">
        <f t="shared" si="144"/>
        <v>303.51754260758827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15.541732216050304</v>
      </c>
      <c r="AV172" s="21">
        <f>EXP(-LN(2)/25)*AV171+(1-EXP(-LN(2)/25))/(LN(2)/25)*Calculateur!AQ172*Calculateur!AS172*VLOOKUP('Données projet'!$B$10,Paramètres!$A$1:$I$89,3,0)*0.475*44/12</f>
        <v>3.6981638444848901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19.239896060535195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-4.2632564145606011E-13</v>
      </c>
      <c r="BE172" s="13">
        <f>BD172*VLOOKUP('Données projet'!$B$11,Paramètres!$A$1:$I$89,3,0)*VLOOKUP('Données projet'!$B$11,Paramètres!$A$1:$I$89,5,0)</f>
        <v>-2.4385826691286639E-13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287.9055604128643</v>
      </c>
      <c r="BJ172" s="59">
        <f t="shared" si="146"/>
        <v>197.74605993031139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31.848589411038589</v>
      </c>
      <c r="BQ172" s="21">
        <f>EXP(-LN(2)/25)*BQ171+(1-EXP(-LN(2)/25))/(LN(2)/25)*Calculateur!BL172*Calculateur!BN172*VLOOKUP('Données projet'!$B$11,Paramètres!$A$1:$I$89,3,0)*0.475*44/12</f>
        <v>8.5211105299611738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40.369699940999766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135.89743589743577</v>
      </c>
      <c r="BZ172" s="13">
        <f>BY172*VLOOKUP('Données projet'!$B$12,Paramètres!$A$1:$I$89,3,0)*VLOOKUP('Données projet'!$B$12,Paramètres!$A$1:$I$89,5,0)</f>
        <v>118.71999999999991</v>
      </c>
      <c r="CA172" s="13">
        <f t="shared" si="170"/>
        <v>31.376274241265865</v>
      </c>
      <c r="CB172" s="20">
        <f t="shared" si="171"/>
        <v>261.41767763687125</v>
      </c>
      <c r="CC172" s="59">
        <f t="shared" si="119"/>
        <v>554.75101097020456</v>
      </c>
      <c r="CD172" s="59">
        <f ca="1">AVERAGE(OFFSET($CC$3,0,0,'Données projet'!$E$12+1,1))-AVERAGE(OFFSET($H$3,0,0,'Données projet'!$E$12+1,1))</f>
        <v>201.78062426023638</v>
      </c>
      <c r="CE172" s="59">
        <f t="shared" si="148"/>
        <v>183.0364139873468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4.2950216693979257</v>
      </c>
      <c r="CL172" s="21">
        <f>EXP(-LN(2)/25)*CL171+(1-EXP(-LN(2)/25))/(LN(2)/25)*Calculateur!CG172*Calculateur!CI172*VLOOKUP('Données projet'!$B$12,Paramètres!$A$1:$I$89,3,0)*0.475*44/12</f>
        <v>1.1316747135260263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5.4266963829239518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5.5691999999999897</v>
      </c>
      <c r="D173" s="11">
        <f t="shared" si="140"/>
        <v>2.1015251690701651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2.9606307670095333</v>
      </c>
      <c r="H173" s="67">
        <f t="shared" si="110"/>
        <v>270.02651300279723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346.2919953121168</v>
      </c>
      <c r="T173" s="59">
        <f t="shared" si="142"/>
        <v>255.63939678041237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27.46165165677678</v>
      </c>
      <c r="AA173" s="21">
        <f>EXP(-LN(2)/25)*AA172+(1-EXP(-LN(2)/25))/(LN(2)/25)*Calculateur!V173*Calculateur!X173*VLOOKUP('Données projet'!$B$9,Paramètres!$A$1:$I$89,3,0)*0.475*44/12</f>
        <v>6.6127099957717661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34.074361652548546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298.32148815673816</v>
      </c>
      <c r="AO173" s="59">
        <f t="shared" si="144"/>
        <v>303.51754260758827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15.236968326814186</v>
      </c>
      <c r="AV173" s="21">
        <f>EXP(-LN(2)/25)*AV172+(1-EXP(-LN(2)/25))/(LN(2)/25)*Calculateur!AQ173*Calculateur!AS173*VLOOKUP('Données projet'!$B$10,Paramètres!$A$1:$I$89,3,0)*0.475*44/12</f>
        <v>3.5970373596794665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18.834005686493651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-4.2632564145606011E-13</v>
      </c>
      <c r="BE173" s="13">
        <f>BD173*VLOOKUP('Données projet'!$B$11,Paramètres!$A$1:$I$89,3,0)*VLOOKUP('Données projet'!$B$11,Paramètres!$A$1:$I$89,5,0)</f>
        <v>-2.4385826691286639E-13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287.9055604128643</v>
      </c>
      <c r="BJ173" s="59">
        <f t="shared" si="146"/>
        <v>197.74605993031139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31.224057998409531</v>
      </c>
      <c r="BQ173" s="21">
        <f>EXP(-LN(2)/25)*BQ172+(1-EXP(-LN(2)/25))/(LN(2)/25)*Calculateur!BL173*Calculateur!BN173*VLOOKUP('Données projet'!$B$11,Paramètres!$A$1:$I$89,3,0)*0.475*44/12</f>
        <v>8.2881003144136578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39.512158312823189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135.89743589743577</v>
      </c>
      <c r="BZ173" s="13">
        <f>BY173*VLOOKUP('Données projet'!$B$12,Paramètres!$A$1:$I$89,3,0)*VLOOKUP('Données projet'!$B$12,Paramètres!$A$1:$I$89,5,0)</f>
        <v>118.71999999999991</v>
      </c>
      <c r="CA173" s="13">
        <f t="shared" si="170"/>
        <v>31.376274241265865</v>
      </c>
      <c r="CB173" s="20">
        <f t="shared" si="171"/>
        <v>261.41767763687125</v>
      </c>
      <c r="CC173" s="59">
        <f t="shared" si="119"/>
        <v>554.75101097020456</v>
      </c>
      <c r="CD173" s="59">
        <f ca="1">AVERAGE(OFFSET($CC$3,0,0,'Données projet'!$E$12+1,1))-AVERAGE(OFFSET($H$3,0,0,'Données projet'!$E$12+1,1))</f>
        <v>201.78062426023638</v>
      </c>
      <c r="CE173" s="59">
        <f t="shared" si="148"/>
        <v>183.0364139873468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4.2107989141655766</v>
      </c>
      <c r="CL173" s="21">
        <f>EXP(-LN(2)/25)*CL172+(1-EXP(-LN(2)/25))/(LN(2)/25)*Calculateur!CG173*Calculateur!CI173*VLOOKUP('Données projet'!$B$12,Paramètres!$A$1:$I$89,3,0)*0.475*44/12</f>
        <v>1.1007290089724704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5.3115279231380468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5.6019599999999894</v>
      </c>
      <c r="D174" s="11">
        <f t="shared" si="140"/>
        <v>2.1124444238282938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2.9774894267407408</v>
      </c>
      <c r="H174" s="67">
        <f t="shared" si="110"/>
        <v>270.10258770483426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346.2919953121168</v>
      </c>
      <c r="T174" s="59">
        <f t="shared" si="142"/>
        <v>255.63939678041237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26.923145417740979</v>
      </c>
      <c r="AA174" s="21">
        <f>EXP(-LN(2)/25)*AA173+(1-EXP(-LN(2)/25))/(LN(2)/25)*Calculateur!V174*Calculateur!X174*VLOOKUP('Données projet'!$B$9,Paramètres!$A$1:$I$89,3,0)*0.475*44/12</f>
        <v>6.4318850931900817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33.355030510931059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298.32148815673816</v>
      </c>
      <c r="AO174" s="59">
        <f t="shared" si="144"/>
        <v>303.51754260758827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14.938180671558369</v>
      </c>
      <c r="AV174" s="21">
        <f>EXP(-LN(2)/25)*AV173+(1-EXP(-LN(2)/25))/(LN(2)/25)*Calculateur!AQ174*Calculateur!AS174*VLOOKUP('Données projet'!$B$10,Paramètres!$A$1:$I$89,3,0)*0.475*44/12</f>
        <v>3.4986761839190579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18.436856855477426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-4.2632564145606011E-13</v>
      </c>
      <c r="BE174" s="13">
        <f>BD174*VLOOKUP('Données projet'!$B$11,Paramètres!$A$1:$I$89,3,0)*VLOOKUP('Données projet'!$B$11,Paramètres!$A$1:$I$89,5,0)</f>
        <v>-2.4385826691286639E-13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287.9055604128643</v>
      </c>
      <c r="BJ174" s="59">
        <f t="shared" si="146"/>
        <v>197.74605993031139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30.611773265855582</v>
      </c>
      <c r="BQ174" s="21">
        <f>EXP(-LN(2)/25)*BQ173+(1-EXP(-LN(2)/25))/(LN(2)/25)*Calculateur!BL174*Calculateur!BN174*VLOOKUP('Données projet'!$B$11,Paramètres!$A$1:$I$89,3,0)*0.475*44/12</f>
        <v>8.0614617754637639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38.673235041319344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135.89743589743577</v>
      </c>
      <c r="BZ174" s="13">
        <f>BY174*VLOOKUP('Données projet'!$B$12,Paramètres!$A$1:$I$89,3,0)*VLOOKUP('Données projet'!$B$12,Paramètres!$A$1:$I$89,5,0)</f>
        <v>118.71999999999991</v>
      </c>
      <c r="CA174" s="13">
        <f t="shared" si="170"/>
        <v>31.376274241265865</v>
      </c>
      <c r="CB174" s="20">
        <f t="shared" si="171"/>
        <v>261.41767763687125</v>
      </c>
      <c r="CC174" s="59">
        <f t="shared" si="119"/>
        <v>554.75101097020456</v>
      </c>
      <c r="CD174" s="59">
        <f ca="1">AVERAGE(OFFSET($CC$3,0,0,'Données projet'!$E$12+1,1))-AVERAGE(OFFSET($H$3,0,0,'Données projet'!$E$12+1,1))</f>
        <v>201.78062426023638</v>
      </c>
      <c r="CE174" s="59">
        <f t="shared" si="148"/>
        <v>183.0364139873468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4.1282277157925256</v>
      </c>
      <c r="CL174" s="21">
        <f>EXP(-LN(2)/25)*CL173+(1-EXP(-LN(2)/25))/(LN(2)/25)*Calculateur!CG174*Calculateur!CI174*VLOOKUP('Données projet'!$B$12,Paramètres!$A$1:$I$89,3,0)*0.475*44/12</f>
        <v>1.0706295163372954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5.1988572321298214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5.6347199999999891</v>
      </c>
      <c r="D175" s="11">
        <f t="shared" si="140"/>
        <v>2.1233562483149226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2.9943452186478612</v>
      </c>
      <c r="H175" s="67">
        <f t="shared" si="110"/>
        <v>270.17864946581517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346.2919953121168</v>
      </c>
      <c r="T175" s="59">
        <f t="shared" si="142"/>
        <v>255.63939678041237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26.395198957596296</v>
      </c>
      <c r="AA175" s="21">
        <f>EXP(-LN(2)/25)*AA174+(1-EXP(-LN(2)/25))/(LN(2)/25)*Calculateur!V175*Calculateur!X175*VLOOKUP('Données projet'!$B$9,Paramètres!$A$1:$I$89,3,0)*0.475*44/12</f>
        <v>6.2560048570786622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32.651203814674957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298.32148815673816</v>
      </c>
      <c r="AO175" s="59">
        <f t="shared" si="144"/>
        <v>303.51754260758827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14.645252059979644</v>
      </c>
      <c r="AV175" s="21">
        <f>EXP(-LN(2)/25)*AV174+(1-EXP(-LN(2)/25))/(LN(2)/25)*Calculateur!AQ175*Calculateur!AS175*VLOOKUP('Données projet'!$B$10,Paramètres!$A$1:$I$89,3,0)*0.475*44/12</f>
        <v>3.4030046996824073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18.048256759662053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-4.2632564145606011E-13</v>
      </c>
      <c r="BE175" s="13">
        <f>BD175*VLOOKUP('Données projet'!$B$11,Paramètres!$A$1:$I$89,3,0)*VLOOKUP('Données projet'!$B$11,Paramètres!$A$1:$I$89,5,0)</f>
        <v>-2.4385826691286639E-13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287.9055604128643</v>
      </c>
      <c r="BJ175" s="59">
        <f t="shared" si="146"/>
        <v>197.74605993031139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30.011495063450205</v>
      </c>
      <c r="BQ175" s="21">
        <f>EXP(-LN(2)/25)*BQ174+(1-EXP(-LN(2)/25))/(LN(2)/25)*Calculateur!BL175*Calculateur!BN175*VLOOKUP('Données projet'!$B$11,Paramètres!$A$1:$I$89,3,0)*0.475*44/12</f>
        <v>7.8410206792798576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37.852515742730063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135.89743589743577</v>
      </c>
      <c r="BZ175" s="13">
        <f>BY175*VLOOKUP('Données projet'!$B$12,Paramètres!$A$1:$I$89,3,0)*VLOOKUP('Données projet'!$B$12,Paramètres!$A$1:$I$89,5,0)</f>
        <v>118.71999999999991</v>
      </c>
      <c r="CA175" s="13">
        <f t="shared" si="170"/>
        <v>31.376274241265865</v>
      </c>
      <c r="CB175" s="20">
        <f t="shared" si="171"/>
        <v>261.41767763687125</v>
      </c>
      <c r="CC175" s="59">
        <f t="shared" si="119"/>
        <v>554.75101097020456</v>
      </c>
      <c r="CD175" s="59">
        <f ca="1">AVERAGE(OFFSET($CC$3,0,0,'Données projet'!$E$12+1,1))-AVERAGE(OFFSET($H$3,0,0,'Données projet'!$E$12+1,1))</f>
        <v>201.78062426023638</v>
      </c>
      <c r="CE175" s="59">
        <f t="shared" si="148"/>
        <v>183.0364139873468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4.0472756882561116</v>
      </c>
      <c r="CL175" s="21">
        <f>EXP(-LN(2)/25)*CL174+(1-EXP(-LN(2)/25))/(LN(2)/25)*Calculateur!CG175*Calculateur!CI175*VLOOKUP('Données projet'!$B$12,Paramètres!$A$1:$I$89,3,0)*0.475*44/12</f>
        <v>1.0413530959110928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5.088628784167204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5.6674799999999887</v>
      </c>
      <c r="D176" s="11">
        <f t="shared" si="140"/>
        <v>2.1342606907419266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3.0111981613389851</v>
      </c>
      <c r="H176" s="67">
        <f t="shared" si="110"/>
        <v>270.25469836970888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346.2919953121168</v>
      </c>
      <c r="T176" s="59">
        <f t="shared" si="142"/>
        <v>255.63939678041237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25.877605205519504</v>
      </c>
      <c r="AA176" s="21">
        <f>EXP(-LN(2)/25)*AA175+(1-EXP(-LN(2)/25))/(LN(2)/25)*Calculateur!V176*Calculateur!X176*VLOOKUP('Données projet'!$B$9,Paramètres!$A$1:$I$89,3,0)*0.475*44/12</f>
        <v>6.0849340752728489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31.962539280792353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298.32148815673816</v>
      </c>
      <c r="AO176" s="59">
        <f t="shared" si="144"/>
        <v>303.51754260758827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14.358067599805166</v>
      </c>
      <c r="AV176" s="21">
        <f>EXP(-LN(2)/25)*AV175+(1-EXP(-LN(2)/25))/(LN(2)/25)*Calculateur!AQ176*Calculateur!AS176*VLOOKUP('Données projet'!$B$10,Paramètres!$A$1:$I$89,3,0)*0.475*44/12</f>
        <v>3.3099493572133523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17.668016957018519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-4.2632564145606011E-13</v>
      </c>
      <c r="BE176" s="13">
        <f>BD176*VLOOKUP('Données projet'!$B$11,Paramètres!$A$1:$I$89,3,0)*VLOOKUP('Données projet'!$B$11,Paramètres!$A$1:$I$89,5,0)</f>
        <v>-2.4385826691286639E-13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287.9055604128643</v>
      </c>
      <c r="BJ176" s="59">
        <f t="shared" si="146"/>
        <v>197.74605993031139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29.422987950460445</v>
      </c>
      <c r="BQ176" s="21">
        <f>EXP(-LN(2)/25)*BQ175+(1-EXP(-LN(2)/25))/(LN(2)/25)*Calculateur!BL176*Calculateur!BN176*VLOOKUP('Données projet'!$B$11,Paramètres!$A$1:$I$89,3,0)*0.475*44/12</f>
        <v>7.6266075564635933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37.049595506924035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135.89743589743577</v>
      </c>
      <c r="BZ176" s="13">
        <f>BY176*VLOOKUP('Données projet'!$B$12,Paramètres!$A$1:$I$89,3,0)*VLOOKUP('Données projet'!$B$12,Paramètres!$A$1:$I$89,5,0)</f>
        <v>118.71999999999991</v>
      </c>
      <c r="CA176" s="13">
        <f t="shared" si="170"/>
        <v>31.376274241265865</v>
      </c>
      <c r="CB176" s="20">
        <f t="shared" si="171"/>
        <v>261.41767763687125</v>
      </c>
      <c r="CC176" s="59">
        <f t="shared" si="119"/>
        <v>554.75101097020456</v>
      </c>
      <c r="CD176" s="59">
        <f ca="1">AVERAGE(OFFSET($CC$3,0,0,'Données projet'!$E$12+1,1))-AVERAGE(OFFSET($H$3,0,0,'Données projet'!$E$12+1,1))</f>
        <v>201.78062426023638</v>
      </c>
      <c r="CE176" s="59">
        <f t="shared" si="148"/>
        <v>183.0364139873468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3.9679110806038258</v>
      </c>
      <c r="CL176" s="21">
        <f>EXP(-LN(2)/25)*CL175+(1-EXP(-LN(2)/25))/(LN(2)/25)*Calculateur!CG176*Calculateur!CI176*VLOOKUP('Données projet'!$B$12,Paramètres!$A$1:$I$89,3,0)*0.475*44/12</f>
        <v>1.0128772407410247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4.9807883213448507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5.7002399999999884</v>
      </c>
      <c r="D177" s="11">
        <f t="shared" si="140"/>
        <v>2.1451577987315695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3.0280482731946368</v>
      </c>
      <c r="H177" s="67">
        <f t="shared" si="110"/>
        <v>270.33073449945749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346.2919953121168</v>
      </c>
      <c r="T177" s="59">
        <f t="shared" si="142"/>
        <v>255.63939678041237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25.370161151219925</v>
      </c>
      <c r="AA177" s="21">
        <f>EXP(-LN(2)/25)*AA176+(1-EXP(-LN(2)/25))/(LN(2)/25)*Calculateur!V177*Calculateur!X177*VLOOKUP('Données projet'!$B$9,Paramètres!$A$1:$I$89,3,0)*0.475*44/12</f>
        <v>5.9185412329917373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31.288702384211661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298.32148815673816</v>
      </c>
      <c r="AO177" s="59">
        <f t="shared" si="144"/>
        <v>303.51754260758827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14.076514651729486</v>
      </c>
      <c r="AV177" s="21">
        <f>EXP(-LN(2)/25)*AV176+(1-EXP(-LN(2)/25))/(LN(2)/25)*Calculateur!AQ177*Calculateur!AS177*VLOOKUP('Données projet'!$B$10,Paramètres!$A$1:$I$89,3,0)*0.475*44/12</f>
        <v>3.2194386179776813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17.295953269707166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-4.2632564145606011E-13</v>
      </c>
      <c r="BE177" s="13">
        <f>BD177*VLOOKUP('Données projet'!$B$11,Paramètres!$A$1:$I$89,3,0)*VLOOKUP('Données projet'!$B$11,Paramètres!$A$1:$I$89,5,0)</f>
        <v>-2.4385826691286639E-13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287.9055604128643</v>
      </c>
      <c r="BJ177" s="59">
        <f t="shared" si="146"/>
        <v>197.74605993031139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28.846021103002521</v>
      </c>
      <c r="BQ177" s="21">
        <f>EXP(-LN(2)/25)*BQ176+(1-EXP(-LN(2)/25))/(LN(2)/25)*Calculateur!BL177*Calculateur!BN177*VLOOKUP('Données projet'!$B$11,Paramètres!$A$1:$I$89,3,0)*0.475*44/12</f>
        <v>7.4180575717662363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36.264078674768754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135.89743589743577</v>
      </c>
      <c r="BZ177" s="13">
        <f>BY177*VLOOKUP('Données projet'!$B$12,Paramètres!$A$1:$I$89,3,0)*VLOOKUP('Données projet'!$B$12,Paramètres!$A$1:$I$89,5,0)</f>
        <v>118.71999999999991</v>
      </c>
      <c r="CA177" s="13">
        <f t="shared" si="170"/>
        <v>31.376274241265865</v>
      </c>
      <c r="CB177" s="20">
        <f t="shared" si="171"/>
        <v>261.41767763687125</v>
      </c>
      <c r="CC177" s="59">
        <f t="shared" si="119"/>
        <v>554.75101097020456</v>
      </c>
      <c r="CD177" s="59">
        <f ca="1">AVERAGE(OFFSET($CC$3,0,0,'Données projet'!$E$12+1,1))-AVERAGE(OFFSET($H$3,0,0,'Données projet'!$E$12+1,1))</f>
        <v>201.78062426023638</v>
      </c>
      <c r="CE177" s="59">
        <f t="shared" si="148"/>
        <v>183.0364139873468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3.8901027644999702</v>
      </c>
      <c r="CL177" s="21">
        <f>EXP(-LN(2)/25)*CL176+(1-EXP(-LN(2)/25))/(LN(2)/25)*Calculateur!CG177*Calculateur!CI177*VLOOKUP('Données projet'!$B$12,Paramètres!$A$1:$I$89,3,0)*0.475*44/12</f>
        <v>0.9851800593280623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4.8752828238280328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5.7329999999999881</v>
      </c>
      <c r="D178" s="11">
        <f t="shared" si="140"/>
        <v>2.1560476193270568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3.0448955723718423</v>
      </c>
      <c r="H178" s="67">
        <f t="shared" si="110"/>
        <v>270.40675793699461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346.2919953121168</v>
      </c>
      <c r="T178" s="59">
        <f t="shared" si="142"/>
        <v>255.63939678041237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24.872667765314848</v>
      </c>
      <c r="AA178" s="21">
        <f>EXP(-LN(2)/25)*AA177+(1-EXP(-LN(2)/25))/(LN(2)/25)*Calculateur!V178*Calculateur!X178*VLOOKUP('Données projet'!$B$9,Paramètres!$A$1:$I$89,3,0)*0.475*44/12</f>
        <v>5.756698411733022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30.629366177047871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298.32148815673816</v>
      </c>
      <c r="AO178" s="59">
        <f t="shared" si="144"/>
        <v>303.51754260758827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13.800482785235229</v>
      </c>
      <c r="AV178" s="21">
        <f>EXP(-LN(2)/25)*AV177+(1-EXP(-LN(2)/25))/(LN(2)/25)*Calculateur!AQ178*Calculateur!AS178*VLOOKUP('Données projet'!$B$10,Paramètres!$A$1:$I$89,3,0)*0.475*44/12</f>
        <v>3.1314028996661629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16.931885684901392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-4.2632564145606011E-13</v>
      </c>
      <c r="BE178" s="13">
        <f>BD178*VLOOKUP('Données projet'!$B$11,Paramètres!$A$1:$I$89,3,0)*VLOOKUP('Données projet'!$B$11,Paramètres!$A$1:$I$89,5,0)</f>
        <v>-2.4385826691286639E-13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287.9055604128643</v>
      </c>
      <c r="BJ178" s="59">
        <f t="shared" si="146"/>
        <v>197.74605993031139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28.280368223508219</v>
      </c>
      <c r="BQ178" s="21">
        <f>EXP(-LN(2)/25)*BQ177+(1-EXP(-LN(2)/25))/(LN(2)/25)*Calculateur!BL178*Calculateur!BN178*VLOOKUP('Données projet'!$B$11,Paramètres!$A$1:$I$89,3,0)*0.475*44/12</f>
        <v>7.2152103973675947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35.495578620875811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135.89743589743577</v>
      </c>
      <c r="BZ178" s="13">
        <f>BY178*VLOOKUP('Données projet'!$B$12,Paramètres!$A$1:$I$89,3,0)*VLOOKUP('Données projet'!$B$12,Paramètres!$A$1:$I$89,5,0)</f>
        <v>118.71999999999991</v>
      </c>
      <c r="CA178" s="13">
        <f t="shared" si="170"/>
        <v>31.376274241265865</v>
      </c>
      <c r="CB178" s="20">
        <f t="shared" si="171"/>
        <v>261.41767763687125</v>
      </c>
      <c r="CC178" s="59">
        <f t="shared" si="119"/>
        <v>554.75101097020456</v>
      </c>
      <c r="CD178" s="59">
        <f ca="1">AVERAGE(OFFSET($CC$3,0,0,'Données projet'!$E$12+1,1))-AVERAGE(OFFSET($H$3,0,0,'Données projet'!$E$12+1,1))</f>
        <v>201.78062426023638</v>
      </c>
      <c r="CE178" s="59">
        <f t="shared" si="148"/>
        <v>183.0364139873468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3.8138202220165245</v>
      </c>
      <c r="CL178" s="21">
        <f>EXP(-LN(2)/25)*CL177+(1-EXP(-LN(2)/25))/(LN(2)/25)*Calculateur!CG178*Calculateur!CI178*VLOOKUP('Données projet'!$B$12,Paramètres!$A$1:$I$89,3,0)*0.475*44/12</f>
        <v>0.95824025879736874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4.7720604808138933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5.7657599999999878</v>
      </c>
      <c r="D179" s="11">
        <f t="shared" si="140"/>
        <v>2.1669301990028496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3.0617400768081127</v>
      </c>
      <c r="H179" s="67">
        <f t="shared" si="110"/>
        <v>270.48276876326327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346.2919953121168</v>
      </c>
      <c r="T179" s="59">
        <f t="shared" si="142"/>
        <v>255.63939678041237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24.384929921266366</v>
      </c>
      <c r="AA179" s="21">
        <f>EXP(-LN(2)/25)*AA178+(1-EXP(-LN(2)/25))/(LN(2)/25)*Calculateur!V179*Calculateur!X179*VLOOKUP('Données projet'!$B$9,Paramètres!$A$1:$I$89,3,0)*0.475*44/12</f>
        <v>5.5992811909325697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29.984211112198935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298.32148815673816</v>
      </c>
      <c r="AO179" s="59">
        <f t="shared" si="144"/>
        <v>303.51754260758827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13.529863735280109</v>
      </c>
      <c r="AV179" s="21">
        <f>EXP(-LN(2)/25)*AV178+(1-EXP(-LN(2)/25))/(LN(2)/25)*Calculateur!AQ179*Calculateur!AS179*VLOOKUP('Données projet'!$B$10,Paramètres!$A$1:$I$89,3,0)*0.475*44/12</f>
        <v>3.0457745227014703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16.575638257981581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-4.2632564145606011E-13</v>
      </c>
      <c r="BE179" s="13">
        <f>BD179*VLOOKUP('Données projet'!$B$11,Paramètres!$A$1:$I$89,3,0)*VLOOKUP('Données projet'!$B$11,Paramètres!$A$1:$I$89,5,0)</f>
        <v>-2.4385826691286639E-13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287.9055604128643</v>
      </c>
      <c r="BJ179" s="59">
        <f t="shared" si="146"/>
        <v>197.74605993031139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27.72580745196661</v>
      </c>
      <c r="BQ179" s="21">
        <f>EXP(-LN(2)/25)*BQ178+(1-EXP(-LN(2)/25))/(LN(2)/25)*Calculateur!BL179*Calculateur!BN179*VLOOKUP('Données projet'!$B$11,Paramètres!$A$1:$I$89,3,0)*0.475*44/12</f>
        <v>7.0179100896201536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34.743717541586761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135.89743589743577</v>
      </c>
      <c r="BZ179" s="13">
        <f>BY179*VLOOKUP('Données projet'!$B$12,Paramètres!$A$1:$I$89,3,0)*VLOOKUP('Données projet'!$B$12,Paramètres!$A$1:$I$89,5,0)</f>
        <v>118.71999999999991</v>
      </c>
      <c r="CA179" s="13">
        <f t="shared" si="170"/>
        <v>31.376274241265865</v>
      </c>
      <c r="CB179" s="20">
        <f t="shared" si="171"/>
        <v>261.41767763687125</v>
      </c>
      <c r="CC179" s="59">
        <f t="shared" si="119"/>
        <v>554.75101097020456</v>
      </c>
      <c r="CD179" s="59">
        <f ca="1">AVERAGE(OFFSET($CC$3,0,0,'Données projet'!$E$12+1,1))-AVERAGE(OFFSET($H$3,0,0,'Données projet'!$E$12+1,1))</f>
        <v>201.78062426023638</v>
      </c>
      <c r="CE179" s="59">
        <f t="shared" si="148"/>
        <v>183.0364139873468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3.7390335336634228</v>
      </c>
      <c r="CL179" s="21">
        <f>EXP(-LN(2)/25)*CL178+(1-EXP(-LN(2)/25))/(LN(2)/25)*Calculateur!CG179*Calculateur!CI179*VLOOKUP('Données projet'!$B$12,Paramètres!$A$1:$I$89,3,0)*0.475*44/12</f>
        <v>0.93203712852888954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4.6710706621923119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5.7985199999999875</v>
      </c>
      <c r="D180" s="11">
        <f t="shared" si="140"/>
        <v>2.1778055836747279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3.0785818042253283</v>
      </c>
      <c r="H180" s="67">
        <f t="shared" si="110"/>
        <v>270.55876705823346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346.2919953121168</v>
      </c>
      <c r="T180" s="59">
        <f t="shared" si="142"/>
        <v>255.63939678041237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23.906756318848963</v>
      </c>
      <c r="AA180" s="21">
        <f>EXP(-LN(2)/25)*AA179+(1-EXP(-LN(2)/25))/(LN(2)/25)*Calculateur!V180*Calculateur!X180*VLOOKUP('Données projet'!$B$9,Paramètres!$A$1:$I$89,3,0)*0.475*44/12</f>
        <v>5.446168552313118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29.352924871162081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298.32148815673816</v>
      </c>
      <c r="AO180" s="59">
        <f t="shared" si="144"/>
        <v>303.51754260758827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13.264551359833288</v>
      </c>
      <c r="AV180" s="21">
        <f>EXP(-LN(2)/25)*AV179+(1-EXP(-LN(2)/25))/(LN(2)/25)*Calculateur!AQ180*Calculateur!AS180*VLOOKUP('Données projet'!$B$10,Paramètres!$A$1:$I$89,3,0)*0.475*44/12</f>
        <v>2.9624876582078778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16.227039018041165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-4.2632564145606011E-13</v>
      </c>
      <c r="BE180" s="13">
        <f>BD180*VLOOKUP('Données projet'!$B$11,Paramètres!$A$1:$I$89,3,0)*VLOOKUP('Données projet'!$B$11,Paramètres!$A$1:$I$89,5,0)</f>
        <v>-2.4385826691286639E-13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287.9055604128643</v>
      </c>
      <c r="BJ180" s="59">
        <f t="shared" si="146"/>
        <v>197.74605993031139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27.182121278906262</v>
      </c>
      <c r="BQ180" s="21">
        <f>EXP(-LN(2)/25)*BQ179+(1-EXP(-LN(2)/25))/(LN(2)/25)*Calculateur!BL180*Calculateur!BN180*VLOOKUP('Données projet'!$B$11,Paramètres!$A$1:$I$89,3,0)*0.475*44/12</f>
        <v>6.8260049691636384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34.0081262480699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135.89743589743577</v>
      </c>
      <c r="BZ180" s="13">
        <f>BY180*VLOOKUP('Données projet'!$B$12,Paramètres!$A$1:$I$89,3,0)*VLOOKUP('Données projet'!$B$12,Paramètres!$A$1:$I$89,5,0)</f>
        <v>118.71999999999991</v>
      </c>
      <c r="CA180" s="13">
        <f t="shared" si="170"/>
        <v>31.376274241265865</v>
      </c>
      <c r="CB180" s="20">
        <f t="shared" si="171"/>
        <v>261.41767763687125</v>
      </c>
      <c r="CC180" s="59">
        <f t="shared" si="119"/>
        <v>554.75101097020456</v>
      </c>
      <c r="CD180" s="59">
        <f ca="1">AVERAGE(OFFSET($CC$3,0,0,'Données projet'!$E$12+1,1))-AVERAGE(OFFSET($H$3,0,0,'Données projet'!$E$12+1,1))</f>
        <v>201.78062426023638</v>
      </c>
      <c r="CE180" s="59">
        <f t="shared" si="148"/>
        <v>183.0364139873468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3.6657133666535495</v>
      </c>
      <c r="CL180" s="21">
        <f>EXP(-LN(2)/25)*CL179+(1-EXP(-LN(2)/25))/(LN(2)/25)*Calculateur!CG180*Calculateur!CI180*VLOOKUP('Données projet'!$B$12,Paramètres!$A$1:$I$89,3,0)*0.475*44/12</f>
        <v>0.9065505242355647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4.572263890889114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5.8312799999999871</v>
      </c>
      <c r="D181" s="11">
        <f t="shared" si="140"/>
        <v>2.188673818709626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3.0954207721335352</v>
      </c>
      <c r="H181" s="67">
        <f t="shared" si="110"/>
        <v>270.63475290091924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346.2919953121168</v>
      </c>
      <c r="T181" s="59">
        <f t="shared" si="142"/>
        <v>255.63939678041237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23.437959409117866</v>
      </c>
      <c r="AA181" s="21">
        <f>EXP(-LN(2)/25)*AA180+(1-EXP(-LN(2)/25))/(LN(2)/25)*Calculateur!V181*Calculateur!X181*VLOOKUP('Données projet'!$B$9,Paramètres!$A$1:$I$89,3,0)*0.475*44/12</f>
        <v>5.2972427868485594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28.735202195966426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298.32148815673816</v>
      </c>
      <c r="AO181" s="59">
        <f t="shared" si="144"/>
        <v>303.51754260758827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13.004441598244409</v>
      </c>
      <c r="AV181" s="21">
        <f>EXP(-LN(2)/25)*AV180+(1-EXP(-LN(2)/25))/(LN(2)/25)*Calculateur!AQ181*Calculateur!AS181*VLOOKUP('Données projet'!$B$10,Paramètres!$A$1:$I$89,3,0)*0.475*44/12</f>
        <v>2.8814782774037284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15.885919875648137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-4.2632564145606011E-13</v>
      </c>
      <c r="BE181" s="13">
        <f>BD181*VLOOKUP('Données projet'!$B$11,Paramètres!$A$1:$I$89,3,0)*VLOOKUP('Données projet'!$B$11,Paramètres!$A$1:$I$89,5,0)</f>
        <v>-2.4385826691286639E-13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287.9055604128643</v>
      </c>
      <c r="BJ181" s="59">
        <f t="shared" si="146"/>
        <v>197.74605993031139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26.649096460083804</v>
      </c>
      <c r="BQ181" s="21">
        <f>EXP(-LN(2)/25)*BQ180+(1-EXP(-LN(2)/25))/(LN(2)/25)*Calculateur!BL181*Calculateur!BN181*VLOOKUP('Données projet'!$B$11,Paramètres!$A$1:$I$89,3,0)*0.475*44/12</f>
        <v>6.6393475043178585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33.288443964401665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135.89743589743577</v>
      </c>
      <c r="BZ181" s="13">
        <f>BY181*VLOOKUP('Données projet'!$B$12,Paramètres!$A$1:$I$89,3,0)*VLOOKUP('Données projet'!$B$12,Paramètres!$A$1:$I$89,5,0)</f>
        <v>118.71999999999991</v>
      </c>
      <c r="CA181" s="13">
        <f t="shared" si="170"/>
        <v>31.376274241265865</v>
      </c>
      <c r="CB181" s="20">
        <f t="shared" si="171"/>
        <v>261.41767763687125</v>
      </c>
      <c r="CC181" s="59">
        <f t="shared" si="119"/>
        <v>554.75101097020456</v>
      </c>
      <c r="CD181" s="59">
        <f ca="1">AVERAGE(OFFSET($CC$3,0,0,'Données projet'!$E$12+1,1))-AVERAGE(OFFSET($H$3,0,0,'Données projet'!$E$12+1,1))</f>
        <v>201.78062426023638</v>
      </c>
      <c r="CE181" s="59">
        <f t="shared" si="148"/>
        <v>183.0364139873468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3.593830963397854</v>
      </c>
      <c r="CL181" s="21">
        <f>EXP(-LN(2)/25)*CL180+(1-EXP(-LN(2)/25))/(LN(2)/25)*Calculateur!CG181*Calculateur!CI181*VLOOKUP('Données projet'!$B$12,Paramètres!$A$1:$I$89,3,0)*0.475*44/12</f>
        <v>0.88176085247692304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4.4755918158747772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5.8640399999999868</v>
      </c>
      <c r="D182" s="11">
        <f t="shared" si="140"/>
        <v>2.1995349489352392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3.112256997834649</v>
      </c>
      <c r="H182" s="67">
        <f t="shared" si="110"/>
        <v>270.71072636939556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346.2919953121168</v>
      </c>
      <c r="T182" s="59">
        <f t="shared" si="142"/>
        <v>255.63939678041237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22.978355320848717</v>
      </c>
      <c r="AA182" s="21">
        <f>EXP(-LN(2)/25)*AA181+(1-EXP(-LN(2)/25))/(LN(2)/25)*Calculateur!V182*Calculateur!X182*VLOOKUP('Données projet'!$B$9,Paramètres!$A$1:$I$89,3,0)*0.475*44/12</f>
        <v>5.1523894042722942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28.130744725121012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298.32148815673816</v>
      </c>
      <c r="AO182" s="59">
        <f t="shared" si="144"/>
        <v>303.51754260758827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12.749432430428998</v>
      </c>
      <c r="AV182" s="21">
        <f>EXP(-LN(2)/25)*AV181+(1-EXP(-LN(2)/25))/(LN(2)/25)*Calculateur!AQ182*Calculateur!AS182*VLOOKUP('Données projet'!$B$10,Paramètres!$A$1:$I$89,3,0)*0.475*44/12</f>
        <v>2.8026841023777664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15.552116532806764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-4.2632564145606011E-13</v>
      </c>
      <c r="BE182" s="13">
        <f>BD182*VLOOKUP('Données projet'!$B$11,Paramètres!$A$1:$I$89,3,0)*VLOOKUP('Données projet'!$B$11,Paramètres!$A$1:$I$89,5,0)</f>
        <v>-2.4385826691286639E-13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287.9055604128643</v>
      </c>
      <c r="BJ182" s="59">
        <f t="shared" si="146"/>
        <v>197.74605993031139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26.126523932845419</v>
      </c>
      <c r="BQ182" s="21">
        <f>EXP(-LN(2)/25)*BQ181+(1-EXP(-LN(2)/25))/(LN(2)/25)*Calculateur!BL182*Calculateur!BN182*VLOOKUP('Données projet'!$B$11,Paramètres!$A$1:$I$89,3,0)*0.475*44/12</f>
        <v>6.4577941976641755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32.584318130509594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135.89743589743577</v>
      </c>
      <c r="BZ182" s="13">
        <f>BY182*VLOOKUP('Données projet'!$B$12,Paramètres!$A$1:$I$89,3,0)*VLOOKUP('Données projet'!$B$12,Paramètres!$A$1:$I$89,5,0)</f>
        <v>118.71999999999991</v>
      </c>
      <c r="CA182" s="13">
        <f t="shared" si="170"/>
        <v>31.376274241265865</v>
      </c>
      <c r="CB182" s="20">
        <f t="shared" si="171"/>
        <v>261.41767763687125</v>
      </c>
      <c r="CC182" s="59">
        <f t="shared" si="119"/>
        <v>554.75101097020456</v>
      </c>
      <c r="CD182" s="59">
        <f ca="1">AVERAGE(OFFSET($CC$3,0,0,'Données projet'!$E$12+1,1))-AVERAGE(OFFSET($H$3,0,0,'Données projet'!$E$12+1,1))</f>
        <v>201.78062426023638</v>
      </c>
      <c r="CE182" s="59">
        <f t="shared" si="148"/>
        <v>183.0364139873468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3.5233581302260659</v>
      </c>
      <c r="CL182" s="21">
        <f>EXP(-LN(2)/25)*CL181+(1-EXP(-LN(2)/25))/(LN(2)/25)*Calculateur!CG182*Calculateur!CI182*VLOOKUP('Données projet'!$B$12,Paramètres!$A$1:$I$89,3,0)*0.475*44/12</f>
        <v>0.85764905559615368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4.3810071858222193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5.8967999999999865</v>
      </c>
      <c r="D183" s="11">
        <f t="shared" si="140"/>
        <v>2.2103890186494075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3.1290904984260819</v>
      </c>
      <c r="H183" s="67">
        <f t="shared" si="110"/>
        <v>270.7866875408144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346.2919953121168</v>
      </c>
      <c r="T183" s="59">
        <f t="shared" si="142"/>
        <v>255.63939678041237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22.527763788419712</v>
      </c>
      <c r="AA183" s="21">
        <f>EXP(-LN(2)/25)*AA182+(1-EXP(-LN(2)/25))/(LN(2)/25)*Calculateur!V183*Calculateur!X183*VLOOKUP('Données projet'!$B$9,Paramètres!$A$1:$I$89,3,0)*0.475*44/12</f>
        <v>5.0114970450600858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27.539260833479798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298.32148815673816</v>
      </c>
      <c r="AO183" s="59">
        <f t="shared" si="144"/>
        <v>303.51754260758827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12.499423836854213</v>
      </c>
      <c r="AV183" s="21">
        <f>EXP(-LN(2)/25)*AV182+(1-EXP(-LN(2)/25))/(LN(2)/25)*Calculateur!AQ183*Calculateur!AS183*VLOOKUP('Données projet'!$B$10,Paramètres!$A$1:$I$89,3,0)*0.475*44/12</f>
        <v>2.7260445582114952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15.225468395065707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-4.2632564145606011E-13</v>
      </c>
      <c r="BE183" s="13">
        <f>BD183*VLOOKUP('Données projet'!$B$11,Paramètres!$A$1:$I$89,3,0)*VLOOKUP('Données projet'!$B$11,Paramètres!$A$1:$I$89,5,0)</f>
        <v>-2.4385826691286639E-13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287.9055604128643</v>
      </c>
      <c r="BJ183" s="59">
        <f t="shared" si="146"/>
        <v>197.74605993031139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25.614198734128408</v>
      </c>
      <c r="BQ183" s="21">
        <f>EXP(-LN(2)/25)*BQ182+(1-EXP(-LN(2)/25))/(LN(2)/25)*Calculateur!BL183*Calculateur!BN183*VLOOKUP('Données projet'!$B$11,Paramètres!$A$1:$I$89,3,0)*0.475*44/12</f>
        <v>6.2812054757284113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31.895404209856821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135.89743589743577</v>
      </c>
      <c r="BZ183" s="13">
        <f>BY183*VLOOKUP('Données projet'!$B$12,Paramètres!$A$1:$I$89,3,0)*VLOOKUP('Données projet'!$B$12,Paramètres!$A$1:$I$89,5,0)</f>
        <v>118.71999999999991</v>
      </c>
      <c r="CA183" s="13">
        <f t="shared" si="170"/>
        <v>31.376274241265865</v>
      </c>
      <c r="CB183" s="20">
        <f t="shared" si="171"/>
        <v>261.41767763687125</v>
      </c>
      <c r="CC183" s="59">
        <f t="shared" si="119"/>
        <v>554.75101097020456</v>
      </c>
      <c r="CD183" s="59">
        <f ca="1">AVERAGE(OFFSET($CC$3,0,0,'Données projet'!$E$12+1,1))-AVERAGE(OFFSET($H$3,0,0,'Données projet'!$E$12+1,1))</f>
        <v>201.78062426023638</v>
      </c>
      <c r="CE183" s="59">
        <f t="shared" si="148"/>
        <v>183.0364139873468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3.4542672263285925</v>
      </c>
      <c r="CL183" s="21">
        <f>EXP(-LN(2)/25)*CL182+(1-EXP(-LN(2)/25))/(LN(2)/25)*Calculateur!CG183*Calculateur!CI183*VLOOKUP('Données projet'!$B$12,Paramètres!$A$1:$I$89,3,0)*0.475*44/12</f>
        <v>0.83419659706907323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4.2884638233976657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5.9295599999999862</v>
      </c>
      <c r="D184" s="11">
        <f t="shared" si="140"/>
        <v>2.2212360716292872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3.1459212908042815</v>
      </c>
      <c r="H184" s="67">
        <f t="shared" si="110"/>
        <v>270.86263649142097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346.2919953121168</v>
      </c>
      <c r="T184" s="59">
        <f t="shared" si="142"/>
        <v>255.63939678041237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22.086008081107941</v>
      </c>
      <c r="AA184" s="21">
        <f>EXP(-LN(2)/25)*AA183+(1-EXP(-LN(2)/25))/(LN(2)/25)*Calculateur!V184*Calculateur!X184*VLOOKUP('Données projet'!$B$9,Paramètres!$A$1:$I$89,3,0)*0.475*44/12</f>
        <v>4.8744573948197418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26.960465475927684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298.32148815673816</v>
      </c>
      <c r="AO184" s="59">
        <f t="shared" si="144"/>
        <v>303.51754260758827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12.254317759309245</v>
      </c>
      <c r="AV184" s="21">
        <f>EXP(-LN(2)/25)*AV183+(1-EXP(-LN(2)/25))/(LN(2)/25)*Calculateur!AQ184*Calculateur!AS184*VLOOKUP('Données projet'!$B$10,Paramètres!$A$1:$I$89,3,0)*0.475*44/12</f>
        <v>2.6515007264107489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14.905818485719994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-4.2632564145606011E-13</v>
      </c>
      <c r="BE184" s="13">
        <f>BD184*VLOOKUP('Données projet'!$B$11,Paramètres!$A$1:$I$89,3,0)*VLOOKUP('Données projet'!$B$11,Paramètres!$A$1:$I$89,5,0)</f>
        <v>-2.4385826691286639E-13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287.9055604128643</v>
      </c>
      <c r="BJ184" s="59">
        <f t="shared" si="146"/>
        <v>197.74605993031139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25.111919920070722</v>
      </c>
      <c r="BQ184" s="21">
        <f>EXP(-LN(2)/25)*BQ183+(1-EXP(-LN(2)/25))/(LN(2)/25)*Calculateur!BL184*Calculateur!BN184*VLOOKUP('Données projet'!$B$11,Paramètres!$A$1:$I$89,3,0)*0.475*44/12</f>
        <v>6.1094455816803777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31.221365501751102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135.89743589743577</v>
      </c>
      <c r="BZ184" s="13">
        <f>BY184*VLOOKUP('Données projet'!$B$12,Paramètres!$A$1:$I$89,3,0)*VLOOKUP('Données projet'!$B$12,Paramètres!$A$1:$I$89,5,0)</f>
        <v>118.71999999999991</v>
      </c>
      <c r="CA184" s="13">
        <f t="shared" si="170"/>
        <v>31.376274241265865</v>
      </c>
      <c r="CB184" s="20">
        <f t="shared" si="171"/>
        <v>261.41767763687125</v>
      </c>
      <c r="CC184" s="59">
        <f t="shared" si="119"/>
        <v>554.75101097020456</v>
      </c>
      <c r="CD184" s="59">
        <f ca="1">AVERAGE(OFFSET($CC$3,0,0,'Données projet'!$E$12+1,1))-AVERAGE(OFFSET($H$3,0,0,'Données projet'!$E$12+1,1))</f>
        <v>201.78062426023638</v>
      </c>
      <c r="CE184" s="59">
        <f t="shared" si="148"/>
        <v>183.0364139873468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3.3865311529152584</v>
      </c>
      <c r="CL184" s="21">
        <f>EXP(-LN(2)/25)*CL183+(1-EXP(-LN(2)/25))/(LN(2)/25)*Calculateur!CG184*Calculateur!CI184*VLOOKUP('Données projet'!$B$12,Paramètres!$A$1:$I$89,3,0)*0.475*44/12</f>
        <v>0.81138544725372697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4.1979166001689858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5.9623199999999859</v>
      </c>
      <c r="D185" s="11">
        <f t="shared" si="140"/>
        <v>2.2320761511403138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3.1627493916681857</v>
      </c>
      <c r="H185" s="67">
        <f t="shared" si="110"/>
        <v>270.93857329656936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346.2919953121168</v>
      </c>
      <c r="T185" s="59">
        <f t="shared" si="142"/>
        <v>255.63939678041237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21.65291493377218</v>
      </c>
      <c r="AA185" s="21">
        <f>EXP(-LN(2)/25)*AA184+(1-EXP(-LN(2)/25))/(LN(2)/25)*Calculateur!V185*Calculateur!X185*VLOOKUP('Données projet'!$B$9,Paramètres!$A$1:$I$89,3,0)*0.475*44/12</f>
        <v>4.7411651010218225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26.394080034794001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298.32148815673816</v>
      </c>
      <c r="AO185" s="59">
        <f t="shared" si="144"/>
        <v>303.51754260758827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12.014018062444988</v>
      </c>
      <c r="AV185" s="21">
        <f>EXP(-LN(2)/25)*AV184+(1-EXP(-LN(2)/25))/(LN(2)/25)*Calculateur!AQ185*Calculateur!AS185*VLOOKUP('Données projet'!$B$10,Paramètres!$A$1:$I$89,3,0)*0.475*44/12</f>
        <v>2.5789952996106837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14.593013362055672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-4.2632564145606011E-13</v>
      </c>
      <c r="BE185" s="13">
        <f>BD185*VLOOKUP('Données projet'!$B$11,Paramètres!$A$1:$I$89,3,0)*VLOOKUP('Données projet'!$B$11,Paramètres!$A$1:$I$89,5,0)</f>
        <v>-2.4385826691286639E-13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287.9055604128643</v>
      </c>
      <c r="BJ185" s="59">
        <f t="shared" si="146"/>
        <v>197.74605993031139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24.619490487196881</v>
      </c>
      <c r="BQ185" s="21">
        <f>EXP(-LN(2)/25)*BQ184+(1-EXP(-LN(2)/25))/(LN(2)/25)*Calculateur!BL185*Calculateur!BN185*VLOOKUP('Données projet'!$B$11,Paramètres!$A$1:$I$89,3,0)*0.475*44/12</f>
        <v>5.9423824709675479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30.561872958164429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135.89743589743577</v>
      </c>
      <c r="BZ185" s="13">
        <f>BY185*VLOOKUP('Données projet'!$B$12,Paramètres!$A$1:$I$89,3,0)*VLOOKUP('Données projet'!$B$12,Paramètres!$A$1:$I$89,5,0)</f>
        <v>118.71999999999991</v>
      </c>
      <c r="CA185" s="13">
        <f t="shared" si="170"/>
        <v>31.376274241265865</v>
      </c>
      <c r="CB185" s="20">
        <f t="shared" si="171"/>
        <v>261.41767763687125</v>
      </c>
      <c r="CC185" s="59">
        <f t="shared" si="119"/>
        <v>554.75101097020456</v>
      </c>
      <c r="CD185" s="59">
        <f ca="1">AVERAGE(OFFSET($CC$3,0,0,'Données projet'!$E$12+1,1))-AVERAGE(OFFSET($H$3,0,0,'Données projet'!$E$12+1,1))</f>
        <v>201.78062426023638</v>
      </c>
      <c r="CE185" s="59">
        <f t="shared" si="148"/>
        <v>183.0364139873468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3.3201233425866343</v>
      </c>
      <c r="CL185" s="21">
        <f>EXP(-LN(2)/25)*CL184+(1-EXP(-LN(2)/25))/(LN(2)/25)*Calculateur!CG185*Calculateur!CI185*VLOOKUP('Données projet'!$B$12,Paramètres!$A$1:$I$89,3,0)*0.475*44/12</f>
        <v>0.78919806952966753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4.1093214121163015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5.9950799999999855</v>
      </c>
      <c r="D186" s="11">
        <f t="shared" si="140"/>
        <v>2.2429092999449591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3.1795748175226102</v>
      </c>
      <c r="H186" s="67">
        <f t="shared" si="110"/>
        <v>271.01449803073746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346.2919953121168</v>
      </c>
      <c r="T186" s="59">
        <f t="shared" si="142"/>
        <v>255.63939678041237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21.228314478894937</v>
      </c>
      <c r="AA186" s="21">
        <f>EXP(-LN(2)/25)*AA185+(1-EXP(-LN(2)/25))/(LN(2)/25)*Calculateur!V186*Calculateur!X186*VLOOKUP('Données projet'!$B$9,Paramètres!$A$1:$I$89,3,0)*0.475*44/12</f>
        <v>4.611517692007344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25.83983217090228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298.32148815673816</v>
      </c>
      <c r="AO186" s="59">
        <f t="shared" si="144"/>
        <v>303.51754260758827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11.778430496067896</v>
      </c>
      <c r="AV186" s="21">
        <f>EXP(-LN(2)/25)*AV185+(1-EXP(-LN(2)/25))/(LN(2)/25)*Calculateur!AQ186*Calculateur!AS186*VLOOKUP('Données projet'!$B$10,Paramètres!$A$1:$I$89,3,0)*0.475*44/12</f>
        <v>2.5084725375193613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14.286903033587258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-4.2632564145606011E-13</v>
      </c>
      <c r="BE186" s="13">
        <f>BD186*VLOOKUP('Données projet'!$B$11,Paramètres!$A$1:$I$89,3,0)*VLOOKUP('Données projet'!$B$11,Paramètres!$A$1:$I$89,5,0)</f>
        <v>-2.4385826691286639E-13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287.9055604128643</v>
      </c>
      <c r="BJ186" s="59">
        <f t="shared" si="146"/>
        <v>197.74605993031139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24.136717295149399</v>
      </c>
      <c r="BQ186" s="21">
        <f>EXP(-LN(2)/25)*BQ185+(1-EXP(-LN(2)/25))/(LN(2)/25)*Calculateur!BL186*Calculateur!BN186*VLOOKUP('Données projet'!$B$11,Paramètres!$A$1:$I$89,3,0)*0.475*44/12</f>
        <v>5.7798877098026278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29.916605004952025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135.89743589743577</v>
      </c>
      <c r="BZ186" s="13">
        <f>BY186*VLOOKUP('Données projet'!$B$12,Paramètres!$A$1:$I$89,3,0)*VLOOKUP('Données projet'!$B$12,Paramètres!$A$1:$I$89,5,0)</f>
        <v>118.71999999999991</v>
      </c>
      <c r="CA186" s="13">
        <f t="shared" si="170"/>
        <v>31.376274241265865</v>
      </c>
      <c r="CB186" s="20">
        <f t="shared" si="171"/>
        <v>261.41767763687125</v>
      </c>
      <c r="CC186" s="59">
        <f t="shared" si="119"/>
        <v>554.75101097020456</v>
      </c>
      <c r="CD186" s="59">
        <f ca="1">AVERAGE(OFFSET($CC$3,0,0,'Données projet'!$E$12+1,1))-AVERAGE(OFFSET($H$3,0,0,'Données projet'!$E$12+1,1))</f>
        <v>201.78062426023638</v>
      </c>
      <c r="CE186" s="59">
        <f t="shared" si="148"/>
        <v>183.0364139873468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3.2550177489137897</v>
      </c>
      <c r="CL186" s="21">
        <f>EXP(-LN(2)/25)*CL185+(1-EXP(-LN(2)/25))/(LN(2)/25)*Calculateur!CG186*Calculateur!CI186*VLOOKUP('Données projet'!$B$12,Paramètres!$A$1:$I$89,3,0)*0.475*44/12</f>
        <v>0.76761740681625601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4.0226351557300459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6.0278399999999852</v>
      </c>
      <c r="D187" s="11">
        <f t="shared" si="140"/>
        <v>2.253735560311299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3.1963975846815482</v>
      </c>
      <c r="H187" s="67">
        <f t="shared" si="110"/>
        <v>271.09041076754215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346.2919953121168</v>
      </c>
      <c r="T187" s="59">
        <f t="shared" si="142"/>
        <v>255.63939678041237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20.81204017995713</v>
      </c>
      <c r="AA187" s="21">
        <f>EXP(-LN(2)/25)*AA186+(1-EXP(-LN(2)/25))/(LN(2)/25)*Calculateur!V187*Calculateur!X187*VLOOKUP('Données projet'!$B$9,Paramètres!$A$1:$I$89,3,0)*0.475*44/12</f>
        <v>4.4854154982102274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25.297455678167356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298.32148815673816</v>
      </c>
      <c r="AO187" s="59">
        <f t="shared" si="144"/>
        <v>303.51754260758827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11.547462658173233</v>
      </c>
      <c r="AV187" s="21">
        <f>EXP(-LN(2)/25)*AV186+(1-EXP(-LN(2)/25))/(LN(2)/25)*Calculateur!AQ187*Calculateur!AS187*VLOOKUP('Données projet'!$B$10,Paramètres!$A$1:$I$89,3,0)*0.475*44/12</f>
        <v>2.4398782240660566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13.987340882239289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-4.2632564145606011E-13</v>
      </c>
      <c r="BE187" s="13">
        <f>BD187*VLOOKUP('Données projet'!$B$11,Paramètres!$A$1:$I$89,3,0)*VLOOKUP('Données projet'!$B$11,Paramètres!$A$1:$I$89,5,0)</f>
        <v>-2.4385826691286639E-13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287.9055604128643</v>
      </c>
      <c r="BJ187" s="59">
        <f t="shared" si="146"/>
        <v>197.74605993031139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23.663410990935397</v>
      </c>
      <c r="BQ187" s="21">
        <f>EXP(-LN(2)/25)*BQ186+(1-EXP(-LN(2)/25))/(LN(2)/25)*Calculateur!BL187*Calculateur!BN187*VLOOKUP('Données projet'!$B$11,Paramètres!$A$1:$I$89,3,0)*0.475*44/12</f>
        <v>5.6218363764269901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29.285247367362388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135.89743589743577</v>
      </c>
      <c r="BZ187" s="13">
        <f>BY187*VLOOKUP('Données projet'!$B$12,Paramètres!$A$1:$I$89,3,0)*VLOOKUP('Données projet'!$B$12,Paramètres!$A$1:$I$89,5,0)</f>
        <v>118.71999999999991</v>
      </c>
      <c r="CA187" s="13">
        <f t="shared" si="170"/>
        <v>31.376274241265865</v>
      </c>
      <c r="CB187" s="20">
        <f t="shared" si="171"/>
        <v>261.41767763687125</v>
      </c>
      <c r="CC187" s="59">
        <f t="shared" si="119"/>
        <v>554.75101097020456</v>
      </c>
      <c r="CD187" s="59">
        <f ca="1">AVERAGE(OFFSET($CC$3,0,0,'Données projet'!$E$12+1,1))-AVERAGE(OFFSET($H$3,0,0,'Données projet'!$E$12+1,1))</f>
        <v>201.78062426023638</v>
      </c>
      <c r="CE187" s="59">
        <f t="shared" si="148"/>
        <v>183.0364139873468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3.1911888362223788</v>
      </c>
      <c r="CL187" s="21">
        <f>EXP(-LN(2)/25)*CL186+(1-EXP(-LN(2)/25))/(LN(2)/25)*Calculateur!CG187*Calculateur!CI187*VLOOKUP('Données projet'!$B$12,Paramètres!$A$1:$I$89,3,0)*0.475*44/12</f>
        <v>0.74662686845962045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3.9378157046819995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6.0605999999999849</v>
      </c>
      <c r="D188" s="11">
        <f t="shared" si="140"/>
        <v>2.2645549740213786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3.2132177092714032</v>
      </c>
      <c r="H188" s="67">
        <f t="shared" si="110"/>
        <v>271.16631157975388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346.2919953121168</v>
      </c>
      <c r="T188" s="59">
        <f t="shared" si="142"/>
        <v>255.63939678041237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20.403928766119243</v>
      </c>
      <c r="AA188" s="21">
        <f>EXP(-LN(2)/25)*AA187+(1-EXP(-LN(2)/25))/(LN(2)/25)*Calculateur!V188*Calculateur!X188*VLOOKUP('Données projet'!$B$9,Paramètres!$A$1:$I$89,3,0)*0.475*44/12</f>
        <v>4.3627615755339191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24.766690341653163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298.32148815673816</v>
      </c>
      <c r="AO188" s="59">
        <f t="shared" si="144"/>
        <v>303.51754260758827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11.321023958703213</v>
      </c>
      <c r="AV188" s="21">
        <f>EXP(-LN(2)/25)*AV187+(1-EXP(-LN(2)/25))/(LN(2)/25)*Calculateur!AQ188*Calculateur!AS188*VLOOKUP('Données projet'!$B$10,Paramètres!$A$1:$I$89,3,0)*0.475*44/12</f>
        <v>2.373159625721351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13.694183584424565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-4.2632564145606011E-13</v>
      </c>
      <c r="BE188" s="13">
        <f>BD188*VLOOKUP('Données projet'!$B$11,Paramètres!$A$1:$I$89,3,0)*VLOOKUP('Données projet'!$B$11,Paramètres!$A$1:$I$89,5,0)</f>
        <v>-2.4385826691286639E-13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287.9055604128643</v>
      </c>
      <c r="BJ188" s="59">
        <f t="shared" si="146"/>
        <v>197.74605993031139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23.199385934658693</v>
      </c>
      <c r="BQ188" s="21">
        <f>EXP(-LN(2)/25)*BQ187+(1-EXP(-LN(2)/25))/(LN(2)/25)*Calculateur!BL188*Calculateur!BN188*VLOOKUP('Données projet'!$B$11,Paramètres!$A$1:$I$89,3,0)*0.475*44/12</f>
        <v>5.4681069650740675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28.66749289973276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135.89743589743577</v>
      </c>
      <c r="BZ188" s="13">
        <f>BY188*VLOOKUP('Données projet'!$B$12,Paramètres!$A$1:$I$89,3,0)*VLOOKUP('Données projet'!$B$12,Paramètres!$A$1:$I$89,5,0)</f>
        <v>118.71999999999991</v>
      </c>
      <c r="CA188" s="13">
        <f t="shared" si="170"/>
        <v>31.376274241265865</v>
      </c>
      <c r="CB188" s="20">
        <f t="shared" si="171"/>
        <v>261.41767763687125</v>
      </c>
      <c r="CC188" s="59">
        <f t="shared" si="119"/>
        <v>554.75101097020456</v>
      </c>
      <c r="CD188" s="59">
        <f ca="1">AVERAGE(OFFSET($CC$3,0,0,'Données projet'!$E$12+1,1))-AVERAGE(OFFSET($H$3,0,0,'Données projet'!$E$12+1,1))</f>
        <v>201.78062426023638</v>
      </c>
      <c r="CE188" s="59">
        <f t="shared" si="148"/>
        <v>183.0364139873468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3.1286115695770538</v>
      </c>
      <c r="CL188" s="21">
        <f>EXP(-LN(2)/25)*CL187+(1-EXP(-LN(2)/25))/(LN(2)/25)*Calculateur!CG188*Calculateur!CI188*VLOOKUP('Données projet'!$B$12,Paramètres!$A$1:$I$89,3,0)*0.475*44/12</f>
        <v>0.72621031747819154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3.8548218870552455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6.0933599999999846</v>
      </c>
      <c r="D189" s="11">
        <f t="shared" si="140"/>
        <v>2.2753675823794004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3.2300352072341494</v>
      </c>
      <c r="H189" s="67">
        <f t="shared" si="110"/>
        <v>271.24220053931077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346.2919953121168</v>
      </c>
      <c r="T189" s="59">
        <f t="shared" si="142"/>
        <v>255.63939678041237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20.003820168183335</v>
      </c>
      <c r="AA189" s="21">
        <f>EXP(-LN(2)/25)*AA188+(1-EXP(-LN(2)/25))/(LN(2)/25)*Calculateur!V189*Calculateur!X189*VLOOKUP('Données projet'!$B$9,Paramètres!$A$1:$I$89,3,0)*0.475*44/12</f>
        <v>4.2434616308232842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24.247281799006618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298.32148815673816</v>
      </c>
      <c r="AO189" s="59">
        <f t="shared" si="144"/>
        <v>303.51754260758827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11.099025584015832</v>
      </c>
      <c r="AV189" s="21">
        <f>EXP(-LN(2)/25)*AV188+(1-EXP(-LN(2)/25))/(LN(2)/25)*Calculateur!AQ189*Calculateur!AS189*VLOOKUP('Données projet'!$B$10,Paramètres!$A$1:$I$89,3,0)*0.475*44/12</f>
        <v>2.3082654509569598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13.407291034972792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-4.2632564145606011E-13</v>
      </c>
      <c r="BE189" s="13">
        <f>BD189*VLOOKUP('Données projet'!$B$11,Paramètres!$A$1:$I$89,3,0)*VLOOKUP('Données projet'!$B$11,Paramètres!$A$1:$I$89,5,0)</f>
        <v>-2.4385826691286639E-13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287.9055604128643</v>
      </c>
      <c r="BJ189" s="59">
        <f t="shared" si="146"/>
        <v>197.74605993031139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22.744460126708237</v>
      </c>
      <c r="BQ189" s="21">
        <f>EXP(-LN(2)/25)*BQ188+(1-EXP(-LN(2)/25))/(LN(2)/25)*Calculateur!BL189*Calculateur!BN189*VLOOKUP('Données projet'!$B$11,Paramètres!$A$1:$I$89,3,0)*0.475*44/12</f>
        <v>5.3185812925588696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28.063041419267108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135.89743589743577</v>
      </c>
      <c r="BZ189" s="13">
        <f>BY189*VLOOKUP('Données projet'!$B$12,Paramètres!$A$1:$I$89,3,0)*VLOOKUP('Données projet'!$B$12,Paramètres!$A$1:$I$89,5,0)</f>
        <v>118.71999999999991</v>
      </c>
      <c r="CA189" s="13">
        <f t="shared" si="170"/>
        <v>31.376274241265865</v>
      </c>
      <c r="CB189" s="20">
        <f t="shared" si="171"/>
        <v>261.41767763687125</v>
      </c>
      <c r="CC189" s="59">
        <f t="shared" si="119"/>
        <v>554.75101097020456</v>
      </c>
      <c r="CD189" s="59">
        <f ca="1">AVERAGE(OFFSET($CC$3,0,0,'Données projet'!$E$12+1,1))-AVERAGE(OFFSET($H$3,0,0,'Données projet'!$E$12+1,1))</f>
        <v>201.78062426023638</v>
      </c>
      <c r="CE189" s="59">
        <f t="shared" si="148"/>
        <v>183.0364139873468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3.0672614049622795</v>
      </c>
      <c r="CL189" s="21">
        <f>EXP(-LN(2)/25)*CL188+(1-EXP(-LN(2)/25))/(LN(2)/25)*Calculateur!CG189*Calculateur!CI189*VLOOKUP('Données projet'!$B$12,Paramètres!$A$1:$I$89,3,0)*0.475*44/12</f>
        <v>0.70635205815700952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3.7736134631192888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6.1261199999999842</v>
      </c>
      <c r="D190" s="11">
        <f t="shared" si="140"/>
        <v>2.2861734262197282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3.2468500943304157</v>
      </c>
      <c r="H190" s="67">
        <f t="shared" si="110"/>
        <v>271.3180777173327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346.2919953121168</v>
      </c>
      <c r="T190" s="59">
        <f t="shared" si="142"/>
        <v>255.63939678041237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19.6115574558108</v>
      </c>
      <c r="AA190" s="21">
        <f>EXP(-LN(2)/25)*AA189+(1-EXP(-LN(2)/25))/(LN(2)/25)*Calculateur!V190*Calculateur!X190*VLOOKUP('Données projet'!$B$9,Paramètres!$A$1:$I$89,3,0)*0.475*44/12</f>
        <v>4.1274239493744727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23.738981405185271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298.32148815673816</v>
      </c>
      <c r="AO190" s="59">
        <f t="shared" si="144"/>
        <v>303.51754260758827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10.881380462050432</v>
      </c>
      <c r="AV190" s="21">
        <f>EXP(-LN(2)/25)*AV189+(1-EXP(-LN(2)/25))/(LN(2)/25)*Calculateur!AQ190*Calculateur!AS190*VLOOKUP('Données projet'!$B$10,Paramètres!$A$1:$I$89,3,0)*0.475*44/12</f>
        <v>2.2451458108141371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13.126526272864568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-4.2632564145606011E-13</v>
      </c>
      <c r="BE190" s="13">
        <f>BD190*VLOOKUP('Données projet'!$B$11,Paramètres!$A$1:$I$89,3,0)*VLOOKUP('Données projet'!$B$11,Paramètres!$A$1:$I$89,5,0)</f>
        <v>-2.4385826691286639E-13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287.9055604128643</v>
      </c>
      <c r="BJ190" s="59">
        <f t="shared" si="146"/>
        <v>197.74605993031139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22.298455136374347</v>
      </c>
      <c r="BQ190" s="21">
        <f>EXP(-LN(2)/25)*BQ189+(1-EXP(-LN(2)/25))/(LN(2)/25)*Calculateur!BL190*Calculateur!BN190*VLOOKUP('Données projet'!$B$11,Paramètres!$A$1:$I$89,3,0)*0.475*44/12</f>
        <v>5.1731444074218125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27.47159954379616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135.89743589743577</v>
      </c>
      <c r="BZ190" s="13">
        <f>BY190*VLOOKUP('Données projet'!$B$12,Paramètres!$A$1:$I$89,3,0)*VLOOKUP('Données projet'!$B$12,Paramètres!$A$1:$I$89,5,0)</f>
        <v>118.71999999999991</v>
      </c>
      <c r="CA190" s="13">
        <f t="shared" si="170"/>
        <v>31.376274241265865</v>
      </c>
      <c r="CB190" s="20">
        <f t="shared" si="171"/>
        <v>261.41767763687125</v>
      </c>
      <c r="CC190" s="59">
        <f t="shared" si="119"/>
        <v>554.75101097020456</v>
      </c>
      <c r="CD190" s="59">
        <f ca="1">AVERAGE(OFFSET($CC$3,0,0,'Données projet'!$E$12+1,1))-AVERAGE(OFFSET($H$3,0,0,'Données projet'!$E$12+1,1))</f>
        <v>201.78062426023638</v>
      </c>
      <c r="CE190" s="59">
        <f t="shared" si="148"/>
        <v>183.0364139873468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3.0071142796556956</v>
      </c>
      <c r="CL190" s="21">
        <f>EXP(-LN(2)/25)*CL189+(1-EXP(-LN(2)/25))/(LN(2)/25)*Calculateur!CG190*Calculateur!CI190*VLOOKUP('Données projet'!$B$12,Paramètres!$A$1:$I$89,3,0)*0.475*44/12</f>
        <v>0.68703682398126575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3.6941511036369614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6.1588799999999839</v>
      </c>
      <c r="D191" s="11">
        <f t="shared" si="140"/>
        <v>2.2969725459147137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3.2636623861425158</v>
      </c>
      <c r="H191" s="67">
        <f t="shared" si="110"/>
        <v>271.3939431841348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346.2919953121168</v>
      </c>
      <c r="T191" s="59">
        <f t="shared" si="142"/>
        <v>255.63939678041237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19.226986775971262</v>
      </c>
      <c r="AA191" s="21">
        <f>EXP(-LN(2)/25)*AA190+(1-EXP(-LN(2)/25))/(LN(2)/25)*Calculateur!V191*Calculateur!X191*VLOOKUP('Données projet'!$B$9,Paramètres!$A$1:$I$89,3,0)*0.475*44/12</f>
        <v>4.0145593244270357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23.241546100398299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298.32148815673816</v>
      </c>
      <c r="AO191" s="59">
        <f t="shared" si="144"/>
        <v>303.51754260758827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10.668003228176357</v>
      </c>
      <c r="AV191" s="21">
        <f>EXP(-LN(2)/25)*AV190+(1-EXP(-LN(2)/25))/(LN(2)/25)*Calculateur!AQ191*Calculateur!AS191*VLOOKUP('Données projet'!$B$10,Paramètres!$A$1:$I$89,3,0)*0.475*44/12</f>
        <v>2.1837521805503375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12.851755408726694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-4.2632564145606011E-13</v>
      </c>
      <c r="BE191" s="13">
        <f>BD191*VLOOKUP('Données projet'!$B$11,Paramètres!$A$1:$I$89,3,0)*VLOOKUP('Données projet'!$B$11,Paramètres!$A$1:$I$89,5,0)</f>
        <v>-2.4385826691286639E-13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287.9055604128643</v>
      </c>
      <c r="BJ191" s="59">
        <f t="shared" si="146"/>
        <v>197.74605993031139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21.861196031864722</v>
      </c>
      <c r="BQ191" s="21">
        <f>EXP(-LN(2)/25)*BQ190+(1-EXP(-LN(2)/25))/(LN(2)/25)*Calculateur!BL191*Calculateur!BN191*VLOOKUP('Données projet'!$B$11,Paramètres!$A$1:$I$89,3,0)*0.475*44/12</f>
        <v>5.031684501557022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26.892880533421746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135.89743589743577</v>
      </c>
      <c r="BZ191" s="13">
        <f>BY191*VLOOKUP('Données projet'!$B$12,Paramètres!$A$1:$I$89,3,0)*VLOOKUP('Données projet'!$B$12,Paramètres!$A$1:$I$89,5,0)</f>
        <v>118.71999999999991</v>
      </c>
      <c r="CA191" s="13">
        <f t="shared" si="170"/>
        <v>31.376274241265865</v>
      </c>
      <c r="CB191" s="20">
        <f t="shared" si="171"/>
        <v>261.41767763687125</v>
      </c>
      <c r="CC191" s="59">
        <f t="shared" si="119"/>
        <v>554.75101097020456</v>
      </c>
      <c r="CD191" s="59">
        <f ca="1">AVERAGE(OFFSET($CC$3,0,0,'Données projet'!$E$12+1,1))-AVERAGE(OFFSET($H$3,0,0,'Données projet'!$E$12+1,1))</f>
        <v>201.78062426023638</v>
      </c>
      <c r="CE191" s="59">
        <f t="shared" si="148"/>
        <v>183.0364139873468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2.9481466027902496</v>
      </c>
      <c r="CL191" s="21">
        <f>EXP(-LN(2)/25)*CL190+(1-EXP(-LN(2)/25))/(LN(2)/25)*Calculateur!CG191*Calculateur!CI191*VLOOKUP('Données projet'!$B$12,Paramètres!$A$1:$I$89,3,0)*0.475*44/12</f>
        <v>0.66824976589980167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3.6163963686900513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6.1916399999999836</v>
      </c>
      <c r="D192" s="11">
        <f t="shared" si="140"/>
        <v>2.3077649813823538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3.2804720980773943</v>
      </c>
      <c r="H192" s="67">
        <f t="shared" si="110"/>
        <v>271.46979700924095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346.2919953121168</v>
      </c>
      <c r="T192" s="59">
        <f t="shared" si="142"/>
        <v>255.63939678041237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18.849957292598425</v>
      </c>
      <c r="AA192" s="21">
        <f>EXP(-LN(2)/25)*AA191+(1-EXP(-LN(2)/25))/(LN(2)/25)*Calculateur!V192*Calculateur!X192*VLOOKUP('Données projet'!$B$9,Paramètres!$A$1:$I$89,3,0)*0.475*44/12</f>
        <v>3.9047809885840787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22.754738281182505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298.32148815673816</v>
      </c>
      <c r="AO192" s="59">
        <f t="shared" si="144"/>
        <v>303.51754260758827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10.45881019171129</v>
      </c>
      <c r="AV192" s="21">
        <f>EXP(-LN(2)/25)*AV191+(1-EXP(-LN(2)/25))/(LN(2)/25)*Calculateur!AQ192*Calculateur!AS192*VLOOKUP('Données projet'!$B$10,Paramètres!$A$1:$I$89,3,0)*0.475*44/12</f>
        <v>2.1240373623346525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12.582847554045943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-4.2632564145606011E-13</v>
      </c>
      <c r="BE192" s="13">
        <f>BD192*VLOOKUP('Données projet'!$B$11,Paramètres!$A$1:$I$89,3,0)*VLOOKUP('Données projet'!$B$11,Paramètres!$A$1:$I$89,5,0)</f>
        <v>-2.4385826691286639E-13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287.9055604128643</v>
      </c>
      <c r="BJ192" s="59">
        <f t="shared" si="146"/>
        <v>197.74605993031139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21.43251131169281</v>
      </c>
      <c r="BQ192" s="21">
        <f>EXP(-LN(2)/25)*BQ191+(1-EXP(-LN(2)/25))/(LN(2)/25)*Calculateur!BL192*Calculateur!BN192*VLOOKUP('Données projet'!$B$11,Paramètres!$A$1:$I$89,3,0)*0.475*44/12</f>
        <v>4.8940928242571573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26.326604135949967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135.89743589743577</v>
      </c>
      <c r="BZ192" s="13">
        <f>BY192*VLOOKUP('Données projet'!$B$12,Paramètres!$A$1:$I$89,3,0)*VLOOKUP('Données projet'!$B$12,Paramètres!$A$1:$I$89,5,0)</f>
        <v>118.71999999999991</v>
      </c>
      <c r="CA192" s="13">
        <f t="shared" si="170"/>
        <v>31.376274241265865</v>
      </c>
      <c r="CB192" s="20">
        <f t="shared" si="171"/>
        <v>261.41767763687125</v>
      </c>
      <c r="CC192" s="59">
        <f t="shared" si="119"/>
        <v>554.75101097020456</v>
      </c>
      <c r="CD192" s="59">
        <f ca="1">AVERAGE(OFFSET($CC$3,0,0,'Données projet'!$E$12+1,1))-AVERAGE(OFFSET($H$3,0,0,'Données projet'!$E$12+1,1))</f>
        <v>201.78062426023638</v>
      </c>
      <c r="CE192" s="59">
        <f t="shared" si="148"/>
        <v>183.0364139873468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2.890335246101404</v>
      </c>
      <c r="CL192" s="21">
        <f>EXP(-LN(2)/25)*CL191+(1-EXP(-LN(2)/25))/(LN(2)/25)*Calculateur!CG192*Calculateur!CI192*VLOOKUP('Données projet'!$B$12,Paramètres!$A$1:$I$89,3,0)*0.475*44/12</f>
        <v>0.64997644090954376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3.5403116870109477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6.2243999999999833</v>
      </c>
      <c r="D193" s="11">
        <f t="shared" si="140"/>
        <v>2.3185507720937788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3.2972792453695221</v>
      </c>
      <c r="H193" s="67">
        <f t="shared" si="110"/>
        <v>271.54563926139667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346.2919953121168</v>
      </c>
      <c r="T193" s="59">
        <f t="shared" si="142"/>
        <v>255.63939678041237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18.480321127429249</v>
      </c>
      <c r="AA193" s="21">
        <f>EXP(-LN(2)/25)*AA192+(1-EXP(-LN(2)/25))/(LN(2)/25)*Calculateur!V193*Calculateur!X193*VLOOKUP('Données projet'!$B$9,Paramètres!$A$1:$I$89,3,0)*0.475*44/12</f>
        <v>3.7980045471077393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22.278325674536987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298.32148815673816</v>
      </c>
      <c r="AO193" s="59">
        <f t="shared" si="144"/>
        <v>303.51754260758827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10.253719303096151</v>
      </c>
      <c r="AV193" s="21">
        <f>EXP(-LN(2)/25)*AV192+(1-EXP(-LN(2)/25))/(LN(2)/25)*Calculateur!AQ193*Calculateur!AS193*VLOOKUP('Données projet'!$B$10,Paramètres!$A$1:$I$89,3,0)*0.475*44/12</f>
        <v>2.0659554489633409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12.319674752059491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-4.2632564145606011E-13</v>
      </c>
      <c r="BE193" s="13">
        <f>BD193*VLOOKUP('Données projet'!$B$11,Paramètres!$A$1:$I$89,3,0)*VLOOKUP('Données projet'!$B$11,Paramètres!$A$1:$I$89,5,0)</f>
        <v>-2.4385826691286639E-13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287.9055604128643</v>
      </c>
      <c r="BJ193" s="59">
        <f t="shared" si="146"/>
        <v>197.74605993031139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21.012232837411609</v>
      </c>
      <c r="BQ193" s="21">
        <f>EXP(-LN(2)/25)*BQ192+(1-EXP(-LN(2)/25))/(LN(2)/25)*Calculateur!BL193*Calculateur!BN193*VLOOKUP('Données projet'!$B$11,Paramètres!$A$1:$I$89,3,0)*0.475*44/12</f>
        <v>4.760263598608689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25.772496436020297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135.89743589743577</v>
      </c>
      <c r="BZ193" s="13">
        <f>BY193*VLOOKUP('Données projet'!$B$12,Paramètres!$A$1:$I$89,3,0)*VLOOKUP('Données projet'!$B$12,Paramètres!$A$1:$I$89,5,0)</f>
        <v>118.71999999999991</v>
      </c>
      <c r="CA193" s="13">
        <f t="shared" si="170"/>
        <v>31.376274241265865</v>
      </c>
      <c r="CB193" s="20">
        <f t="shared" si="171"/>
        <v>261.41767763687125</v>
      </c>
      <c r="CC193" s="59">
        <f t="shared" si="119"/>
        <v>554.75101097020456</v>
      </c>
      <c r="CD193" s="59">
        <f ca="1">AVERAGE(OFFSET($CC$3,0,0,'Données projet'!$E$12+1,1))-AVERAGE(OFFSET($H$3,0,0,'Données projet'!$E$12+1,1))</f>
        <v>201.78062426023638</v>
      </c>
      <c r="CE193" s="59">
        <f t="shared" si="148"/>
        <v>183.0364139873468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2.8336575348557806</v>
      </c>
      <c r="CL193" s="21">
        <f>EXP(-LN(2)/25)*CL192+(1-EXP(-LN(2)/25))/(LN(2)/25)*Calculateur!CG193*Calculateur!CI193*VLOOKUP('Données projet'!$B$12,Paramètres!$A$1:$I$89,3,0)*0.475*44/12</f>
        <v>0.6322028009520968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3.4658603358078777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6.257159999999983</v>
      </c>
      <c r="D194" s="11">
        <f t="shared" si="140"/>
        <v>2.3293299570805828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3.3140838430837274</v>
      </c>
      <c r="H194" s="67">
        <f t="shared" si="110"/>
        <v>271.62147000858198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346.2919953121168</v>
      </c>
      <c r="T194" s="59">
        <f t="shared" si="142"/>
        <v>255.63939678041237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18.117933302003244</v>
      </c>
      <c r="AA194" s="21">
        <f>EXP(-LN(2)/25)*AA193+(1-EXP(-LN(2)/25))/(LN(2)/25)*Calculateur!V194*Calculateur!X194*VLOOKUP('Données projet'!$B$9,Paramètres!$A$1:$I$89,3,0)*0.475*44/12</f>
        <v>3.6941479130386994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21.812081215041943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298.32148815673816</v>
      </c>
      <c r="AO194" s="59">
        <f t="shared" si="144"/>
        <v>303.51754260758827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10.052650121713665</v>
      </c>
      <c r="AV194" s="21">
        <f>EXP(-LN(2)/25)*AV193+(1-EXP(-LN(2)/25))/(LN(2)/25)*Calculateur!AQ194*Calculateur!AS194*VLOOKUP('Données projet'!$B$10,Paramètres!$A$1:$I$89,3,0)*0.475*44/12</f>
        <v>2.0094617885675632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12.062111910281228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-4.2632564145606011E-13</v>
      </c>
      <c r="BE194" s="13">
        <f>BD194*VLOOKUP('Données projet'!$B$11,Paramètres!$A$1:$I$89,3,0)*VLOOKUP('Données projet'!$B$11,Paramètres!$A$1:$I$89,5,0)</f>
        <v>-2.4385826691286639E-13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287.9055604128643</v>
      </c>
      <c r="BJ194" s="59">
        <f t="shared" si="146"/>
        <v>197.74605993031139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20.600195767666506</v>
      </c>
      <c r="BQ194" s="21">
        <f>EXP(-LN(2)/25)*BQ193+(1-EXP(-LN(2)/25))/(LN(2)/25)*Calculateur!BL194*Calculateur!BN194*VLOOKUP('Données projet'!$B$11,Paramètres!$A$1:$I$89,3,0)*0.475*44/12</f>
        <v>4.6300939401733512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25.230289707839859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135.89743589743577</v>
      </c>
      <c r="BZ194" s="13">
        <f>BY194*VLOOKUP('Données projet'!$B$12,Paramètres!$A$1:$I$89,3,0)*VLOOKUP('Données projet'!$B$12,Paramètres!$A$1:$I$89,5,0)</f>
        <v>118.71999999999991</v>
      </c>
      <c r="CA194" s="13">
        <f t="shared" si="170"/>
        <v>31.376274241265865</v>
      </c>
      <c r="CB194" s="20">
        <f t="shared" si="171"/>
        <v>261.41767763687125</v>
      </c>
      <c r="CC194" s="59">
        <f t="shared" si="119"/>
        <v>554.75101097020456</v>
      </c>
      <c r="CD194" s="59">
        <f ca="1">AVERAGE(OFFSET($CC$3,0,0,'Données projet'!$E$12+1,1))-AVERAGE(OFFSET($H$3,0,0,'Données projet'!$E$12+1,1))</f>
        <v>201.78062426023638</v>
      </c>
      <c r="CE194" s="59">
        <f t="shared" si="148"/>
        <v>183.0364139873468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2.7780912389576935</v>
      </c>
      <c r="CL194" s="21">
        <f>EXP(-LN(2)/25)*CL193+(1-EXP(-LN(2)/25))/(LN(2)/25)*Calculateur!CG194*Calculateur!CI194*VLOOKUP('Données projet'!$B$12,Paramètres!$A$1:$I$89,3,0)*0.475*44/12</f>
        <v>0.61491518211396134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3.3930064210716546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6.2899199999999826</v>
      </c>
      <c r="D195" s="11">
        <f t="shared" si="140"/>
        <v>2.3401025749419881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3.3308859061179543</v>
      </c>
      <c r="H195" s="67">
        <f t="shared" si="110"/>
        <v>271.69728931802393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346.2919953121168</v>
      </c>
      <c r="T195" s="59">
        <f t="shared" si="142"/>
        <v>255.63939678041237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17.762651680799095</v>
      </c>
      <c r="AA195" s="21">
        <f>EXP(-LN(2)/25)*AA194+(1-EXP(-LN(2)/25))/(LN(2)/25)*Calculateur!V195*Calculateur!X195*VLOOKUP('Données projet'!$B$9,Paramètres!$A$1:$I$89,3,0)*0.475*44/12</f>
        <v>3.5931312440898604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21.355782924888956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298.32148815673816</v>
      </c>
      <c r="AO195" s="59">
        <f t="shared" si="144"/>
        <v>303.51754260758827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9.855523784337997</v>
      </c>
      <c r="AV195" s="21">
        <f>EXP(-LN(2)/25)*AV194+(1-EXP(-LN(2)/25))/(LN(2)/25)*Calculateur!AQ195*Calculateur!AS195*VLOOKUP('Données projet'!$B$10,Paramètres!$A$1:$I$89,3,0)*0.475*44/12</f>
        <v>1.9545129502861804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11.810036734624177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-4.2632564145606011E-13</v>
      </c>
      <c r="BE195" s="13">
        <f>BD195*VLOOKUP('Données projet'!$B$11,Paramètres!$A$1:$I$89,3,0)*VLOOKUP('Données projet'!$B$11,Paramètres!$A$1:$I$89,5,0)</f>
        <v>-2.4385826691286639E-13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287.9055604128643</v>
      </c>
      <c r="BJ195" s="59">
        <f t="shared" si="146"/>
        <v>197.74605993031139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20.196238493541305</v>
      </c>
      <c r="BQ195" s="21">
        <f>EXP(-LN(2)/25)*BQ194+(1-EXP(-LN(2)/25))/(LN(2)/25)*Calculateur!BL195*Calculateur!BN195*VLOOKUP('Données projet'!$B$11,Paramètres!$A$1:$I$89,3,0)*0.475*44/12</f>
        <v>4.503483777893253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24.69972227143456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135.89743589743577</v>
      </c>
      <c r="BZ195" s="13">
        <f>BY195*VLOOKUP('Données projet'!$B$12,Paramètres!$A$1:$I$89,3,0)*VLOOKUP('Données projet'!$B$12,Paramètres!$A$1:$I$89,5,0)</f>
        <v>118.71999999999991</v>
      </c>
      <c r="CA195" s="13">
        <f t="shared" si="170"/>
        <v>31.376274241265865</v>
      </c>
      <c r="CB195" s="20">
        <f t="shared" si="171"/>
        <v>261.41767763687125</v>
      </c>
      <c r="CC195" s="59">
        <f t="shared" si="119"/>
        <v>554.75101097020456</v>
      </c>
      <c r="CD195" s="59">
        <f ca="1">AVERAGE(OFFSET($CC$3,0,0,'Données projet'!$E$12+1,1))-AVERAGE(OFFSET($H$3,0,0,'Données projet'!$E$12+1,1))</f>
        <v>201.78062426023638</v>
      </c>
      <c r="CE195" s="59">
        <f t="shared" si="148"/>
        <v>183.0364139873468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2.7236145642300742</v>
      </c>
      <c r="CL195" s="21">
        <f>EXP(-LN(2)/25)*CL194+(1-EXP(-LN(2)/25))/(LN(2)/25)*Calculateur!CG195*Calculateur!CI195*VLOOKUP('Données projet'!$B$12,Paramètres!$A$1:$I$89,3,0)*0.475*44/12</f>
        <v>0.59810029412207111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3.3217148583521454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6.3226799999999823</v>
      </c>
      <c r="D196" s="11">
        <f t="shared" si="140"/>
        <v>2.3508686638518679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3.3476854492059775</v>
      </c>
      <c r="H196" s="67">
        <f t="shared" ref="H196:H203" si="192">(B196+E196+F196)*44/12+(C196+D196)*0.475*44/12</f>
        <v>271.77309725620864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346.2919953121168</v>
      </c>
      <c r="T196" s="59">
        <f t="shared" si="142"/>
        <v>255.63939678041237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17.414336915486366</v>
      </c>
      <c r="AA196" s="21">
        <f>EXP(-LN(2)/25)*AA195+(1-EXP(-LN(2)/25))/(LN(2)/25)*Calculateur!V196*Calculateur!X196*VLOOKUP('Données projet'!$B$9,Paramètres!$A$1:$I$89,3,0)*0.475*44/12</f>
        <v>3.4948768812656632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20.909213796752031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298.32148815673816</v>
      </c>
      <c r="AO196" s="59">
        <f t="shared" si="144"/>
        <v>303.51754260758827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9.6622629742030739</v>
      </c>
      <c r="AV196" s="21">
        <f>EXP(-LN(2)/25)*AV195+(1-EXP(-LN(2)/25))/(LN(2)/25)*Calculateur!AQ196*Calculateur!AS196*VLOOKUP('Données projet'!$B$10,Paramètres!$A$1:$I$89,3,0)*0.475*44/12</f>
        <v>1.9010666908772358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11.56332966508031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-4.2632564145606011E-13</v>
      </c>
      <c r="BE196" s="13">
        <f>BD196*VLOOKUP('Données projet'!$B$11,Paramètres!$A$1:$I$89,3,0)*VLOOKUP('Données projet'!$B$11,Paramètres!$A$1:$I$89,5,0)</f>
        <v>-2.4385826691286639E-13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287.9055604128643</v>
      </c>
      <c r="BJ196" s="59">
        <f t="shared" si="146"/>
        <v>197.74605993031139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19.80020257517209</v>
      </c>
      <c r="BQ196" s="21">
        <f>EXP(-LN(2)/25)*BQ195+(1-EXP(-LN(2)/25))/(LN(2)/25)*Calculateur!BL196*Calculateur!BN196*VLOOKUP('Données projet'!$B$11,Paramètres!$A$1:$I$89,3,0)*0.475*44/12</f>
        <v>4.3803357771588427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24.180538352330935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135.89743589743577</v>
      </c>
      <c r="BZ196" s="13">
        <f>BY196*VLOOKUP('Données projet'!$B$12,Paramètres!$A$1:$I$89,3,0)*VLOOKUP('Données projet'!$B$12,Paramètres!$A$1:$I$89,5,0)</f>
        <v>118.71999999999991</v>
      </c>
      <c r="CA196" s="13">
        <f t="shared" si="170"/>
        <v>31.376274241265865</v>
      </c>
      <c r="CB196" s="20">
        <f t="shared" si="171"/>
        <v>261.41767763687125</v>
      </c>
      <c r="CC196" s="59">
        <f t="shared" ref="CC196:CC203" si="195">CB196+(BT196+BU196)*44/12</f>
        <v>554.75101097020456</v>
      </c>
      <c r="CD196" s="59">
        <f ca="1">AVERAGE(OFFSET($CC$3,0,0,'Données projet'!$E$12+1,1))-AVERAGE(OFFSET($H$3,0,0,'Données projet'!$E$12+1,1))</f>
        <v>201.78062426023638</v>
      </c>
      <c r="CE196" s="59">
        <f t="shared" si="148"/>
        <v>183.0364139873468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2.6702061438663729</v>
      </c>
      <c r="CL196" s="21">
        <f>EXP(-LN(2)/25)*CL195+(1-EXP(-LN(2)/25))/(LN(2)/25)*Calculateur!CG196*Calculateur!CI196*VLOOKUP('Données projet'!$B$12,Paramètres!$A$1:$I$89,3,0)*0.475*44/12</f>
        <v>0.58174521012657554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3.2519513539929483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6.355439999999982</v>
      </c>
      <c r="D197" s="11">
        <f t="shared" ref="D197:D203" si="202">IFERROR(EXP(-1.0587+0.8836*LN(C197)+0.284),0)</f>
        <v>2.3616282615656048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3.3644824869200511</v>
      </c>
      <c r="H197" s="67">
        <f t="shared" si="192"/>
        <v>271.84889388889343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346.2919953121168</v>
      </c>
      <c r="T197" s="59">
        <f t="shared" ref="T197:T203" si="204">$T$3</f>
        <v>255.63939678041237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17.072852390270391</v>
      </c>
      <c r="AA197" s="21">
        <f>EXP(-LN(2)/25)*AA196+(1-EXP(-LN(2)/25))/(LN(2)/25)*Calculateur!V197*Calculateur!X197*VLOOKUP('Données projet'!$B$9,Paramètres!$A$1:$I$89,3,0)*0.475*44/12</f>
        <v>3.399309289159866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20.472161679430258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298.32148815673816</v>
      </c>
      <c r="AO197" s="59">
        <f t="shared" ref="AO197:AO203" si="205">$AO$3</f>
        <v>303.51754260758827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9.472791890677442</v>
      </c>
      <c r="AV197" s="21">
        <f>EXP(-LN(2)/25)*AV196+(1-EXP(-LN(2)/25))/(LN(2)/25)*Calculateur!AQ197*Calculateur!AS197*VLOOKUP('Données projet'!$B$10,Paramètres!$A$1:$I$89,3,0)*0.475*44/12</f>
        <v>1.8490819222424455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11.321873812919888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-4.2632564145606011E-13</v>
      </c>
      <c r="BE197" s="13">
        <f>BD197*VLOOKUP('Données projet'!$B$11,Paramètres!$A$1:$I$89,3,0)*VLOOKUP('Données projet'!$B$11,Paramètres!$A$1:$I$89,5,0)</f>
        <v>-2.4385826691286639E-13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287.9055604128643</v>
      </c>
      <c r="BJ197" s="59">
        <f t="shared" ref="BJ197:BJ203" si="206">$BJ$3</f>
        <v>197.74605993031139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19.411932679604039</v>
      </c>
      <c r="BQ197" s="21">
        <f>EXP(-LN(2)/25)*BQ196+(1-EXP(-LN(2)/25))/(LN(2)/25)*Calculateur!BL197*Calculateur!BN197*VLOOKUP('Données projet'!$B$11,Paramètres!$A$1:$I$89,3,0)*0.475*44/12</f>
        <v>4.2605552649805869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23.672487944584624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135.89743589743577</v>
      </c>
      <c r="BZ197" s="13">
        <f>BY197*VLOOKUP('Données projet'!$B$12,Paramètres!$A$1:$I$89,3,0)*VLOOKUP('Données projet'!$B$12,Paramètres!$A$1:$I$89,5,0)</f>
        <v>118.71999999999991</v>
      </c>
      <c r="CA197" s="13">
        <f t="shared" si="170"/>
        <v>31.376274241265865</v>
      </c>
      <c r="CB197" s="20">
        <f t="shared" si="171"/>
        <v>261.41767763687125</v>
      </c>
      <c r="CC197" s="59">
        <f t="shared" si="195"/>
        <v>554.75101097020456</v>
      </c>
      <c r="CD197" s="59">
        <f ca="1">AVERAGE(OFFSET($CC$3,0,0,'Données projet'!$E$12+1,1))-AVERAGE(OFFSET($H$3,0,0,'Données projet'!$E$12+1,1))</f>
        <v>201.78062426023638</v>
      </c>
      <c r="CE197" s="59">
        <f t="shared" ref="CE197:CE203" si="207">$CE$3</f>
        <v>183.0364139873468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2.6178450300500837</v>
      </c>
      <c r="CL197" s="21">
        <f>EXP(-LN(2)/25)*CL196+(1-EXP(-LN(2)/25))/(LN(2)/25)*Calculateur!CG197*Calculateur!CI197*VLOOKUP('Données projet'!$B$12,Paramètres!$A$1:$I$89,3,0)*0.475*44/12</f>
        <v>0.56583735676301328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3.1836823868130972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6.3881999999999817</v>
      </c>
      <c r="D198" s="11">
        <f t="shared" si="202"/>
        <v>2.3723814054268204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3.3812770336735025</v>
      </c>
      <c r="H198" s="67">
        <f t="shared" si="192"/>
        <v>271.92467928111836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346.2919953121168</v>
      </c>
      <c r="T198" s="59">
        <f t="shared" si="204"/>
        <v>255.63939678041237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16.73806416830891</v>
      </c>
      <c r="AA198" s="21">
        <f>EXP(-LN(2)/25)*AA197+(1-EXP(-LN(2)/25))/(LN(2)/25)*Calculateur!V198*Calculateur!X198*VLOOKUP('Données projet'!$B$9,Paramètres!$A$1:$I$89,3,0)*0.475*44/12</f>
        <v>3.3063549978858831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20.044419166194793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298.32148815673816</v>
      </c>
      <c r="AO198" s="59">
        <f t="shared" si="205"/>
        <v>303.51754260758827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9.2870362195337979</v>
      </c>
      <c r="AV198" s="21">
        <f>EXP(-LN(2)/25)*AV197+(1-EXP(-LN(2)/25))/(LN(2)/25)*Calculateur!AQ198*Calculateur!AS198*VLOOKUP('Données projet'!$B$10,Paramètres!$A$1:$I$89,3,0)*0.475*44/12</f>
        <v>1.7985186798397337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11.085554899373532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-4.2632564145606011E-13</v>
      </c>
      <c r="BE198" s="13">
        <f>BD198*VLOOKUP('Données projet'!$B$11,Paramètres!$A$1:$I$89,3,0)*VLOOKUP('Données projet'!$B$11,Paramètres!$A$1:$I$89,5,0)</f>
        <v>-2.4385826691286639E-13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287.9055604128643</v>
      </c>
      <c r="BJ198" s="59">
        <f t="shared" si="206"/>
        <v>197.74605993031139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19.031276519866825</v>
      </c>
      <c r="BQ198" s="21">
        <f>EXP(-LN(2)/25)*BQ197+(1-EXP(-LN(2)/25))/(LN(2)/25)*Calculateur!BL198*Calculateur!BN198*VLOOKUP('Données projet'!$B$11,Paramètres!$A$1:$I$89,3,0)*0.475*44/12</f>
        <v>4.1440501572068289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23.175326677073656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135.89743589743577</v>
      </c>
      <c r="BZ198" s="13">
        <f>BY198*VLOOKUP('Données projet'!$B$12,Paramètres!$A$1:$I$89,3,0)*VLOOKUP('Données projet'!$B$12,Paramètres!$A$1:$I$89,5,0)</f>
        <v>118.71999999999991</v>
      </c>
      <c r="CA198" s="13">
        <f t="shared" si="170"/>
        <v>31.376274241265865</v>
      </c>
      <c r="CB198" s="20">
        <f t="shared" si="171"/>
        <v>261.41767763687125</v>
      </c>
      <c r="CC198" s="59">
        <f t="shared" si="195"/>
        <v>554.75101097020456</v>
      </c>
      <c r="CD198" s="59">
        <f ca="1">AVERAGE(OFFSET($CC$3,0,0,'Données projet'!$E$12+1,1))-AVERAGE(OFFSET($H$3,0,0,'Données projet'!$E$12+1,1))</f>
        <v>201.78062426023638</v>
      </c>
      <c r="CE198" s="59">
        <f t="shared" si="207"/>
        <v>183.0364139873468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2.566510685738606</v>
      </c>
      <c r="CL198" s="21">
        <f>EXP(-LN(2)/25)*CL197+(1-EXP(-LN(2)/25))/(LN(2)/25)*Calculateur!CG198*Calculateur!CI198*VLOOKUP('Données projet'!$B$12,Paramètres!$A$1:$I$89,3,0)*0.475*44/12</f>
        <v>0.55036450448623531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3.1168751902248415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6.4209599999999813</v>
      </c>
      <c r="D199" s="11">
        <f t="shared" si="202"/>
        <v>2.3831281323739448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3.3980691037232709</v>
      </c>
      <c r="H199" s="67">
        <f t="shared" si="192"/>
        <v>272.00045349721796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346.2919953121168</v>
      </c>
      <c r="T199" s="59">
        <f t="shared" si="204"/>
        <v>255.63939678041237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16.409840939179439</v>
      </c>
      <c r="AA199" s="21">
        <f>EXP(-LN(2)/25)*AA198+(1-EXP(-LN(2)/25))/(LN(2)/25)*Calculateur!V199*Calculateur!X199*VLOOKUP('Données projet'!$B$9,Paramètres!$A$1:$I$89,3,0)*0.475*44/12</f>
        <v>3.2159425465950409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19.62578348577448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298.32148815673816</v>
      </c>
      <c r="AO199" s="59">
        <f t="shared" si="205"/>
        <v>303.51754260758827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9.1049231038015073</v>
      </c>
      <c r="AV199" s="21">
        <f>EXP(-LN(2)/25)*AV198+(1-EXP(-LN(2)/25))/(LN(2)/25)*Calculateur!AQ199*Calculateur!AS199*VLOOKUP('Données projet'!$B$10,Paramètres!$A$1:$I$89,3,0)*0.475*44/12</f>
        <v>1.7493380919595294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10.854261195761037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-4.2632564145606011E-13</v>
      </c>
      <c r="BE199" s="13">
        <f>BD199*VLOOKUP('Données projet'!$B$11,Paramètres!$A$1:$I$89,3,0)*VLOOKUP('Données projet'!$B$11,Paramètres!$A$1:$I$89,5,0)</f>
        <v>-2.4385826691286639E-13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287.9055604128643</v>
      </c>
      <c r="BJ199" s="59">
        <f t="shared" si="206"/>
        <v>197.74605993031139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18.658084795244726</v>
      </c>
      <c r="BQ199" s="21">
        <f>EXP(-LN(2)/25)*BQ198+(1-EXP(-LN(2)/25))/(LN(2)/25)*Calculateur!BL199*Calculateur!BN199*VLOOKUP('Données projet'!$B$11,Paramètres!$A$1:$I$89,3,0)*0.475*44/12</f>
        <v>4.0307308877318819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22.688815682976607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135.89743589743577</v>
      </c>
      <c r="BZ199" s="13">
        <f>BY199*VLOOKUP('Données projet'!$B$12,Paramètres!$A$1:$I$89,3,0)*VLOOKUP('Données projet'!$B$12,Paramètres!$A$1:$I$89,5,0)</f>
        <v>118.71999999999991</v>
      </c>
      <c r="CA199" s="13">
        <f t="shared" si="170"/>
        <v>31.376274241265865</v>
      </c>
      <c r="CB199" s="20">
        <f t="shared" si="171"/>
        <v>261.41767763687125</v>
      </c>
      <c r="CC199" s="59">
        <f t="shared" si="195"/>
        <v>554.75101097020456</v>
      </c>
      <c r="CD199" s="59">
        <f ca="1">AVERAGE(OFFSET($CC$3,0,0,'Données projet'!$E$12+1,1))-AVERAGE(OFFSET($H$3,0,0,'Données projet'!$E$12+1,1))</f>
        <v>201.78062426023638</v>
      </c>
      <c r="CE199" s="59">
        <f t="shared" si="207"/>
        <v>183.0364139873468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2.516182976608218</v>
      </c>
      <c r="CL199" s="21">
        <f>EXP(-LN(2)/25)*CL198+(1-EXP(-LN(2)/25))/(LN(2)/25)*Calculateur!CG199*Calculateur!CI199*VLOOKUP('Données projet'!$B$12,Paramètres!$A$1:$I$89,3,0)*0.475*44/12</f>
        <v>0.53531475816864782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3.0514977347768659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6.453719999999981</v>
      </c>
      <c r="D200" s="11">
        <f t="shared" si="202"/>
        <v>2.3938684789466644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3.4148587111723896</v>
      </c>
      <c r="H200" s="67">
        <f t="shared" si="192"/>
        <v>272.07621660083208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346.2919953121168</v>
      </c>
      <c r="T200" s="59">
        <f t="shared" si="204"/>
        <v>255.63939678041237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16.088053967376794</v>
      </c>
      <c r="AA200" s="21">
        <f>EXP(-LN(2)/25)*AA199+(1-EXP(-LN(2)/25))/(LN(2)/25)*Calculateur!V200*Calculateur!X200*VLOOKUP('Données projet'!$B$9,Paramètres!$A$1:$I$89,3,0)*0.475*44/12</f>
        <v>3.1280024285393311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19.216056395916127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298.32148815673816</v>
      </c>
      <c r="AO200" s="59">
        <f t="shared" si="205"/>
        <v>303.51754260758827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8.9263811151906953</v>
      </c>
      <c r="AV200" s="21">
        <f>EXP(-LN(2)/25)*AV199+(1-EXP(-LN(2)/25))/(LN(2)/25)*Calculateur!AQ200*Calculateur!AS200*VLOOKUP('Données projet'!$B$10,Paramètres!$A$1:$I$89,3,0)*0.475*44/12</f>
        <v>1.7015023498412039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10.6278834650319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-4.2632564145606011E-13</v>
      </c>
      <c r="BE200" s="13">
        <f>BD200*VLOOKUP('Données projet'!$B$11,Paramètres!$A$1:$I$89,3,0)*VLOOKUP('Données projet'!$B$11,Paramètres!$A$1:$I$89,5,0)</f>
        <v>-2.4385826691286639E-13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287.9055604128643</v>
      </c>
      <c r="BJ200" s="59">
        <f t="shared" si="206"/>
        <v>197.74605993031139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18.292211132717991</v>
      </c>
      <c r="BQ200" s="21">
        <f>EXP(-LN(2)/25)*BQ199+(1-EXP(-LN(2)/25))/(LN(2)/25)*Calculateur!BL200*Calculateur!BN200*VLOOKUP('Données projet'!$B$11,Paramètres!$A$1:$I$89,3,0)*0.475*44/12</f>
        <v>3.9205103396399288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22.21272147235792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135.89743589743577</v>
      </c>
      <c r="BZ200" s="13">
        <f>BY200*VLOOKUP('Données projet'!$B$12,Paramètres!$A$1:$I$89,3,0)*VLOOKUP('Données projet'!$B$12,Paramètres!$A$1:$I$89,5,0)</f>
        <v>118.71999999999991</v>
      </c>
      <c r="CA200" s="13">
        <f t="shared" si="170"/>
        <v>31.376274241265865</v>
      </c>
      <c r="CB200" s="20">
        <f t="shared" si="171"/>
        <v>261.41767763687125</v>
      </c>
      <c r="CC200" s="59">
        <f t="shared" si="195"/>
        <v>554.75101097020456</v>
      </c>
      <c r="CD200" s="59">
        <f ca="1">AVERAGE(OFFSET($CC$3,0,0,'Données projet'!$E$12+1,1))-AVERAGE(OFFSET($H$3,0,0,'Données projet'!$E$12+1,1))</f>
        <v>201.78062426023638</v>
      </c>
      <c r="CE200" s="59">
        <f t="shared" si="207"/>
        <v>183.0364139873468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2.4668421631570054</v>
      </c>
      <c r="CL200" s="21">
        <f>EXP(-LN(2)/25)*CL199+(1-EXP(-LN(2)/25))/(LN(2)/25)*Calculateur!CG200*Calculateur!CI200*VLOOKUP('Données projet'!$B$12,Paramètres!$A$1:$I$89,3,0)*0.475*44/12</f>
        <v>0.52067654795554652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2.9875187111125521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6.4864799999999807</v>
      </c>
      <c r="D201" s="11">
        <f t="shared" si="202"/>
        <v>2.404602481292224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3.4316458699724302</v>
      </c>
      <c r="H201" s="67">
        <f t="shared" si="192"/>
        <v>272.15196865491725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346.2919953121168</v>
      </c>
      <c r="T201" s="59">
        <f t="shared" si="204"/>
        <v>255.63939678041237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15.772577041820528</v>
      </c>
      <c r="AA201" s="21">
        <f>EXP(-LN(2)/25)*AA200+(1-EXP(-LN(2)/25))/(LN(2)/25)*Calculateur!V201*Calculateur!X201*VLOOKUP('Données projet'!$B$9,Paramètres!$A$1:$I$89,3,0)*0.475*44/12</f>
        <v>3.0424670376364245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18.815044079456953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298.32148815673816</v>
      </c>
      <c r="AO201" s="59">
        <f t="shared" si="205"/>
        <v>303.51754260758827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8.7513402260766817</v>
      </c>
      <c r="AV201" s="21">
        <f>EXP(-LN(2)/25)*AV200+(1-EXP(-LN(2)/25))/(LN(2)/25)*Calculateur!AQ201*Calculateur!AS201*VLOOKUP('Données projet'!$B$10,Paramètres!$A$1:$I$89,3,0)*0.475*44/12</f>
        <v>1.6549746786066764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10.406314904683358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-4.2632564145606011E-13</v>
      </c>
      <c r="BE201" s="13">
        <f>BD201*VLOOKUP('Données projet'!$B$11,Paramètres!$A$1:$I$89,3,0)*VLOOKUP('Données projet'!$B$11,Paramètres!$A$1:$I$89,5,0)</f>
        <v>-2.4385826691286639E-13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287.9055604128643</v>
      </c>
      <c r="BJ201" s="59">
        <f t="shared" si="206"/>
        <v>197.74605993031139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17.933512029552507</v>
      </c>
      <c r="BQ201" s="21">
        <f>EXP(-LN(2)/25)*BQ200+(1-EXP(-LN(2)/25))/(LN(2)/25)*Calculateur!BL201*Calculateur!BN201*VLOOKUP('Données projet'!$B$11,Paramètres!$A$1:$I$89,3,0)*0.475*44/12</f>
        <v>3.8133037782317967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21.746815807784301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135.89743589743577</v>
      </c>
      <c r="BZ201" s="13">
        <f>BY201*VLOOKUP('Données projet'!$B$12,Paramètres!$A$1:$I$89,3,0)*VLOOKUP('Données projet'!$B$12,Paramètres!$A$1:$I$89,5,0)</f>
        <v>118.71999999999991</v>
      </c>
      <c r="CA201" s="13">
        <f t="shared" si="170"/>
        <v>31.376274241265865</v>
      </c>
      <c r="CB201" s="20">
        <f t="shared" si="171"/>
        <v>261.41767763687125</v>
      </c>
      <c r="CC201" s="59">
        <f t="shared" si="195"/>
        <v>554.75101097020456</v>
      </c>
      <c r="CD201" s="59">
        <f ca="1">AVERAGE(OFFSET($CC$3,0,0,'Données projet'!$E$12+1,1))-AVERAGE(OFFSET($H$3,0,0,'Données projet'!$E$12+1,1))</f>
        <v>201.78062426023638</v>
      </c>
      <c r="CE201" s="59">
        <f t="shared" si="207"/>
        <v>183.0364139873468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2.4184688929626468</v>
      </c>
      <c r="CL201" s="21">
        <f>EXP(-LN(2)/25)*CL200+(1-EXP(-LN(2)/25))/(LN(2)/25)*Calculateur!CG201*Calculateur!CI201*VLOOKUP('Données projet'!$B$12,Paramètres!$A$1:$I$89,3,0)*0.475*44/12</f>
        <v>0.50643862037051246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2.9249075133331592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6.5192399999999804</v>
      </c>
      <c r="D202" s="11">
        <f t="shared" si="202"/>
        <v>2.4153301751716043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3.4484305939258753</v>
      </c>
      <c r="H202" s="67">
        <f t="shared" si="192"/>
        <v>272.22770972175721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346.2919953121168</v>
      </c>
      <c r="T202" s="59">
        <f t="shared" si="204"/>
        <v>255.63939678041237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15.463286426352495</v>
      </c>
      <c r="AA202" s="21">
        <f>EXP(-LN(2)/25)*AA201+(1-EXP(-LN(2)/25))/(LN(2)/25)*Calculateur!V202*Calculateur!X202*VLOOKUP('Données projet'!$B$9,Paramètres!$A$1:$I$89,3,0)*0.475*44/12</f>
        <v>2.9592706164958686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18.422557042848364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298.32148815673816</v>
      </c>
      <c r="AO202" s="59">
        <f t="shared" si="205"/>
        <v>303.51754260758827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8.5797317820337931</v>
      </c>
      <c r="AV202" s="21">
        <f>EXP(-LN(2)/25)*AV201+(1-EXP(-LN(2)/25))/(LN(2)/25)*Calculateur!AQ202*Calculateur!AS202*VLOOKUP('Données projet'!$B$10,Paramètres!$A$1:$I$89,3,0)*0.475*44/12</f>
        <v>1.6097193089888409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10.189451091022633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-4.2632564145606011E-13</v>
      </c>
      <c r="BE202" s="13">
        <f>BD202*VLOOKUP('Données projet'!$B$11,Paramètres!$A$1:$I$89,3,0)*VLOOKUP('Données projet'!$B$11,Paramètres!$A$1:$I$89,5,0)</f>
        <v>-2.4385826691286639E-13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287.9055604128643</v>
      </c>
      <c r="BJ202" s="59">
        <f t="shared" si="206"/>
        <v>197.74605993031139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17.581846797015245</v>
      </c>
      <c r="BQ202" s="21">
        <f>EXP(-LN(2)/25)*BQ201+(1-EXP(-LN(2)/25))/(LN(2)/25)*Calculateur!BL202*Calculateur!BN202*VLOOKUP('Données projet'!$B$11,Paramètres!$A$1:$I$89,3,0)*0.475*44/12</f>
        <v>3.7090287858831181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21.290875582898362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135.89743589743577</v>
      </c>
      <c r="BZ202" s="13">
        <f>BY202*VLOOKUP('Données projet'!$B$12,Paramètres!$A$1:$I$89,3,0)*VLOOKUP('Données projet'!$B$12,Paramètres!$A$1:$I$89,5,0)</f>
        <v>118.71999999999991</v>
      </c>
      <c r="CA202" s="13">
        <f t="shared" si="170"/>
        <v>31.376274241265865</v>
      </c>
      <c r="CB202" s="20">
        <f t="shared" si="171"/>
        <v>261.41767763687125</v>
      </c>
      <c r="CC202" s="59">
        <f t="shared" si="195"/>
        <v>554.75101097020456</v>
      </c>
      <c r="CD202" s="59">
        <f ca="1">AVERAGE(OFFSET($CC$3,0,0,'Données projet'!$E$12+1,1))-AVERAGE(OFFSET($H$3,0,0,'Données projet'!$E$12+1,1))</f>
        <v>201.78062426023638</v>
      </c>
      <c r="CE202" s="59">
        <f t="shared" si="207"/>
        <v>183.0364139873468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2.3710441930920179</v>
      </c>
      <c r="CL202" s="21">
        <f>EXP(-LN(2)/25)*CL201+(1-EXP(-LN(2)/25))/(LN(2)/25)*Calculateur!CG202*Calculateur!CI202*VLOOKUP('Données projet'!$B$12,Paramètres!$A$1:$I$89,3,0)*0.475*44/12</f>
        <v>0.49259002966403126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2.863634222756049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6.5519999999999801</v>
      </c>
      <c r="D203" s="11">
        <f t="shared" si="202"/>
        <v>2.4260515959655673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3.4652128966884574</v>
      </c>
      <c r="H203" s="67">
        <f t="shared" si="192"/>
        <v>272.30343986297333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346.2919953121168</v>
      </c>
      <c r="T203" s="59">
        <f t="shared" si="204"/>
        <v>255.63939678041237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15.160060811205142</v>
      </c>
      <c r="AA203" s="21">
        <f>EXP(-LN(2)/25)*AA202+(1-EXP(-LN(2)/25))/(LN(2)/25)*Calculateur!V203*Calculateur!X203*VLOOKUP('Données projet'!$B$9,Paramètres!$A$1:$I$89,3,0)*0.475*44/12</f>
        <v>2.878349205866511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18.038410017071651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298.32148815673816</v>
      </c>
      <c r="AO203" s="59">
        <f t="shared" si="205"/>
        <v>303.51754260758827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8.4114884749077703</v>
      </c>
      <c r="AV203" s="21">
        <f>EXP(-LN(2)/25)*AV202+(1-EXP(-LN(2)/25))/(LN(2)/25)*Calculateur!AQ203*Calculateur!AS203*VLOOKUP('Données projet'!$B$10,Paramètres!$A$1:$I$89,3,0)*0.475*44/12</f>
        <v>1.5657014498330817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9.977189924740852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-4.2632564145606011E-13</v>
      </c>
      <c r="BE203" s="13">
        <f>BD203*VLOOKUP('Données projet'!$B$11,Paramètres!$A$1:$I$89,3,0)*VLOOKUP('Données projet'!$B$11,Paramètres!$A$1:$I$89,5,0)</f>
        <v>-2.4385826691286639E-13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287.9055604128643</v>
      </c>
      <c r="BJ203" s="59">
        <f t="shared" si="206"/>
        <v>197.74605993031139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17.23707750519343</v>
      </c>
      <c r="BQ203" s="21">
        <f>EXP(-LN(2)/25)*BQ202+(1-EXP(-LN(2)/25))/(LN(2)/25)*Calculateur!BL203*Calculateur!BN203*VLOOKUP('Données projet'!$B$11,Paramètres!$A$1:$I$89,3,0)*0.475*44/12</f>
        <v>3.6076051986837974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20.844682703877226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135.89743589743577</v>
      </c>
      <c r="BZ203" s="13">
        <f>BY203*VLOOKUP('Données projet'!$B$12,Paramètres!$A$1:$I$89,3,0)*VLOOKUP('Données projet'!$B$12,Paramètres!$A$1:$I$89,5,0)</f>
        <v>118.71999999999991</v>
      </c>
      <c r="CA203" s="13">
        <f t="shared" si="170"/>
        <v>31.376274241265865</v>
      </c>
      <c r="CB203" s="20">
        <f t="shared" si="171"/>
        <v>261.41767763687125</v>
      </c>
      <c r="CC203" s="59">
        <f t="shared" si="195"/>
        <v>554.75101097020456</v>
      </c>
      <c r="CD203" s="59">
        <f ca="1">AVERAGE(OFFSET($CC$3,0,0,'Données projet'!$E$12+1,1))-AVERAGE(OFFSET($H$3,0,0,'Données projet'!$E$12+1,1))</f>
        <v>201.78062426023638</v>
      </c>
      <c r="CE203" s="59">
        <f t="shared" si="207"/>
        <v>183.0364139873468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2.3245494626596415</v>
      </c>
      <c r="CL203" s="21">
        <f>EXP(-LN(2)/25)*CL202+(1-EXP(-LN(2)/25))/(LN(2)/25)*Calculateur!CG203*Calculateur!CI203*VLOOKUP('Données projet'!$B$12,Paramètres!$A$1:$I$89,3,0)*0.475*44/12</f>
        <v>0.47912012939868448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2.8036695920583261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1.2472301622014093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1.3267648858502221</v>
      </c>
      <c r="BA205" s="82">
        <f>EXP(LN('Données projet'!B88)/'Données projet'!A88)</f>
        <v>1.2437711100600062</v>
      </c>
      <c r="BV205" s="82">
        <f>EXP(LN('Données projet'!B114)/'Données projet'!A114)</f>
        <v>1.2770702581475548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laricio</v>
      </c>
      <c r="B6" s="146">
        <f>'Données projet'!D9</f>
        <v>1.05</v>
      </c>
      <c r="C6" s="147">
        <f ca="1">IF(OR('Données projet'!B9="",'Données projet'!C9="",'Données projet'!C9=0%),0,Calculateur!S3)</f>
        <v>346.2919953121168</v>
      </c>
      <c r="D6" s="147">
        <f>IF(OR('Données projet'!B9="",'Données projet'!C9="",'Données projet'!C9=0%),0,Calculateur!T3)</f>
        <v>255.63939678041237</v>
      </c>
      <c r="E6" s="147">
        <f ca="1">MIN(C6,D6)</f>
        <v>255.63939678041237</v>
      </c>
      <c r="F6" s="147">
        <f ca="1">E6*B6</f>
        <v>268.421366619433</v>
      </c>
      <c r="G6" s="147">
        <f ca="1">F6*(100%-'Données projet'!$C$24)*(100%-'Données projet'!$C$25)*(100%-'Données projet'!$C$26)*(100%-'Données projet'!$C$27)</f>
        <v>205.34234546386625</v>
      </c>
      <c r="H6" s="148">
        <f>IF(OR('Données projet'!B9="",'Données projet'!C9="",'Données projet'!C9=0%),0,AVERAGE(Calculateur!$AC$3:$AC$33)*B6)</f>
        <v>3.4440975710064023</v>
      </c>
      <c r="I6" s="149">
        <f>H6*(100%-'Données projet'!$C$24)*(100%-'Données projet'!$C$25)*(100%-'Données projet'!$C$26)*(100%-'Données projet'!$C$27)</f>
        <v>2.6347346418198976</v>
      </c>
      <c r="J6" s="150">
        <f>IF(OR('Données projet'!B9="",'Données projet'!C9="",'Données projet'!C9=0%),0,SUM(Calculateur!$V$3:$V$33)*VLOOKUP('Données projet'!$B$9,Paramètres!$A$1:$I$89,9,0)*B6)</f>
        <v>40.747875000000001</v>
      </c>
      <c r="K6" s="151">
        <f>J6*(100%-'Données projet'!$C$24)*(100%-'Données projet'!$C$25)*(100%-'Données projet'!$C$26)*(100%-'Données projet'!$C$27)</f>
        <v>31.172124374999999</v>
      </c>
      <c r="L6" s="152">
        <f ca="1">G6+I6+K6</f>
        <v>239.14920448068617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maritime</v>
      </c>
      <c r="B7" s="154">
        <f>'Données projet'!D10</f>
        <v>0.42000000000000004</v>
      </c>
      <c r="C7" s="147">
        <f ca="1">IF(OR('Données projet'!B10="",'Données projet'!C10="",'Données projet'!C10=0%),0,Calculateur!AN3)</f>
        <v>298.32148815673816</v>
      </c>
      <c r="D7" s="147">
        <f>IF(OR('Données projet'!B10="",'Données projet'!C10="",'Données projet'!C10=0%),0,Calculateur!AO3)</f>
        <v>303.51754260758827</v>
      </c>
      <c r="E7" s="147">
        <f t="shared" ref="E7:E15" ca="1" si="0">MIN(C7,D7)</f>
        <v>298.32148815673816</v>
      </c>
      <c r="F7" s="147">
        <f t="shared" ref="F7:F15" ca="1" si="1">E7*B7</f>
        <v>125.29502502583004</v>
      </c>
      <c r="G7" s="147">
        <f ca="1">F7*(100%-'Données projet'!$C$24)*(100%-'Données projet'!$C$25)*(100%-'Données projet'!$C$26)*(100%-'Données projet'!$C$27)</f>
        <v>95.850694144759984</v>
      </c>
      <c r="H7" s="155">
        <f>IF(OR('Données projet'!B10="",'Données projet'!C10="",'Données projet'!C10=0%),0,AVERAGE(Calculateur!$AX$3:$AX$33)*B7)</f>
        <v>1.7403026429777628</v>
      </c>
      <c r="I7" s="149">
        <f>H7*(100%-'Données projet'!$C$24)*(100%-'Données projet'!$C$25)*(100%-'Données projet'!$C$26)*(100%-'Données projet'!$C$27)</f>
        <v>1.3313315218779886</v>
      </c>
      <c r="J7" s="150">
        <f>IF(OR('Données projet'!B10="",'Données projet'!C10="",'Données projet'!C10=0%),0,SUM(Calculateur!$AQ$3:$AQ$33)*VLOOKUP('Données projet'!$B$10,Paramètres!$A$1:$I$89,9,0)*B7)</f>
        <v>37.950569999999992</v>
      </c>
      <c r="K7" s="151">
        <f>J7*(100%-'Données projet'!$C$24)*(100%-'Données projet'!$C$25)*(100%-'Données projet'!$C$26)*(100%-'Données projet'!$C$27)</f>
        <v>29.032186049999993</v>
      </c>
      <c r="L7" s="152">
        <f t="shared" ref="L7:L15" ca="1" si="2">G7+I7+K7</f>
        <v>126.21421171663796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sylvestre</v>
      </c>
      <c r="B8" s="154">
        <f>'Données projet'!D11</f>
        <v>0.42000000000000004</v>
      </c>
      <c r="C8" s="147">
        <f ca="1">IF(OR('Données projet'!B11="",'Données projet'!C11="",'Données projet'!C11=0%),0,Calculateur!BI3)</f>
        <v>287.9055604128643</v>
      </c>
      <c r="D8" s="147">
        <f>IF(OR('Données projet'!B11="",'Données projet'!C11="",'Données projet'!C11=0%),0,Calculateur!BJ3)</f>
        <v>197.74605993031139</v>
      </c>
      <c r="E8" s="147">
        <f t="shared" ca="1" si="0"/>
        <v>197.74605993031139</v>
      </c>
      <c r="F8" s="147">
        <f t="shared" ca="1" si="1"/>
        <v>83.053345170730793</v>
      </c>
      <c r="G8" s="147">
        <f ca="1">F8*(100%-'Données projet'!$C$24)*(100%-'Données projet'!$C$25)*(100%-'Données projet'!$C$26)*(100%-'Données projet'!$C$27)</f>
        <v>63.535809055609057</v>
      </c>
      <c r="H8" s="155">
        <f>IF(OR('Données projet'!B11="",'Données projet'!C11="",'Données projet'!C11=0%),0,AVERAGE(Calculateur!$BS$3:$BS$33)*B8)</f>
        <v>2.1577893154183241</v>
      </c>
      <c r="I8" s="149">
        <f>H8*(100%-'Données projet'!$C$24)*(100%-'Données projet'!$C$25)*(100%-'Données projet'!$C$26)*(100%-'Données projet'!$C$27)</f>
        <v>1.650708826295018</v>
      </c>
      <c r="J8" s="150">
        <f>IF(OR('Données projet'!B11="",'Données projet'!C11="",'Données projet'!C11=0%),0,SUM(Calculateur!$BL$3:$BL$33)*VLOOKUP('Données projet'!$B$11,Paramètres!$A$1:$I$89,9,0)*B8)</f>
        <v>14.720706000000002</v>
      </c>
      <c r="K8" s="151">
        <f>J8*(100%-'Données projet'!$C$24)*(100%-'Données projet'!$C$25)*(100%-'Données projet'!$C$26)*(100%-'Données projet'!$C$27)</f>
        <v>11.261340090000001</v>
      </c>
      <c r="L8" s="152">
        <f t="shared" ca="1" si="2"/>
        <v>76.447857971904085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rouge d'Amérique</v>
      </c>
      <c r="B9" s="154">
        <f>'Données projet'!D12</f>
        <v>0.21000000000000002</v>
      </c>
      <c r="C9" s="147">
        <f ca="1">IF(OR('Données projet'!B12="",'Données projet'!C12="",'Données projet'!C12=0%),0,Calculateur!CD3)</f>
        <v>201.78062426023638</v>
      </c>
      <c r="D9" s="147">
        <f>IF(OR('Données projet'!B12="",'Données projet'!C12="",'Données projet'!C12=0%),0,Calculateur!CE3)</f>
        <v>183.0364139873468</v>
      </c>
      <c r="E9" s="147">
        <f t="shared" ca="1" si="0"/>
        <v>183.0364139873468</v>
      </c>
      <c r="F9" s="147">
        <f t="shared" ca="1" si="1"/>
        <v>38.437646937342834</v>
      </c>
      <c r="G9" s="147">
        <f ca="1">F9*(100%-'Données projet'!$C$24)*(100%-'Données projet'!$C$25)*(100%-'Données projet'!$C$26)*(100%-'Données projet'!$C$27)</f>
        <v>29.404799907067272</v>
      </c>
      <c r="H9" s="155">
        <f>IF(OR('Données projet'!B12="",'Données projet'!C12="",'Données projet'!C12=0%),0,AVERAGE(Calculateur!$CN$3:$CN$33)*B9)</f>
        <v>0.36395761812048116</v>
      </c>
      <c r="I9" s="149">
        <f>H9*(100%-'Données projet'!$C$24)*(100%-'Données projet'!$C$25)*(100%-'Données projet'!$C$26)*(100%-'Données projet'!$C$27)</f>
        <v>0.2784275778621681</v>
      </c>
      <c r="J9" s="150">
        <f>IF(OR('Données projet'!B12="",'Données projet'!C12="",'Données projet'!C12=0%),0,SUM(Calculateur!$CG$3:$CG$33)*VLOOKUP('Données projet'!$B$12,Paramètres!$A$1:$I$89,9,0)*B9)</f>
        <v>2.2884615384615383</v>
      </c>
      <c r="K9" s="151">
        <f>J9*(100%-'Données projet'!$C$24)*(100%-'Données projet'!$C$25)*(100%-'Données projet'!$C$26)*(100%-'Données projet'!$C$27)</f>
        <v>1.7506730769230767</v>
      </c>
      <c r="L9" s="152">
        <f t="shared" ca="1" si="2"/>
        <v>31.433900561852518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515.20738375333667</v>
      </c>
      <c r="G16" s="166">
        <f t="shared" ca="1" si="3"/>
        <v>394.13364857130256</v>
      </c>
      <c r="H16" s="167">
        <f t="shared" si="3"/>
        <v>7.7061471475229704</v>
      </c>
      <c r="I16" s="167">
        <f t="shared" si="3"/>
        <v>5.8952025678550726</v>
      </c>
      <c r="J16" s="168">
        <f t="shared" si="3"/>
        <v>95.707612538461532</v>
      </c>
      <c r="K16" s="168">
        <f t="shared" si="3"/>
        <v>73.216323591923071</v>
      </c>
      <c r="L16" s="169">
        <f t="shared" ca="1" si="3"/>
        <v>473.24517473108074</v>
      </c>
      <c r="M16" s="23">
        <f ca="1">L16/2.1</f>
        <v>225.35484511003844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sylvestre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80" zoomScaleNormal="80" workbookViewId="0">
      <selection activeCell="C61" sqref="C6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-3385.6503671786199</v>
      </c>
      <c r="U10" s="178">
        <f>'Données projet'!D9</f>
        <v>1.05</v>
      </c>
      <c r="V10" s="177">
        <f>U10*T10</f>
        <v>-3554.9328855375511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-3031.2545641707966</v>
      </c>
      <c r="U11" s="178">
        <f>'Données projet'!D10</f>
        <v>0.42000000000000004</v>
      </c>
      <c r="V11" s="177">
        <f t="shared" ref="V11" si="0">U11*T11</f>
        <v>-1273.1269169517348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sylvestre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-4139.1725636091705</v>
      </c>
      <c r="U12" s="178">
        <f>'Données projet'!D11</f>
        <v>0.42000000000000004</v>
      </c>
      <c r="V12" s="177">
        <f t="shared" ref="V12:V19" si="1">U12*T12</f>
        <v>-1738.4524767158518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-1991.1180131885444</v>
      </c>
      <c r="U13" s="178">
        <f>'Données projet'!D12</f>
        <v>0.21000000000000002</v>
      </c>
      <c r="V13" s="177">
        <f t="shared" si="1"/>
        <v>-418.13478276959438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1800*(0.47+0.8)+150</f>
        <v>2436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2.9999999999999956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1195.4000000000001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14.999999999999979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(400/SUM(U10:U19)+20)+(200/SUM(U10:U19)+10)</f>
        <v>315.71428571428572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105.23809523809524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22</v>
      </c>
      <c r="B23" s="181">
        <f>'Données projet'!D36</f>
        <v>52.41</v>
      </c>
      <c r="C23" s="193">
        <v>8.5</v>
      </c>
      <c r="D23" s="182">
        <f>B23*C23</f>
        <v>445.48499999999996</v>
      </c>
      <c r="E23" s="193"/>
      <c r="F23" s="230"/>
      <c r="H23" s="190">
        <v>4</v>
      </c>
      <c r="I23" s="191"/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-9071.2538390232767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27</v>
      </c>
      <c r="B24" s="181">
        <f>'Données projet'!D37</f>
        <v>37.840000000000003</v>
      </c>
      <c r="C24" s="193">
        <v>8.5</v>
      </c>
      <c r="D24" s="182">
        <f t="shared" ref="D24:D42" si="2">B24*C24</f>
        <v>321.64000000000004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394.51200000000006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0.11228018804216512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33</v>
      </c>
      <c r="B25" s="181">
        <f>'Données projet'!D38</f>
        <v>50.41</v>
      </c>
      <c r="C25" s="193">
        <v>12</v>
      </c>
      <c r="D25" s="182">
        <f t="shared" si="2"/>
        <v>604.91999999999996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-9071.3661192113195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41</v>
      </c>
      <c r="B26" s="181">
        <f>'Données projet'!D39</f>
        <v>72.13</v>
      </c>
      <c r="C26" s="193">
        <v>12</v>
      </c>
      <c r="D26" s="182">
        <f t="shared" si="2"/>
        <v>865.56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70.2</v>
      </c>
      <c r="C27" s="193">
        <v>12</v>
      </c>
      <c r="D27" s="182">
        <f t="shared" si="2"/>
        <v>842.40000000000009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69.849999999999994</v>
      </c>
      <c r="C28" s="193">
        <v>29.5</v>
      </c>
      <c r="D28" s="182">
        <f t="shared" si="2"/>
        <v>2060.5749999999998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67.88</v>
      </c>
      <c r="C29" s="193">
        <v>29.5</v>
      </c>
      <c r="D29" s="182">
        <f t="shared" si="2"/>
        <v>2002.4599999999998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520</v>
      </c>
      <c r="C30" s="193">
        <v>29.5</v>
      </c>
      <c r="D30" s="182">
        <f t="shared" si="2"/>
        <v>15340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10355.940000000002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884.00000000000011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12739.940000000002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1800*(0.47+0.8)+150</f>
        <v>2436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1195.4000000000001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17</v>
      </c>
      <c r="B54" s="181">
        <f>'Données projet'!D62</f>
        <v>40.76</v>
      </c>
      <c r="C54" s="191">
        <v>5</v>
      </c>
      <c r="D54" s="179">
        <f>B54*C54</f>
        <v>203.79999999999998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23</v>
      </c>
      <c r="B55" s="181">
        <f>'Données projet'!D63</f>
        <v>57.75</v>
      </c>
      <c r="C55" s="191">
        <v>8.5</v>
      </c>
      <c r="D55" s="179">
        <f t="shared" ref="D55:D73" si="4">B55*C55</f>
        <v>490.875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29</v>
      </c>
      <c r="B56" s="181">
        <f>'Données projet'!D64</f>
        <v>54.64</v>
      </c>
      <c r="C56" s="191">
        <v>8.5</v>
      </c>
      <c r="D56" s="179">
        <f t="shared" si="4"/>
        <v>464.44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36</v>
      </c>
      <c r="B57" s="181">
        <f>'Données projet'!D65</f>
        <v>76.069999999999993</v>
      </c>
      <c r="C57" s="191">
        <v>12</v>
      </c>
      <c r="D57" s="179">
        <f t="shared" si="4"/>
        <v>912.83999999999992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44</v>
      </c>
      <c r="B58" s="181">
        <f>'Données projet'!D66</f>
        <v>77.91</v>
      </c>
      <c r="C58" s="191">
        <v>12</v>
      </c>
      <c r="D58" s="179">
        <f t="shared" si="4"/>
        <v>934.92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52</v>
      </c>
      <c r="B59" s="181">
        <f>'Données projet'!D67</f>
        <v>75.37</v>
      </c>
      <c r="C59" s="191">
        <v>29.5</v>
      </c>
      <c r="D59" s="179">
        <f t="shared" si="4"/>
        <v>2223.415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60</v>
      </c>
      <c r="B60" s="181">
        <f>'Données projet'!D68</f>
        <v>436.34</v>
      </c>
      <c r="C60" s="191">
        <v>29.5</v>
      </c>
      <c r="D60" s="179">
        <f t="shared" si="4"/>
        <v>12872.029999999999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sylvestre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1800*(0.47+0.8)+150</f>
        <v>2436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1195.4000000000001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22</v>
      </c>
      <c r="B85" s="181">
        <f>'Données projet'!D88</f>
        <v>50.38</v>
      </c>
      <c r="C85" s="191">
        <v>5</v>
      </c>
      <c r="D85" s="179">
        <f>B85*C85</f>
        <v>251.9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29</v>
      </c>
      <c r="B86" s="181">
        <f>'Données projet'!D89</f>
        <v>31.13</v>
      </c>
      <c r="C86" s="191">
        <v>5</v>
      </c>
      <c r="D86" s="179">
        <f t="shared" ref="D86:D104" si="6">B86*C86</f>
        <v>155.65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36</v>
      </c>
      <c r="B87" s="181">
        <f>'Données projet'!D90</f>
        <v>41.46</v>
      </c>
      <c r="C87" s="191">
        <v>5</v>
      </c>
      <c r="D87" s="179">
        <f t="shared" si="6"/>
        <v>207.3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44</v>
      </c>
      <c r="B88" s="181">
        <f>'Données projet'!D91</f>
        <v>42.43</v>
      </c>
      <c r="C88" s="191">
        <v>15</v>
      </c>
      <c r="D88" s="179">
        <f t="shared" si="6"/>
        <v>636.45000000000005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52</v>
      </c>
      <c r="B89" s="181">
        <f>'Données projet'!D92</f>
        <v>46.24</v>
      </c>
      <c r="C89" s="191">
        <v>19</v>
      </c>
      <c r="D89" s="179">
        <f t="shared" si="6"/>
        <v>878.56000000000006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41.67</v>
      </c>
      <c r="C90" s="191">
        <v>19</v>
      </c>
      <c r="D90" s="179">
        <f t="shared" si="6"/>
        <v>791.73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50</v>
      </c>
      <c r="C91" s="191">
        <v>19</v>
      </c>
      <c r="D91" s="179">
        <f t="shared" si="6"/>
        <v>950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39.97</v>
      </c>
      <c r="C92" s="191">
        <v>19</v>
      </c>
      <c r="D92" s="179">
        <f t="shared" si="6"/>
        <v>759.43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90</v>
      </c>
      <c r="B93" s="181">
        <f>'Données projet'!D96</f>
        <v>40.51</v>
      </c>
      <c r="C93" s="191">
        <v>19</v>
      </c>
      <c r="D93" s="179">
        <f t="shared" si="6"/>
        <v>769.68999999999994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100</v>
      </c>
      <c r="B94" s="181">
        <f>'Données projet'!D97</f>
        <v>219.7</v>
      </c>
      <c r="C94" s="191">
        <v>19</v>
      </c>
      <c r="D94" s="179">
        <f t="shared" si="6"/>
        <v>4174.3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103</v>
      </c>
      <c r="B95" s="181">
        <f>'Données projet'!D98</f>
        <v>158.65</v>
      </c>
      <c r="C95" s="191">
        <v>19</v>
      </c>
      <c r="D95" s="179">
        <f t="shared" si="6"/>
        <v>3014.35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1800*(0.47+0.8)+150</f>
        <v>2436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1195.4000000000001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>
        <v>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0</v>
      </c>
      <c r="C117" s="191">
        <v>5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18.589743589743588</v>
      </c>
      <c r="C118" s="191">
        <v>5</v>
      </c>
      <c r="D118" s="179">
        <f t="shared" si="8"/>
        <v>92.948717948717942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25</v>
      </c>
      <c r="B119" s="181">
        <f>'Données projet'!D117</f>
        <v>12.179487179487179</v>
      </c>
      <c r="C119" s="191">
        <v>5</v>
      </c>
      <c r="D119" s="179">
        <f t="shared" si="8"/>
        <v>60.897435897435898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12.820512820512819</v>
      </c>
      <c r="C120" s="191">
        <v>5</v>
      </c>
      <c r="D120" s="179">
        <f t="shared" si="8"/>
        <v>64.102564102564102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35</v>
      </c>
      <c r="B121" s="181">
        <f>'Données projet'!D119</f>
        <v>12.820512820512819</v>
      </c>
      <c r="C121" s="191">
        <v>32</v>
      </c>
      <c r="D121" s="179">
        <f t="shared" si="8"/>
        <v>410.25641025641022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40</v>
      </c>
      <c r="B122" s="181">
        <f>'Données projet'!D120</f>
        <v>12.820512820512819</v>
      </c>
      <c r="C122" s="191">
        <v>32</v>
      </c>
      <c r="D122" s="179">
        <f t="shared" si="8"/>
        <v>410.25641025641022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45</v>
      </c>
      <c r="B123" s="181">
        <f>'Données projet'!D121</f>
        <v>12.179487179487179</v>
      </c>
      <c r="C123" s="191">
        <v>32</v>
      </c>
      <c r="D123" s="179">
        <f t="shared" si="8"/>
        <v>389.74358974358972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50</v>
      </c>
      <c r="B124" s="181">
        <f>'Données projet'!D122</f>
        <v>11.538461538461538</v>
      </c>
      <c r="C124" s="191">
        <v>32</v>
      </c>
      <c r="D124" s="179">
        <f t="shared" si="8"/>
        <v>369.23076923076923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55</v>
      </c>
      <c r="B125" s="181">
        <f>'Données projet'!D123</f>
        <v>10.897435897435898</v>
      </c>
      <c r="C125" s="191">
        <v>32</v>
      </c>
      <c r="D125" s="179">
        <f t="shared" si="8"/>
        <v>348.71794871794873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60</v>
      </c>
      <c r="B126" s="181">
        <f>'Données projet'!D124</f>
        <v>10.256410256410255</v>
      </c>
      <c r="C126" s="191">
        <v>32</v>
      </c>
      <c r="D126" s="179">
        <f t="shared" si="8"/>
        <v>328.20512820512818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65</v>
      </c>
      <c r="B127" s="181">
        <f>'Données projet'!D125</f>
        <v>9.615384615384615</v>
      </c>
      <c r="C127" s="191">
        <v>32</v>
      </c>
      <c r="D127" s="179">
        <f t="shared" si="8"/>
        <v>307.69230769230768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70</v>
      </c>
      <c r="B128" s="181">
        <f>'Données projet'!D126</f>
        <v>8.9743589743589745</v>
      </c>
      <c r="C128" s="191">
        <v>32</v>
      </c>
      <c r="D128" s="179">
        <f t="shared" si="8"/>
        <v>287.17948717948718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75</v>
      </c>
      <c r="B129" s="181">
        <f>'Données projet'!D127</f>
        <v>7.6923076923076916</v>
      </c>
      <c r="C129" s="191">
        <v>32</v>
      </c>
      <c r="D129" s="179">
        <f t="shared" si="8"/>
        <v>246.15384615384613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80</v>
      </c>
      <c r="B130" s="181">
        <f>'Données projet'!D128</f>
        <v>7.0512820512820511</v>
      </c>
      <c r="C130" s="191">
        <v>32</v>
      </c>
      <c r="D130" s="179">
        <f t="shared" si="8"/>
        <v>225.64102564102564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85</v>
      </c>
      <c r="B131" s="181">
        <f>'Données projet'!D129</f>
        <v>6.4102564102564097</v>
      </c>
      <c r="C131" s="191">
        <v>32</v>
      </c>
      <c r="D131" s="179">
        <f t="shared" si="8"/>
        <v>205.12820512820511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90</v>
      </c>
      <c r="B132" s="181">
        <f>'Données projet'!D130</f>
        <v>6.4102564102564097</v>
      </c>
      <c r="C132" s="191">
        <v>32</v>
      </c>
      <c r="D132" s="179">
        <f t="shared" si="8"/>
        <v>205.12820512820511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95</v>
      </c>
      <c r="B133" s="181">
        <f>'Données projet'!D131</f>
        <v>7.0512820512820511</v>
      </c>
      <c r="C133" s="191">
        <v>32</v>
      </c>
      <c r="D133" s="179">
        <f t="shared" si="8"/>
        <v>225.64102564102564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100</v>
      </c>
      <c r="B134" s="181">
        <f>'Données projet'!D132</f>
        <v>7.0512820512820511</v>
      </c>
      <c r="C134" s="191">
        <v>32</v>
      </c>
      <c r="D134" s="179">
        <f t="shared" si="8"/>
        <v>225.64102564102564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bb971718bb2028cd8daa6c70d6774c88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de9eda1bc47a0c80adf8b42312680782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76C1FE-BB38-41C9-83A7-CE6BAFC27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2026-01-12T14:30:14Z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