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livier.Gleizes\Documents\C+FOR\Pierre Fabre\34 - Berlou\"/>
    </mc:Choice>
  </mc:AlternateContent>
  <bookViews>
    <workbookView xWindow="0" yWindow="0" windowWidth="11748" windowHeight="5316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3" i="1" l="1"/>
  <c r="B283" i="1" l="1"/>
  <c r="D282" i="1"/>
  <c r="B282" i="1"/>
  <c r="B281" i="1"/>
  <c r="D280" i="1"/>
  <c r="B280" i="1"/>
  <c r="B279" i="1"/>
  <c r="D278" i="1"/>
  <c r="B278" i="1"/>
  <c r="B277" i="1"/>
  <c r="D224" i="1"/>
  <c r="B224" i="1"/>
  <c r="D222" i="1"/>
  <c r="B222" i="1"/>
  <c r="D220" i="1"/>
  <c r="B220" i="1"/>
  <c r="B219" i="1"/>
  <c r="D146" i="1"/>
  <c r="B146" i="1"/>
  <c r="D145" i="1"/>
  <c r="B145" i="1"/>
  <c r="D144" i="1"/>
  <c r="B144" i="1"/>
  <c r="D143" i="1"/>
  <c r="B143" i="1"/>
  <c r="D142" i="1"/>
  <c r="B142" i="1"/>
  <c r="B141" i="1"/>
  <c r="B140" i="1"/>
  <c r="B73" i="1"/>
  <c r="D73" i="1" s="1"/>
  <c r="B72" i="1"/>
  <c r="D71" i="1"/>
  <c r="B71" i="1"/>
  <c r="B70" i="1"/>
  <c r="B69" i="1"/>
  <c r="D68" i="1"/>
  <c r="B68" i="1"/>
  <c r="B67" i="1"/>
  <c r="D66" i="1"/>
  <c r="B66" i="1"/>
  <c r="B65" i="1"/>
  <c r="B64" i="1"/>
  <c r="B63" i="1"/>
  <c r="B62" i="1"/>
  <c r="B49" i="1"/>
  <c r="D48" i="1"/>
  <c r="B48" i="1"/>
  <c r="B47" i="1"/>
  <c r="D46" i="1"/>
  <c r="B46" i="1"/>
  <c r="B45" i="1"/>
  <c r="D44" i="1"/>
  <c r="B44" i="1"/>
  <c r="B43" i="1"/>
  <c r="B101" i="1"/>
  <c r="D100" i="1"/>
  <c r="B100" i="1"/>
  <c r="B99" i="1"/>
  <c r="D98" i="1"/>
  <c r="B98" i="1"/>
  <c r="B97" i="1"/>
  <c r="D96" i="1"/>
  <c r="B96" i="1"/>
  <c r="B95" i="1"/>
  <c r="D94" i="1"/>
  <c r="B94" i="1"/>
  <c r="B93" i="1"/>
  <c r="D92" i="1"/>
  <c r="B92" i="1"/>
  <c r="B91" i="1"/>
  <c r="B90" i="1"/>
  <c r="B89" i="1"/>
  <c r="B88" i="1"/>
  <c r="D259" i="1" l="1"/>
  <c r="B259" i="1"/>
  <c r="B258" i="1"/>
  <c r="B257" i="1"/>
  <c r="D256" i="1"/>
  <c r="B256" i="1"/>
  <c r="B255" i="1"/>
  <c r="D254" i="1"/>
  <c r="B254" i="1"/>
  <c r="B253" i="1"/>
  <c r="D252" i="1"/>
  <c r="B252" i="1"/>
  <c r="B251" i="1"/>
  <c r="D250" i="1"/>
  <c r="B250" i="1"/>
  <c r="B249" i="1"/>
  <c r="D248" i="1"/>
  <c r="B248" i="1"/>
  <c r="B247" i="1"/>
  <c r="D246" i="1"/>
  <c r="B246" i="1"/>
  <c r="B245" i="1"/>
  <c r="B244" i="1"/>
  <c r="D198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Q4" i="2"/>
  <c r="GL4" i="2"/>
  <c r="FR4" i="2"/>
  <c r="EC4" i="2"/>
  <c r="B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HI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H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HG18" i="2"/>
  <c r="EV18" i="2"/>
  <c r="EW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H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V21" i="2"/>
  <c r="EW21" i="2"/>
  <c r="HH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B22" i="2"/>
  <c r="EA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B28" i="2"/>
  <c r="EC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EA38" i="2"/>
  <c r="HH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G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HI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EW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EA75" i="2"/>
  <c r="HG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EW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HH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B113" i="2"/>
  <c r="EC113" i="2"/>
  <c r="EX113" i="2"/>
  <c r="EW113" i="2"/>
  <c r="HG113" i="2"/>
  <c r="FS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HG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R120" i="2"/>
  <c r="EX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FS128" i="2"/>
  <c r="EB128" i="2"/>
  <c r="EX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B130" i="2"/>
  <c r="EX130" i="2"/>
  <c r="HI130" i="2"/>
  <c r="HH130" i="2"/>
  <c r="HG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HG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HH139" i="2"/>
  <c r="FS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B140" i="2"/>
  <c r="EX140" i="2"/>
  <c r="HH140" i="2"/>
  <c r="HG140" i="2"/>
  <c r="FR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X144" i="2"/>
  <c r="HH144" i="2"/>
  <c r="HG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G146" i="2" l="1"/>
  <c r="FS146" i="2"/>
  <c r="EA146" i="2"/>
  <c r="HI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H149" i="2"/>
  <c r="HG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C150" i="2"/>
  <c r="FS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HH154" i="2"/>
  <c r="EX154" i="2"/>
  <c r="AA154" i="2"/>
  <c r="EV154" i="2"/>
  <c r="EC154" i="2"/>
  <c r="EA154" i="2"/>
  <c r="ED154" i="2" s="1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G155" i="2" l="1"/>
  <c r="EY154" i="2"/>
  <c r="EA155" i="2"/>
  <c r="EW155" i="2"/>
  <c r="HH155" i="2"/>
  <c r="DI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FS156" i="2"/>
  <c r="EB156" i="2"/>
  <c r="HH156" i="2"/>
  <c r="HG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B157" i="2"/>
  <c r="EA157" i="2"/>
  <c r="EX157" i="2"/>
  <c r="HH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C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HI159" i="2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HI160" i="2"/>
  <c r="EY159" i="2"/>
  <c r="HG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AB161" i="2"/>
  <c r="FS161" i="2"/>
  <c r="EX161" i="2"/>
  <c r="ED160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HH162" i="2"/>
  <c r="EB162" i="2"/>
  <c r="EY161" i="2"/>
  <c r="EW162" i="2"/>
  <c r="EC162" i="2"/>
  <c r="DI161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HG163" i="2"/>
  <c r="HI163" i="2"/>
  <c r="EV163" i="2"/>
  <c r="EA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EY163" i="2"/>
  <c r="HG164" i="2"/>
  <c r="DI163" i="2"/>
  <c r="FR164" i="2"/>
  <c r="FS164" i="2"/>
  <c r="EV164" i="2"/>
  <c r="EX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CN165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EB167" i="2"/>
  <c r="EY166" i="2"/>
  <c r="HH167" i="2"/>
  <c r="EX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DI167" i="2"/>
  <c r="EC168" i="2"/>
  <c r="DG168" i="2"/>
  <c r="EW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Y171" i="2"/>
  <c r="HG172" i="2"/>
  <c r="HI172" i="2"/>
  <c r="EV172" i="2"/>
  <c r="EW172" i="2"/>
  <c r="EA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D174" i="2"/>
  <c r="EA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HH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S178" i="2"/>
  <c r="EA178" i="2"/>
  <c r="HG178" i="2"/>
  <c r="EB178" i="2"/>
  <c r="ED177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D180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Y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A185" i="2"/>
  <c r="EY184" i="2"/>
  <c r="HH185" i="2"/>
  <c r="HG185" i="2"/>
  <c r="EV185" i="2"/>
  <c r="EW185" i="2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FS186" i="2"/>
  <c r="EB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Y186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HH189" i="2"/>
  <c r="AA189" i="2"/>
  <c r="EB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B190" i="2" l="1"/>
  <c r="EY189" i="2"/>
  <c r="EV190" i="2"/>
  <c r="HH190" i="2"/>
  <c r="HG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ED190" i="2"/>
  <c r="HH191" i="2"/>
  <c r="EW191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EC192" i="2"/>
  <c r="EB192" i="2"/>
  <c r="EW192" i="2"/>
  <c r="HI192" i="2"/>
  <c r="EV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B193" i="2" l="1"/>
  <c r="EA193" i="2"/>
  <c r="EY192" i="2"/>
  <c r="HI193" i="2"/>
  <c r="FQ193" i="2"/>
  <c r="EX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CN193" i="2"/>
  <c r="HG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B195" i="2"/>
  <c r="EA195" i="2"/>
  <c r="HI195" i="2"/>
  <c r="EX195" i="2"/>
  <c r="EY194" i="2"/>
  <c r="DH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A197" i="2"/>
  <c r="EW197" i="2"/>
  <c r="HH197" i="2"/>
  <c r="EY196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FS199" i="2"/>
  <c r="EA199" i="2"/>
  <c r="EW199" i="2"/>
  <c r="EV199" i="2"/>
  <c r="HH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HJ200" i="2" l="1"/>
  <c r="DI200" i="2"/>
  <c r="FS201" i="2"/>
  <c r="HH201" i="2"/>
  <c r="HG201" i="2"/>
  <c r="EB201" i="2"/>
  <c r="HI201" i="2"/>
  <c r="EX201" i="2"/>
  <c r="AI5" i="2"/>
  <c r="EW201" i="2"/>
  <c r="EC201" i="2"/>
  <c r="ED201" i="2" s="1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G202" i="2" l="1"/>
  <c r="HI202" i="2"/>
  <c r="EX202" i="2"/>
  <c r="FS202" i="2"/>
  <c r="EW202" i="2"/>
  <c r="EY201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AH92" i="2" a="1"/>
  <c r="AH92" i="2" s="1"/>
  <c r="FD21" i="2" a="1"/>
  <c r="FD21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21" i="2" a="1"/>
  <c r="GT121" i="2" s="1"/>
  <c r="GT11" i="2" a="1"/>
  <c r="GT11" i="2" s="1"/>
  <c r="EI166" i="2" a="1"/>
  <c r="EI166" i="2" s="1"/>
  <c r="EI153" i="2" a="1"/>
  <c r="EI153" i="2" s="1"/>
  <c r="EI106" i="2" a="1"/>
  <c r="EI106" i="2" s="1"/>
  <c r="EI142" i="2" a="1"/>
  <c r="EI142" i="2" s="1"/>
  <c r="CS66" i="2" a="1"/>
  <c r="CS66" i="2" s="1"/>
  <c r="AH90" i="2" a="1"/>
  <c r="AH90" i="2" s="1"/>
  <c r="AH19" i="2" a="1"/>
  <c r="AH19" i="2" s="1"/>
  <c r="AH62" i="2" a="1"/>
  <c r="AH62" i="2" s="1"/>
  <c r="AH163" i="2" a="1"/>
  <c r="AH163" i="2" s="1"/>
  <c r="FD48" i="2" a="1"/>
  <c r="FD48" i="2" s="1"/>
  <c r="FD64" i="2" a="1"/>
  <c r="FD64" i="2" s="1"/>
  <c r="FD43" i="2" a="1"/>
  <c r="FD43" i="2" s="1"/>
  <c r="FD131" i="2" a="1"/>
  <c r="FD131" i="2" s="1"/>
  <c r="FD167" i="2" a="1"/>
  <c r="FD167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56" i="2" a="1"/>
  <c r="CS56" i="2" s="1"/>
  <c r="DN49" i="2" a="1"/>
  <c r="DN49" i="2" s="1"/>
  <c r="DN16" i="2" a="1"/>
  <c r="DN16" i="2" s="1"/>
  <c r="DN6" i="2" a="1"/>
  <c r="DN6" i="2" s="1"/>
  <c r="DO6" i="2" s="1"/>
  <c r="DN132" i="2" a="1"/>
  <c r="DN132" i="2" s="1"/>
  <c r="CS24" i="2" a="1"/>
  <c r="CS24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GT102" i="2" l="1" a="1"/>
  <c r="GT102" i="2" s="1"/>
  <c r="GT147" i="2" a="1"/>
  <c r="GT147" i="2" s="1"/>
  <c r="GT152" i="2" a="1"/>
  <c r="GT152" i="2" s="1"/>
  <c r="GT33" i="2" a="1"/>
  <c r="GT33" i="2" s="1"/>
  <c r="FD189" i="2" a="1"/>
  <c r="FD189" i="2" s="1"/>
  <c r="FD14" i="2" a="1"/>
  <c r="FD14" i="2" s="1"/>
  <c r="FD44" i="2" a="1"/>
  <c r="FD44" i="2" s="1"/>
  <c r="FD188" i="2" a="1"/>
  <c r="FD188" i="2" s="1"/>
  <c r="FD60" i="2" a="1"/>
  <c r="FD60" i="2" s="1"/>
  <c r="FD160" i="2" a="1"/>
  <c r="FD160" i="2" s="1"/>
  <c r="FD137" i="2" a="1"/>
  <c r="FD137" i="2" s="1"/>
  <c r="FD159" i="2" a="1"/>
  <c r="FD159" i="2" s="1"/>
  <c r="FD107" i="2" a="1"/>
  <c r="FD107" i="2" s="1"/>
  <c r="FD59" i="2" a="1"/>
  <c r="FD59" i="2" s="1"/>
  <c r="FD144" i="2" a="1"/>
  <c r="FD144" i="2" s="1"/>
  <c r="CS185" i="2" a="1"/>
  <c r="CS185" i="2" s="1"/>
  <c r="CS72" i="2" a="1"/>
  <c r="CS72" i="2" s="1"/>
  <c r="CS134" i="2" a="1"/>
  <c r="CS134" i="2" s="1"/>
  <c r="CS137" i="2" a="1"/>
  <c r="CS137" i="2" s="1"/>
  <c r="CS116" i="2" a="1"/>
  <c r="CS116" i="2" s="1"/>
  <c r="CS38" i="2" a="1"/>
  <c r="CS38" i="2" s="1"/>
  <c r="CS105" i="2" a="1"/>
  <c r="CS105" i="2" s="1"/>
  <c r="CS161" i="2" a="1"/>
  <c r="CS161" i="2" s="1"/>
  <c r="CS120" i="2" a="1"/>
  <c r="CS120" i="2" s="1"/>
  <c r="CS114" i="2" a="1"/>
  <c r="CS114" i="2" s="1"/>
  <c r="CS77" i="2" a="1"/>
  <c r="CS77" i="2" s="1"/>
  <c r="AH199" i="2" a="1"/>
  <c r="AH199" i="2" s="1"/>
  <c r="AH166" i="2" a="1"/>
  <c r="AH166" i="2" s="1"/>
  <c r="FY115" i="2" a="1"/>
  <c r="FY115" i="2" s="1"/>
  <c r="FY182" i="2" a="1"/>
  <c r="FY182" i="2" s="1"/>
  <c r="FY149" i="2" a="1"/>
  <c r="FY149" i="2" s="1"/>
  <c r="FY167" i="2" a="1"/>
  <c r="FY167" i="2" s="1"/>
  <c r="FY142" i="2" a="1"/>
  <c r="FY142" i="2" s="1"/>
  <c r="FY80" i="2" a="1"/>
  <c r="FY80" i="2" s="1"/>
  <c r="FY30" i="2" a="1"/>
  <c r="FY30" i="2" s="1"/>
  <c r="FY42" i="2" a="1"/>
  <c r="FY42" i="2" s="1"/>
  <c r="FY196" i="2" a="1"/>
  <c r="FY196" i="2" s="1"/>
  <c r="FY82" i="2" a="1"/>
  <c r="FY82" i="2" s="1"/>
  <c r="FY178" i="2" a="1"/>
  <c r="FY178" i="2" s="1"/>
  <c r="FY55" i="2" a="1"/>
  <c r="FY55" i="2" s="1"/>
  <c r="FY92" i="2" a="1"/>
  <c r="FY92" i="2" s="1"/>
  <c r="FY86" i="2" a="1"/>
  <c r="FY86" i="2" s="1"/>
  <c r="FY58" i="2" a="1"/>
  <c r="FY58" i="2" s="1"/>
  <c r="FY172" i="2" a="1"/>
  <c r="FY172" i="2" s="1"/>
  <c r="FY104" i="2" a="1"/>
  <c r="FY104" i="2" s="1"/>
  <c r="FY34" i="2" a="1"/>
  <c r="FY34" i="2" s="1"/>
  <c r="FY164" i="2" a="1"/>
  <c r="FY164" i="2" s="1"/>
  <c r="FY191" i="2" a="1"/>
  <c r="FY191" i="2" s="1"/>
  <c r="FY110" i="2" a="1"/>
  <c r="FY110" i="2" s="1"/>
  <c r="FY24" i="2" a="1"/>
  <c r="FY24" i="2" s="1"/>
  <c r="FY124" i="2" a="1"/>
  <c r="FY124" i="2" s="1"/>
  <c r="FY169" i="2" a="1"/>
  <c r="FY169" i="2" s="1"/>
  <c r="FY62" i="2" a="1"/>
  <c r="FY62" i="2" s="1"/>
  <c r="FY190" i="2" a="1"/>
  <c r="FY190" i="2" s="1"/>
  <c r="FY72" i="2" a="1"/>
  <c r="FY72" i="2" s="1"/>
  <c r="FY121" i="2" a="1"/>
  <c r="FY121" i="2" s="1"/>
  <c r="FY133" i="2" a="1"/>
  <c r="FY133" i="2" s="1"/>
  <c r="FY29" i="2" a="1"/>
  <c r="FY29" i="2" s="1"/>
  <c r="FY126" i="2" a="1"/>
  <c r="FY126" i="2" s="1"/>
  <c r="FY188" i="2" a="1"/>
  <c r="FY188" i="2" s="1"/>
  <c r="FY28" i="2" a="1"/>
  <c r="FY28" i="2" s="1"/>
  <c r="FY78" i="2" a="1"/>
  <c r="FY78" i="2" s="1"/>
  <c r="FY174" i="2" a="1"/>
  <c r="FY174" i="2" s="1"/>
  <c r="FY99" i="2" a="1"/>
  <c r="FY99" i="2" s="1"/>
  <c r="FY116" i="2" a="1"/>
  <c r="FY116" i="2" s="1"/>
  <c r="FY140" i="2" a="1"/>
  <c r="FY140" i="2" s="1"/>
  <c r="FY111" i="2" a="1"/>
  <c r="FY111" i="2" s="1"/>
  <c r="FY73" i="2" a="1"/>
  <c r="FY73" i="2" s="1"/>
  <c r="FY152" i="2" a="1"/>
  <c r="FY152" i="2" s="1"/>
  <c r="FY186" i="2" a="1"/>
  <c r="FY186" i="2" s="1"/>
  <c r="FY173" i="2" a="1"/>
  <c r="FY173" i="2" s="1"/>
  <c r="FY159" i="2" a="1"/>
  <c r="FY159" i="2" s="1"/>
  <c r="FY143" i="2" a="1"/>
  <c r="FY143" i="2" s="1"/>
  <c r="FY54" i="2" a="1"/>
  <c r="FY54" i="2" s="1"/>
  <c r="FY50" i="2" a="1"/>
  <c r="FY50" i="2" s="1"/>
  <c r="FY153" i="2" a="1"/>
  <c r="FY153" i="2" s="1"/>
  <c r="FY102" i="2" a="1"/>
  <c r="FY102" i="2" s="1"/>
  <c r="FY69" i="2" a="1"/>
  <c r="FY69" i="2" s="1"/>
  <c r="FY66" i="2" a="1"/>
  <c r="FY66" i="2" s="1"/>
  <c r="FY120" i="2" a="1"/>
  <c r="FY120" i="2" s="1"/>
  <c r="FY71" i="2" a="1"/>
  <c r="FY71" i="2" s="1"/>
  <c r="FY18" i="2" a="1"/>
  <c r="FY18" i="2" s="1"/>
  <c r="FY109" i="2" a="1"/>
  <c r="FY109" i="2" s="1"/>
  <c r="FY79" i="2" a="1"/>
  <c r="FY79" i="2" s="1"/>
  <c r="FY47" i="2" a="1"/>
  <c r="FY47" i="2" s="1"/>
  <c r="FY35" i="2" a="1"/>
  <c r="FY35" i="2" s="1"/>
  <c r="FY165" i="2" a="1"/>
  <c r="FY165" i="2" s="1"/>
  <c r="FY146" i="2" a="1"/>
  <c r="FY146" i="2" s="1"/>
  <c r="FY32" i="2" a="1"/>
  <c r="FY32" i="2" s="1"/>
  <c r="FY22" i="2" a="1"/>
  <c r="FY22" i="2" s="1"/>
  <c r="FY90" i="2" a="1"/>
  <c r="FY90" i="2" s="1"/>
  <c r="FY57" i="2" a="1"/>
  <c r="FY57" i="2" s="1"/>
  <c r="AH151" i="2" a="1"/>
  <c r="AH151" i="2" s="1"/>
  <c r="FS203" i="2"/>
  <c r="DN31" i="2" a="1"/>
  <c r="DN31" i="2" s="1"/>
  <c r="DN38" i="2" a="1"/>
  <c r="DN38" i="2" s="1"/>
  <c r="DN30" i="2" a="1"/>
  <c r="DN30" i="2" s="1"/>
  <c r="DN46" i="2" a="1"/>
  <c r="DN46" i="2" s="1"/>
  <c r="DN80" i="2" a="1"/>
  <c r="DN80" i="2" s="1"/>
  <c r="DN190" i="2" a="1"/>
  <c r="DN190" i="2" s="1"/>
  <c r="DN133" i="2" a="1"/>
  <c r="DN133" i="2" s="1"/>
  <c r="DN65" i="2" a="1"/>
  <c r="DN65" i="2" s="1"/>
  <c r="DN70" i="2" a="1"/>
  <c r="DN70" i="2" s="1"/>
  <c r="DN55" i="2" a="1"/>
  <c r="DN55" i="2" s="1"/>
  <c r="DN176" i="2" a="1"/>
  <c r="DN176" i="2" s="1"/>
  <c r="DN63" i="2" a="1"/>
  <c r="DN63" i="2" s="1"/>
  <c r="DN168" i="2" a="1"/>
  <c r="DN168" i="2" s="1"/>
  <c r="DN167" i="2" a="1"/>
  <c r="DN167" i="2" s="1"/>
  <c r="DN162" i="2" a="1"/>
  <c r="DN162" i="2" s="1"/>
  <c r="DN155" i="2" a="1"/>
  <c r="DN155" i="2" s="1"/>
  <c r="DN114" i="2" a="1"/>
  <c r="DN114" i="2" s="1"/>
  <c r="DN103" i="2" a="1"/>
  <c r="DN103" i="2" s="1"/>
  <c r="DN164" i="2" a="1"/>
  <c r="DN164" i="2" s="1"/>
  <c r="DN135" i="2" a="1"/>
  <c r="DN135" i="2" s="1"/>
  <c r="DN123" i="2" a="1"/>
  <c r="DN123" i="2" s="1"/>
  <c r="DN150" i="2" a="1"/>
  <c r="DN150" i="2" s="1"/>
  <c r="DN192" i="2" a="1"/>
  <c r="DN192" i="2" s="1"/>
  <c r="DN110" i="2" a="1"/>
  <c r="DN110" i="2" s="1"/>
  <c r="DN66" i="2" a="1"/>
  <c r="DN66" i="2" s="1"/>
  <c r="DN188" i="2" a="1"/>
  <c r="DN188" i="2" s="1"/>
  <c r="DN86" i="2" a="1"/>
  <c r="DN86" i="2" s="1"/>
  <c r="DN177" i="2" a="1"/>
  <c r="DN177" i="2" s="1"/>
  <c r="DN115" i="2" a="1"/>
  <c r="DN115" i="2" s="1"/>
  <c r="DN153" i="2" a="1"/>
  <c r="DN153" i="2" s="1"/>
  <c r="DN170" i="2" a="1"/>
  <c r="DN170" i="2" s="1"/>
  <c r="DN50" i="2" a="1"/>
  <c r="DN50" i="2" s="1"/>
  <c r="DN25" i="2" a="1"/>
  <c r="DN25" i="2" s="1"/>
  <c r="DN113" i="2" a="1"/>
  <c r="DN113" i="2" s="1"/>
  <c r="DN184" i="2" a="1"/>
  <c r="DN184" i="2" s="1"/>
  <c r="DN152" i="2" a="1"/>
  <c r="DN152" i="2" s="1"/>
  <c r="DN29" i="2" a="1"/>
  <c r="DN29" i="2" s="1"/>
  <c r="DN41" i="2" a="1"/>
  <c r="DN41" i="2" s="1"/>
  <c r="DN43" i="2" a="1"/>
  <c r="DN43" i="2" s="1"/>
  <c r="DN186" i="2" a="1"/>
  <c r="DN186" i="2" s="1"/>
  <c r="DN137" i="2" a="1"/>
  <c r="DN137" i="2" s="1"/>
  <c r="DN124" i="2" a="1"/>
  <c r="DN124" i="2" s="1"/>
  <c r="DN129" i="2" a="1"/>
  <c r="DN129" i="2" s="1"/>
  <c r="DN56" i="2" a="1"/>
  <c r="DN56" i="2" s="1"/>
  <c r="EI198" i="2" a="1"/>
  <c r="EI198" i="2" s="1"/>
  <c r="EI195" i="2" a="1"/>
  <c r="EI195" i="2" s="1"/>
  <c r="EI178" i="2" a="1"/>
  <c r="EI178" i="2" s="1"/>
  <c r="EI145" i="2" a="1"/>
  <c r="EI145" i="2" s="1"/>
  <c r="EI162" i="2" a="1"/>
  <c r="EI162" i="2" s="1"/>
  <c r="EI150" i="2" a="1"/>
  <c r="EI150" i="2" s="1"/>
  <c r="EI29" i="2" a="1"/>
  <c r="EI29" i="2" s="1"/>
  <c r="GT133" i="2" a="1"/>
  <c r="GT133" i="2" s="1"/>
  <c r="GT122" i="2" a="1"/>
  <c r="GT122" i="2" s="1"/>
  <c r="GT51" i="2" a="1"/>
  <c r="GT51" i="2" s="1"/>
  <c r="GT68" i="2" a="1"/>
  <c r="GT68" i="2" s="1"/>
  <c r="GT181" i="2" a="1"/>
  <c r="GT181" i="2" s="1"/>
  <c r="GT184" i="2" a="1"/>
  <c r="GT184" i="2" s="1"/>
  <c r="BP203" i="2"/>
  <c r="CS129" i="2" a="1"/>
  <c r="CS129" i="2" s="1"/>
  <c r="CS52" i="2" a="1"/>
  <c r="CS52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65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91" i="2" l="1"/>
  <c r="FJ44" i="2"/>
  <c r="FJ149" i="2"/>
  <c r="FJ122" i="2"/>
  <c r="FJ124" i="2"/>
  <c r="FJ27" i="2"/>
  <c r="FJ136" i="2"/>
  <c r="FJ140" i="2"/>
  <c r="FJ181" i="2"/>
  <c r="FJ36" i="2"/>
  <c r="FJ45" i="2"/>
  <c r="FJ114" i="2"/>
  <c r="FJ83" i="2"/>
  <c r="FJ147" i="2"/>
  <c r="FJ99" i="2"/>
  <c r="FJ128" i="2"/>
  <c r="FJ153" i="2"/>
  <c r="FJ19" i="2"/>
  <c r="FJ115" i="2"/>
  <c r="FJ192" i="2"/>
  <c r="FJ150" i="2"/>
  <c r="FJ102" i="2"/>
  <c r="FJ26" i="2"/>
  <c r="FJ66" i="2"/>
  <c r="FJ170" i="2"/>
  <c r="FJ9" i="2"/>
  <c r="FJ126" i="2"/>
  <c r="FJ94" i="2"/>
  <c r="FJ200" i="2"/>
  <c r="FJ51" i="2"/>
  <c r="FJ95" i="2"/>
  <c r="FJ168" i="2"/>
  <c r="FJ120" i="2"/>
  <c r="FJ18" i="2"/>
  <c r="FJ53" i="2"/>
  <c r="FJ105" i="2"/>
  <c r="FJ125" i="2"/>
  <c r="FJ197" i="2"/>
  <c r="FJ158" i="2"/>
  <c r="FJ33" i="2"/>
  <c r="FJ111" i="2"/>
  <c r="FJ82" i="2"/>
  <c r="FJ182" i="2"/>
  <c r="FJ202" i="2"/>
  <c r="FJ189" i="2"/>
  <c r="FJ142" i="2"/>
  <c r="FJ17" i="2"/>
  <c r="FJ177" i="2"/>
  <c r="FJ29" i="2"/>
  <c r="FJ139" i="2"/>
  <c r="FJ108" i="2"/>
  <c r="FJ161" i="2"/>
  <c r="FJ163" i="2"/>
  <c r="FJ73" i="2"/>
  <c r="FJ138" i="2"/>
  <c r="FJ145" i="2"/>
  <c r="FJ84" i="2"/>
  <c r="FJ148" i="2"/>
  <c r="FJ60" i="2"/>
  <c r="FJ184" i="2"/>
  <c r="FJ20" i="2"/>
  <c r="FJ178" i="2"/>
  <c r="FJ109" i="2"/>
  <c r="FJ129" i="2"/>
  <c r="FJ154" i="2"/>
  <c r="FJ203" i="2"/>
  <c r="FJ40" i="2"/>
  <c r="FJ100" i="2"/>
  <c r="FJ3" i="2"/>
  <c r="C13" i="4" s="1"/>
  <c r="E13" i="4" s="1"/>
  <c r="F13" i="4" s="1"/>
  <c r="G13" i="4" s="1"/>
  <c r="L13" i="4" s="1"/>
  <c r="FJ176" i="2"/>
  <c r="FJ63" i="2"/>
  <c r="FJ135" i="2"/>
  <c r="FJ110" i="2"/>
  <c r="FJ86" i="2"/>
  <c r="FJ196" i="2"/>
  <c r="FJ13" i="2"/>
  <c r="FJ188" i="2"/>
  <c r="FJ49" i="2"/>
  <c r="FJ172" i="2"/>
  <c r="FJ24" i="2"/>
  <c r="FJ6" i="2"/>
  <c r="FJ198" i="2"/>
  <c r="FJ162" i="2"/>
  <c r="FJ91" i="2"/>
  <c r="FJ16" i="2"/>
  <c r="FJ34" i="2"/>
  <c r="FJ130" i="2"/>
  <c r="FJ187" i="2"/>
  <c r="FJ47" i="2"/>
  <c r="FJ193" i="2"/>
  <c r="FJ55" i="2"/>
  <c r="FJ134" i="2"/>
  <c r="FJ101" i="2"/>
  <c r="FJ194" i="2"/>
  <c r="FJ151" i="2"/>
  <c r="FJ118" i="2"/>
  <c r="FJ23" i="2"/>
  <c r="FJ121" i="2"/>
  <c r="FJ88" i="2"/>
  <c r="FJ14" i="2"/>
  <c r="FJ72" i="2"/>
  <c r="FJ199" i="2"/>
  <c r="FJ31" i="2"/>
  <c r="FJ41" i="2"/>
  <c r="FJ85" i="2"/>
  <c r="FJ52" i="2"/>
  <c r="FJ12" i="2"/>
  <c r="FJ67" i="2"/>
  <c r="FJ166" i="2"/>
  <c r="FJ165" i="2"/>
  <c r="FJ97" i="2"/>
  <c r="FJ133" i="2"/>
  <c r="FJ96" i="2"/>
  <c r="FJ117" i="2"/>
  <c r="FJ71" i="2"/>
  <c r="FJ175" i="2"/>
  <c r="FJ119" i="2"/>
  <c r="FJ106" i="2"/>
  <c r="FJ50" i="2"/>
  <c r="FJ90" i="2"/>
  <c r="FJ201" i="2"/>
  <c r="FJ10" i="2"/>
  <c r="FJ137" i="2"/>
  <c r="FJ30" i="2"/>
  <c r="FJ74" i="2"/>
  <c r="FJ39" i="2"/>
  <c r="FJ195" i="2"/>
  <c r="FJ80" i="2"/>
  <c r="FJ155" i="2"/>
  <c r="FJ58" i="2"/>
  <c r="FJ54" i="2"/>
  <c r="FJ61" i="2"/>
  <c r="FJ190" i="2"/>
  <c r="FJ38" i="2"/>
  <c r="FJ104" i="2"/>
  <c r="FJ98" i="2"/>
  <c r="FJ68" i="2"/>
  <c r="FJ4" i="2"/>
  <c r="FJ79" i="2"/>
  <c r="FJ75" i="2"/>
  <c r="FJ57" i="2"/>
  <c r="FJ37" i="2"/>
  <c r="FJ28" i="2"/>
  <c r="FJ62" i="2"/>
  <c r="FJ180" i="2"/>
  <c r="FJ69" i="2"/>
  <c r="FJ156" i="2"/>
  <c r="FJ77" i="2"/>
  <c r="FJ89" i="2"/>
  <c r="FJ112" i="2"/>
  <c r="FJ81" i="2"/>
  <c r="FJ22" i="2"/>
  <c r="FJ48" i="2"/>
  <c r="FJ11" i="2"/>
  <c r="FJ32" i="2"/>
  <c r="FJ92" i="2"/>
  <c r="FJ144" i="2"/>
  <c r="FJ113" i="2"/>
  <c r="FJ131" i="2"/>
  <c r="FJ186" i="2"/>
  <c r="FJ64" i="2"/>
  <c r="FJ42" i="2"/>
  <c r="FJ160" i="2"/>
  <c r="FJ107" i="2"/>
  <c r="FJ76" i="2"/>
  <c r="FJ146" i="2"/>
  <c r="FJ152" i="2"/>
  <c r="FJ159" i="2"/>
  <c r="FJ173" i="2"/>
  <c r="FJ103" i="2"/>
  <c r="FJ127" i="2"/>
  <c r="FJ164" i="2"/>
  <c r="FJ179" i="2"/>
  <c r="FJ87" i="2"/>
  <c r="FJ167" i="2"/>
  <c r="FJ43" i="2"/>
  <c r="FJ70" i="2"/>
  <c r="FJ157" i="2"/>
  <c r="FJ8" i="2"/>
  <c r="FJ25" i="2"/>
  <c r="FJ78" i="2"/>
  <c r="FJ5" i="2"/>
  <c r="FJ59" i="2"/>
  <c r="FJ21" i="2"/>
  <c r="FJ93" i="2"/>
  <c r="FJ46" i="2"/>
  <c r="FJ123" i="2"/>
  <c r="FJ7" i="2"/>
  <c r="FJ116" i="2"/>
  <c r="FJ183" i="2"/>
  <c r="FJ169" i="2"/>
  <c r="FJ35" i="2"/>
  <c r="FJ15" i="2"/>
  <c r="FJ56" i="2"/>
  <c r="FJ185" i="2"/>
  <c r="FJ174" i="2"/>
  <c r="FJ141" i="2"/>
  <c r="FJ171" i="2"/>
  <c r="FJ132" i="2"/>
  <c r="FJ143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126" i="2" l="1"/>
  <c r="CD194" i="2"/>
  <c r="CD183" i="2"/>
  <c r="CD171" i="2"/>
  <c r="CD103" i="2"/>
  <c r="CD115" i="2"/>
  <c r="CD169" i="2"/>
  <c r="CD155" i="2"/>
  <c r="CD62" i="2"/>
  <c r="CD147" i="2"/>
  <c r="CD20" i="2"/>
  <c r="CD203" i="2"/>
  <c r="CD50" i="2"/>
  <c r="CD114" i="2"/>
  <c r="CD180" i="2"/>
  <c r="CD43" i="2"/>
  <c r="CD139" i="2"/>
  <c r="CD44" i="2"/>
  <c r="CD35" i="2"/>
  <c r="CD85" i="2"/>
  <c r="CD66" i="2"/>
  <c r="CD71" i="2"/>
  <c r="CD22" i="2"/>
  <c r="CD112" i="2"/>
  <c r="CD92" i="2"/>
  <c r="CD14" i="2"/>
  <c r="CD159" i="2"/>
  <c r="CD119" i="2"/>
  <c r="CD153" i="2"/>
  <c r="CD98" i="2"/>
  <c r="CD113" i="2"/>
  <c r="CD120" i="2"/>
  <c r="CD146" i="2"/>
  <c r="CD70" i="2"/>
  <c r="CD93" i="2"/>
  <c r="CD164" i="2"/>
  <c r="CD197" i="2"/>
  <c r="CD99" i="2"/>
  <c r="CD10" i="2"/>
  <c r="CD122" i="2"/>
  <c r="CD12" i="2"/>
  <c r="CD30" i="2"/>
  <c r="CD175" i="2"/>
  <c r="CD162" i="2"/>
  <c r="CD202" i="2"/>
  <c r="CD134" i="2"/>
  <c r="CD39" i="2"/>
  <c r="CD178" i="2"/>
  <c r="CD190" i="2"/>
  <c r="CD75" i="2"/>
  <c r="CD82" i="2"/>
  <c r="CD177" i="2"/>
  <c r="CD201" i="2"/>
  <c r="CD3" i="2"/>
  <c r="C9" i="4" s="1"/>
  <c r="E9" i="4" s="1"/>
  <c r="F9" i="4" s="1"/>
  <c r="G9" i="4" s="1"/>
  <c r="L9" i="4" s="1"/>
  <c r="CD118" i="2"/>
  <c r="CD173" i="2"/>
  <c r="CD11" i="2"/>
  <c r="CD5" i="2"/>
  <c r="CD58" i="2"/>
  <c r="CD60" i="2"/>
  <c r="CD6" i="2"/>
  <c r="CD200" i="2"/>
  <c r="CD57" i="2"/>
  <c r="CD102" i="2"/>
  <c r="CD163" i="2"/>
  <c r="CD56" i="2"/>
  <c r="CD87" i="2"/>
  <c r="CD170" i="2"/>
  <c r="CD144" i="2"/>
  <c r="CD33" i="2"/>
  <c r="CD111" i="2"/>
  <c r="CD77" i="2"/>
  <c r="CD165" i="2"/>
  <c r="CD65" i="2"/>
  <c r="CD124" i="2"/>
  <c r="CD40" i="2"/>
  <c r="CD156" i="2"/>
  <c r="CD53" i="2"/>
  <c r="CD125" i="2"/>
  <c r="CD37" i="2"/>
  <c r="CD4" i="2"/>
  <c r="CD21" i="2"/>
  <c r="CD95" i="2"/>
  <c r="CD140" i="2"/>
  <c r="CD104" i="2"/>
  <c r="CD108" i="2"/>
  <c r="CD88" i="2"/>
  <c r="CD143" i="2"/>
  <c r="CD38" i="2"/>
  <c r="CD121" i="2"/>
  <c r="CD189" i="2"/>
  <c r="CD100" i="2"/>
  <c r="CD23" i="2"/>
  <c r="CD161" i="2"/>
  <c r="CD135" i="2"/>
  <c r="CD154" i="2"/>
  <c r="CD137" i="2"/>
  <c r="CD18" i="2"/>
  <c r="CD42" i="2"/>
  <c r="CD61" i="2"/>
  <c r="CD29" i="2"/>
  <c r="CD83" i="2"/>
  <c r="CD8" i="2"/>
  <c r="CD196" i="2"/>
  <c r="CD45" i="2"/>
  <c r="CD89" i="2"/>
  <c r="CD51" i="2"/>
  <c r="CD97" i="2"/>
  <c r="CD94" i="2"/>
  <c r="CD151" i="2"/>
  <c r="CD142" i="2"/>
  <c r="CD90" i="2"/>
  <c r="CD15" i="2"/>
  <c r="CD174" i="2"/>
  <c r="CD86" i="2"/>
  <c r="CD80" i="2"/>
  <c r="CD91" i="2"/>
  <c r="CD59" i="2"/>
  <c r="CD69" i="2"/>
  <c r="CD199" i="2"/>
  <c r="CD107" i="2"/>
  <c r="CD166" i="2"/>
  <c r="CD13" i="2"/>
  <c r="CD193" i="2"/>
  <c r="CD54" i="2"/>
  <c r="CD49" i="2"/>
  <c r="CD73" i="2"/>
  <c r="CD157" i="2"/>
  <c r="CD17" i="2"/>
  <c r="CD195" i="2"/>
  <c r="CD186" i="2"/>
  <c r="CD127" i="2"/>
  <c r="CD141" i="2"/>
  <c r="CD78" i="2"/>
  <c r="CD34" i="2"/>
  <c r="CD128" i="2"/>
  <c r="CD136" i="2"/>
  <c r="CD47" i="2"/>
  <c r="CD187" i="2"/>
  <c r="CD168" i="2"/>
  <c r="CD192" i="2"/>
  <c r="CD63" i="2"/>
  <c r="CD106" i="2"/>
  <c r="CD150" i="2"/>
  <c r="CD81" i="2"/>
  <c r="CD109" i="2"/>
  <c r="CD176" i="2"/>
  <c r="CD36" i="2"/>
  <c r="CD117" i="2"/>
  <c r="CD48" i="2"/>
  <c r="CD64" i="2"/>
  <c r="CD133" i="2"/>
  <c r="CD123" i="2"/>
  <c r="CD105" i="2"/>
  <c r="CD32" i="2"/>
  <c r="CD67" i="2"/>
  <c r="CD152" i="2"/>
  <c r="CD167" i="2"/>
  <c r="CD68" i="2"/>
  <c r="CD132" i="2"/>
  <c r="CD19" i="2"/>
  <c r="CD185" i="2"/>
  <c r="CD131" i="2"/>
  <c r="CD149" i="2"/>
  <c r="CD198" i="2"/>
  <c r="CD79" i="2"/>
  <c r="CD172" i="2"/>
  <c r="CD129" i="2"/>
  <c r="CD181" i="2"/>
  <c r="CD84" i="2"/>
  <c r="CD110" i="2"/>
  <c r="CD96" i="2"/>
  <c r="CD28" i="2"/>
  <c r="CD25" i="2"/>
  <c r="CD130" i="2"/>
  <c r="CD46" i="2"/>
  <c r="CD27" i="2"/>
  <c r="CD9" i="2"/>
  <c r="CD74" i="2"/>
  <c r="CD148" i="2"/>
  <c r="CD55" i="2"/>
  <c r="CD138" i="2"/>
  <c r="CD145" i="2"/>
  <c r="CD52" i="2"/>
  <c r="CD26" i="2"/>
  <c r="CD72" i="2"/>
  <c r="CD160" i="2"/>
  <c r="CD76" i="2"/>
  <c r="CD188" i="2"/>
  <c r="CD158" i="2"/>
  <c r="CD184" i="2"/>
  <c r="CD179" i="2"/>
  <c r="CD182" i="2"/>
  <c r="CD116" i="2"/>
  <c r="CD31" i="2"/>
  <c r="CD191" i="2"/>
  <c r="CD41" i="2"/>
  <c r="CD101" i="2"/>
  <c r="CD16" i="2"/>
  <c r="CD24" i="2"/>
  <c r="CD7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GZ43" i="2" l="1"/>
  <c r="GZ63" i="2"/>
  <c r="GZ54" i="2"/>
  <c r="GZ23" i="2"/>
  <c r="GZ62" i="2"/>
  <c r="GZ118" i="2"/>
  <c r="GZ104" i="2"/>
  <c r="GZ37" i="2"/>
  <c r="GZ47" i="2"/>
  <c r="GZ146" i="2"/>
  <c r="GZ78" i="2"/>
  <c r="GZ24" i="2"/>
  <c r="GZ150" i="2"/>
  <c r="GZ75" i="2"/>
  <c r="GZ175" i="2"/>
  <c r="GZ18" i="2"/>
  <c r="GZ123" i="2"/>
  <c r="GZ106" i="2"/>
  <c r="GZ114" i="2"/>
  <c r="GZ94" i="2"/>
  <c r="GZ89" i="2"/>
  <c r="GZ139" i="2"/>
  <c r="GZ142" i="2"/>
  <c r="GZ3" i="2"/>
  <c r="C15" i="4" s="1"/>
  <c r="E15" i="4" s="1"/>
  <c r="F15" i="4" s="1"/>
  <c r="G15" i="4" s="1"/>
  <c r="L15" i="4" s="1"/>
  <c r="GZ186" i="2"/>
  <c r="GZ127" i="2"/>
  <c r="GZ35" i="2"/>
  <c r="GZ91" i="2"/>
  <c r="GZ87" i="2"/>
  <c r="GZ72" i="2"/>
  <c r="GZ140" i="2"/>
  <c r="GZ50" i="2"/>
  <c r="GZ148" i="2"/>
  <c r="GZ31" i="2"/>
  <c r="GZ83" i="2"/>
  <c r="GZ42" i="2"/>
  <c r="GZ67" i="2"/>
  <c r="GZ117" i="2"/>
  <c r="GZ197" i="2"/>
  <c r="GZ195" i="2"/>
  <c r="GZ68" i="2"/>
  <c r="GZ36" i="2"/>
  <c r="GZ179" i="2"/>
  <c r="GZ130" i="2"/>
  <c r="GZ52" i="2"/>
  <c r="GZ173" i="2"/>
  <c r="GZ191" i="2"/>
  <c r="GZ73" i="2"/>
  <c r="GZ108" i="2"/>
  <c r="GZ44" i="2"/>
  <c r="GZ192" i="2"/>
  <c r="GZ4" i="2"/>
  <c r="GZ27" i="2"/>
  <c r="GZ176" i="2"/>
  <c r="GZ49" i="2"/>
  <c r="GZ194" i="2"/>
  <c r="GZ11" i="2"/>
  <c r="GZ190" i="2"/>
  <c r="GZ76" i="2"/>
  <c r="GZ122" i="2"/>
  <c r="GZ183" i="2"/>
  <c r="GZ155" i="2"/>
  <c r="GZ188" i="2"/>
  <c r="GZ32" i="2"/>
  <c r="GZ59" i="2"/>
  <c r="GZ112" i="2"/>
  <c r="GZ116" i="2"/>
  <c r="GZ45" i="2"/>
  <c r="GZ170" i="2"/>
  <c r="GZ14" i="2"/>
  <c r="GZ6" i="2"/>
  <c r="GZ203" i="2"/>
  <c r="GZ95" i="2"/>
  <c r="GZ19" i="2"/>
  <c r="GZ160" i="2"/>
  <c r="GZ145" i="2"/>
  <c r="GZ132" i="2"/>
  <c r="GZ159" i="2"/>
  <c r="GZ167" i="2"/>
  <c r="GZ113" i="2"/>
  <c r="GZ12" i="2"/>
  <c r="GZ152" i="2"/>
  <c r="GZ177" i="2"/>
  <c r="GZ156" i="2"/>
  <c r="GZ48" i="2"/>
  <c r="GZ169" i="2"/>
  <c r="GZ178" i="2"/>
  <c r="GZ46" i="2"/>
  <c r="GZ129" i="2"/>
  <c r="GZ58" i="2"/>
  <c r="GZ184" i="2"/>
  <c r="GZ74" i="2"/>
  <c r="GZ172" i="2"/>
  <c r="GZ86" i="2"/>
  <c r="GZ64" i="2"/>
  <c r="GZ137" i="2"/>
  <c r="GZ171" i="2"/>
  <c r="GZ111" i="2"/>
  <c r="GZ182" i="2"/>
  <c r="GZ21" i="2"/>
  <c r="GZ84" i="2"/>
  <c r="GZ39" i="2"/>
  <c r="GZ187" i="2"/>
  <c r="GZ98" i="2"/>
  <c r="GZ38" i="2"/>
  <c r="GZ100" i="2"/>
  <c r="GZ93" i="2"/>
  <c r="GZ138" i="2"/>
  <c r="GZ198" i="2"/>
  <c r="GZ141" i="2"/>
  <c r="GZ193" i="2"/>
  <c r="GZ20" i="2"/>
  <c r="GZ105" i="2"/>
  <c r="GZ103" i="2"/>
  <c r="GZ16" i="2"/>
  <c r="GZ147" i="2"/>
  <c r="GZ143" i="2"/>
  <c r="GZ8" i="2"/>
  <c r="GZ136" i="2"/>
  <c r="GZ5" i="2"/>
  <c r="GZ162" i="2"/>
  <c r="GZ200" i="2"/>
  <c r="GZ144" i="2"/>
  <c r="GZ202" i="2"/>
  <c r="GZ121" i="2"/>
  <c r="GZ119" i="2"/>
  <c r="GZ97" i="2"/>
  <c r="GZ30" i="2"/>
  <c r="GZ96" i="2"/>
  <c r="GZ90" i="2"/>
  <c r="GZ120" i="2"/>
  <c r="GZ149" i="2"/>
  <c r="GZ71" i="2"/>
  <c r="GZ34" i="2"/>
  <c r="GZ40" i="2"/>
  <c r="GZ66" i="2"/>
  <c r="GZ151" i="2"/>
  <c r="GZ154" i="2"/>
  <c r="GZ153" i="2"/>
  <c r="GZ26" i="2"/>
  <c r="GZ33" i="2"/>
  <c r="GZ185" i="2"/>
  <c r="GZ109" i="2"/>
  <c r="GZ41" i="2"/>
  <c r="GZ28" i="2"/>
  <c r="GZ53" i="2"/>
  <c r="GZ135" i="2"/>
  <c r="GZ164" i="2"/>
  <c r="GZ126" i="2"/>
  <c r="GZ13" i="2"/>
  <c r="GZ163" i="2"/>
  <c r="GZ55" i="2"/>
  <c r="GZ102" i="2"/>
  <c r="GZ77" i="2"/>
  <c r="GZ110" i="2"/>
  <c r="GZ85" i="2"/>
  <c r="GZ69" i="2"/>
  <c r="GZ81" i="2"/>
  <c r="GZ134" i="2"/>
  <c r="GZ79" i="2"/>
  <c r="GZ107" i="2"/>
  <c r="GZ10" i="2"/>
  <c r="GZ99" i="2"/>
  <c r="GZ60" i="2"/>
  <c r="GZ158" i="2"/>
  <c r="GZ166" i="2"/>
  <c r="GZ65" i="2"/>
  <c r="GZ70" i="2"/>
  <c r="GZ125" i="2"/>
  <c r="GZ82" i="2"/>
  <c r="GZ7" i="2"/>
  <c r="GZ80" i="2"/>
  <c r="GZ25" i="2"/>
  <c r="GZ15" i="2"/>
  <c r="GZ157" i="2"/>
  <c r="GZ131" i="2"/>
  <c r="GZ57" i="2"/>
  <c r="GZ199" i="2"/>
  <c r="GZ196" i="2"/>
  <c r="GZ101" i="2"/>
  <c r="GZ17" i="2"/>
  <c r="GZ61" i="2"/>
  <c r="GZ88" i="2"/>
  <c r="GZ180" i="2"/>
  <c r="GZ22" i="2"/>
  <c r="GZ29" i="2"/>
  <c r="GZ161" i="2"/>
  <c r="GZ189" i="2"/>
  <c r="GZ9" i="2"/>
  <c r="GZ128" i="2"/>
  <c r="GZ181" i="2"/>
  <c r="GZ92" i="2"/>
  <c r="GZ124" i="2"/>
  <c r="GZ133" i="2"/>
  <c r="GZ174" i="2"/>
  <c r="GZ201" i="2"/>
  <c r="GZ51" i="2"/>
  <c r="GZ168" i="2"/>
  <c r="GZ115" i="2"/>
  <c r="GZ165" i="2"/>
  <c r="GZ56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27" i="2" l="1"/>
  <c r="BI113" i="2"/>
  <c r="BI189" i="2"/>
  <c r="BI117" i="2"/>
  <c r="BI89" i="2"/>
  <c r="BI156" i="2"/>
  <c r="BI178" i="2"/>
  <c r="BI14" i="2"/>
  <c r="BI120" i="2"/>
  <c r="BI20" i="2"/>
  <c r="BI180" i="2"/>
  <c r="BI200" i="2"/>
  <c r="BI174" i="2"/>
  <c r="BI121" i="2"/>
  <c r="BI32" i="2"/>
  <c r="BI143" i="2"/>
  <c r="BI133" i="2"/>
  <c r="BI100" i="2"/>
  <c r="BI94" i="2"/>
  <c r="BI105" i="2"/>
  <c r="BI130" i="2"/>
  <c r="BI24" i="2"/>
  <c r="BI44" i="2"/>
  <c r="BI28" i="2"/>
  <c r="BI47" i="2"/>
  <c r="BI88" i="2"/>
  <c r="BI104" i="2"/>
  <c r="BI93" i="2"/>
  <c r="BI124" i="2"/>
  <c r="BI4" i="2"/>
  <c r="BI54" i="2"/>
  <c r="BI37" i="2"/>
  <c r="BI141" i="2"/>
  <c r="BI203" i="2"/>
  <c r="BI169" i="2"/>
  <c r="BI87" i="2"/>
  <c r="BI83" i="2"/>
  <c r="BI151" i="2"/>
  <c r="BI11" i="2"/>
  <c r="BI62" i="2"/>
  <c r="BI29" i="2"/>
  <c r="BI137" i="2"/>
  <c r="BI18" i="2"/>
  <c r="BI165" i="2"/>
  <c r="BI183" i="2"/>
  <c r="BI166" i="2"/>
  <c r="BI80" i="2"/>
  <c r="BI128" i="2"/>
  <c r="BI157" i="2"/>
  <c r="BI147" i="2"/>
  <c r="BI36" i="2"/>
  <c r="BI52" i="2"/>
  <c r="BI85" i="2"/>
  <c r="BI196" i="2"/>
  <c r="BI22" i="2"/>
  <c r="BI126" i="2"/>
  <c r="BI118" i="2"/>
  <c r="BI155" i="2"/>
  <c r="BI79" i="2"/>
  <c r="BI78" i="2"/>
  <c r="BI154" i="2"/>
  <c r="BI160" i="2"/>
  <c r="BI172" i="2"/>
  <c r="BI40" i="2"/>
  <c r="BI48" i="2"/>
  <c r="BI201" i="2"/>
  <c r="BI30" i="2"/>
  <c r="BI197" i="2"/>
  <c r="BI142" i="2"/>
  <c r="BI125" i="2"/>
  <c r="BI116" i="2"/>
  <c r="BI111" i="2"/>
  <c r="BI84" i="2"/>
  <c r="BI115" i="2"/>
  <c r="BI77" i="2"/>
  <c r="BI12" i="2"/>
  <c r="BI64" i="2"/>
  <c r="BI152" i="2"/>
  <c r="BI150" i="2"/>
  <c r="BI76" i="2"/>
  <c r="BI33" i="2"/>
  <c r="BI139" i="2"/>
  <c r="BI74" i="2"/>
  <c r="BI42" i="2"/>
  <c r="BI198" i="2"/>
  <c r="BI102" i="2"/>
  <c r="BI144" i="2"/>
  <c r="BI162" i="2"/>
  <c r="BI175" i="2"/>
  <c r="BI119" i="2"/>
  <c r="BI6" i="2"/>
  <c r="BI103" i="2"/>
  <c r="BI129" i="2"/>
  <c r="BI135" i="2"/>
  <c r="BI148" i="2"/>
  <c r="BI81" i="2"/>
  <c r="BI170" i="2"/>
  <c r="BI31" i="2"/>
  <c r="BI132" i="2"/>
  <c r="BI15" i="2"/>
  <c r="BI9" i="2"/>
  <c r="BI193" i="2"/>
  <c r="BI45" i="2"/>
  <c r="BI38" i="2"/>
  <c r="BI185" i="2"/>
  <c r="BI59" i="2"/>
  <c r="BI43" i="2"/>
  <c r="BI191" i="2"/>
  <c r="BI112" i="2"/>
  <c r="BI96" i="2"/>
  <c r="BI108" i="2"/>
  <c r="BI107" i="2"/>
  <c r="BI91" i="2"/>
  <c r="BI50" i="2"/>
  <c r="BI90" i="2"/>
  <c r="BI86" i="2"/>
  <c r="BI158" i="2"/>
  <c r="BI168" i="2"/>
  <c r="BI145" i="2"/>
  <c r="BI161" i="2"/>
  <c r="BI164" i="2"/>
  <c r="BI98" i="2"/>
  <c r="BI163" i="2"/>
  <c r="BI202" i="2"/>
  <c r="BI136" i="2"/>
  <c r="BI194" i="2"/>
  <c r="BI195" i="2"/>
  <c r="BI72" i="2"/>
  <c r="BI68" i="2"/>
  <c r="BI182" i="2"/>
  <c r="BI199" i="2"/>
  <c r="BI131" i="2"/>
  <c r="BI92" i="2"/>
  <c r="BI167" i="2"/>
  <c r="BI186" i="2"/>
  <c r="BI173" i="2"/>
  <c r="BI35" i="2"/>
  <c r="BI176" i="2"/>
  <c r="BI122" i="2"/>
  <c r="BI55" i="2"/>
  <c r="BI8" i="2"/>
  <c r="BI70" i="2"/>
  <c r="BI134" i="2"/>
  <c r="BI51" i="2"/>
  <c r="BI65" i="2"/>
  <c r="BI17" i="2"/>
  <c r="BI181" i="2"/>
  <c r="BI146" i="2"/>
  <c r="BI60" i="2"/>
  <c r="BI140" i="2"/>
  <c r="BI177" i="2"/>
  <c r="BI101" i="2"/>
  <c r="BI114" i="2"/>
  <c r="BI187" i="2"/>
  <c r="BI25" i="2"/>
  <c r="BI153" i="2"/>
  <c r="BI5" i="2"/>
  <c r="BI63" i="2"/>
  <c r="BI73" i="2"/>
  <c r="BI97" i="2"/>
  <c r="BI75" i="2"/>
  <c r="BI71" i="2"/>
  <c r="BI149" i="2"/>
  <c r="BI3" i="2"/>
  <c r="C8" i="4" s="1"/>
  <c r="E8" i="4" s="1"/>
  <c r="F8" i="4" s="1"/>
  <c r="G8" i="4" s="1"/>
  <c r="L8" i="4" s="1"/>
  <c r="BI171" i="2"/>
  <c r="BI19" i="2"/>
  <c r="BI58" i="2"/>
  <c r="BI67" i="2"/>
  <c r="BI39" i="2"/>
  <c r="BI110" i="2"/>
  <c r="BI82" i="2"/>
  <c r="BI109" i="2"/>
  <c r="BI34" i="2"/>
  <c r="BI16" i="2"/>
  <c r="BI179" i="2"/>
  <c r="BI7" i="2"/>
  <c r="BI10" i="2"/>
  <c r="BI99" i="2"/>
  <c r="BI188" i="2"/>
  <c r="BI69" i="2"/>
  <c r="BI57" i="2"/>
  <c r="BI95" i="2"/>
  <c r="BI49" i="2"/>
  <c r="BI46" i="2"/>
  <c r="BI26" i="2"/>
  <c r="BI190" i="2"/>
  <c r="BI66" i="2"/>
  <c r="BI27" i="2"/>
  <c r="BI23" i="2"/>
  <c r="BI13" i="2"/>
  <c r="BI41" i="2"/>
  <c r="BI123" i="2"/>
  <c r="BI192" i="2"/>
  <c r="BI106" i="2"/>
  <c r="BI53" i="2"/>
  <c r="BI184" i="2"/>
  <c r="BI138" i="2"/>
  <c r="BI56" i="2"/>
  <c r="BI61" i="2"/>
  <c r="BI21" i="2"/>
  <c r="BI15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<sst xmlns="http://schemas.openxmlformats.org/spreadsheetml/2006/main" count="1179" uniqueCount="324">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</sst>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9" fillId="14" borderId="1" xfId="0" applyNumberFormat="1" applyFont="1" applyFill="1" applyBorder="1" applyAlignment="1" applyProtection="1">
      <alignment horizontal="center"/>
      <protection locked="0"/>
    </xf>
    <xf numFmtId="164" fontId="9" fillId="14" borderId="1" xfId="0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3.1628863339481534</c:v>
                </c:pt>
                <c:pt idx="2">
                  <c:v>3.6628992871920438</c:v>
                </c:pt>
                <c:pt idx="3">
                  <c:v>4.2422409244936503</c:v>
                </c:pt>
                <c:pt idx="4">
                  <c:v>4.9135393564650593</c:v>
                </c:pt>
                <c:pt idx="5">
                  <c:v>5.6914392471718847</c:v>
                </c:pt>
                <c:pt idx="6">
                  <c:v>6.5929247726706288</c:v>
                </c:pt>
                <c:pt idx="7">
                  <c:v>7.6376944418802752</c:v>
                </c:pt>
                <c:pt idx="8">
                  <c:v>8.8485961287004873</c:v>
                </c:pt>
                <c:pt idx="9">
                  <c:v>10.252132011350932</c:v>
                </c:pt>
                <c:pt idx="10">
                  <c:v>11.879044679757373</c:v>
                </c:pt>
                <c:pt idx="11">
                  <c:v>13.764997489727833</c:v>
                </c:pt>
                <c:pt idx="12">
                  <c:v>15.951364354646456</c:v>
                </c:pt>
                <c:pt idx="13">
                  <c:v>18.486146619119001</c:v>
                </c:pt>
                <c:pt idx="14">
                  <c:v>21.425037509820857</c:v>
                </c:pt>
                <c:pt idx="15">
                  <c:v>24.832657971109484</c:v>
                </c:pt>
                <c:pt idx="16">
                  <c:v>28.783991541603669</c:v>
                </c:pt>
                <c:pt idx="17">
                  <c:v>33.366050399895471</c:v>
                </c:pt>
                <c:pt idx="18">
                  <c:v>38.679809903968007</c:v>
                </c:pt>
                <c:pt idx="19">
                  <c:v>44.842454987298908</c:v>
                </c:pt>
                <c:pt idx="20">
                  <c:v>51.989988791691758</c:v>
                </c:pt>
                <c:pt idx="21">
                  <c:v>59.194676379503932</c:v>
                </c:pt>
                <c:pt idx="22">
                  <c:v>66.376471349621667</c:v>
                </c:pt>
                <c:pt idx="23">
                  <c:v>73.538207482585321</c:v>
                </c:pt>
                <c:pt idx="24">
                  <c:v>80.682119006165934</c:v>
                </c:pt>
                <c:pt idx="25">
                  <c:v>87.810010625275268</c:v>
                </c:pt>
                <c:pt idx="26">
                  <c:v>96.344409983623464</c:v>
                </c:pt>
                <c:pt idx="27">
                  <c:v>104.85998913171427</c:v>
                </c:pt>
                <c:pt idx="28">
                  <c:v>113.3584947279664</c:v>
                </c:pt>
                <c:pt idx="29">
                  <c:v>121.84138944928242</c:v>
                </c:pt>
                <c:pt idx="30">
                  <c:v>130.30991517841125</c:v>
                </c:pt>
                <c:pt idx="31">
                  <c:v>117.60181126110916</c:v>
                </c:pt>
                <c:pt idx="32">
                  <c:v>126.0773781005813</c:v>
                </c:pt>
                <c:pt idx="33">
                  <c:v>134.53912892670354</c:v>
                </c:pt>
                <c:pt idx="34">
                  <c:v>142.98805654329652</c:v>
                </c:pt>
                <c:pt idx="35">
                  <c:v>151.42502661477832</c:v>
                </c:pt>
                <c:pt idx="36">
                  <c:v>160.78633625957775</c:v>
                </c:pt>
                <c:pt idx="37">
                  <c:v>170.13474046014434</c:v>
                </c:pt>
                <c:pt idx="38">
                  <c:v>179.47104913917386</c:v>
                </c:pt>
                <c:pt idx="39">
                  <c:v>188.79598094832468</c:v>
                </c:pt>
                <c:pt idx="40">
                  <c:v>198.11017765361632</c:v>
                </c:pt>
                <c:pt idx="41">
                  <c:v>167.33152417187674</c:v>
                </c:pt>
                <c:pt idx="42">
                  <c:v>176.20467025441363</c:v>
                </c:pt>
                <c:pt idx="43">
                  <c:v>185.06733079959395</c:v>
                </c:pt>
                <c:pt idx="44">
                  <c:v>193.92007935590107</c:v>
                </c:pt>
                <c:pt idx="45">
                  <c:v>202.7634327562281</c:v>
                </c:pt>
                <c:pt idx="46">
                  <c:v>211.59785901000404</c:v>
                </c:pt>
                <c:pt idx="47">
                  <c:v>220.42378380631877</c:v>
                </c:pt>
                <c:pt idx="48">
                  <c:v>229.24159591951351</c:v>
                </c:pt>
                <c:pt idx="49">
                  <c:v>238.05165173845296</c:v>
                </c:pt>
                <c:pt idx="50">
                  <c:v>246.85427908940071</c:v>
                </c:pt>
                <c:pt idx="51">
                  <c:v>214.38589248354242</c:v>
                </c:pt>
                <c:pt idx="52">
                  <c:v>223.6733757126764</c:v>
                </c:pt>
                <c:pt idx="53">
                  <c:v>232.95201893246733</c:v>
                </c:pt>
                <c:pt idx="54">
                  <c:v>242.22222423091577</c:v>
                </c:pt>
                <c:pt idx="55">
                  <c:v>251.48436037421268</c:v>
                </c:pt>
                <c:pt idx="56">
                  <c:v>260.27622505120576</c:v>
                </c:pt>
                <c:pt idx="57">
                  <c:v>269.06138287277031</c:v>
                </c:pt>
                <c:pt idx="58">
                  <c:v>277.840083909925</c:v>
                </c:pt>
                <c:pt idx="59">
                  <c:v>286.61256112608555</c:v>
                </c:pt>
                <c:pt idx="60">
                  <c:v>295.37903204669738</c:v>
                </c:pt>
                <c:pt idx="61">
                  <c:v>257.96323733243617</c:v>
                </c:pt>
                <c:pt idx="62">
                  <c:v>266.75013513037209</c:v>
                </c:pt>
                <c:pt idx="63">
                  <c:v>275.53051206789081</c:v>
                </c:pt>
                <c:pt idx="64">
                  <c:v>284.30460543918758</c:v>
                </c:pt>
                <c:pt idx="65">
                  <c:v>293.07263668278028</c:v>
                </c:pt>
                <c:pt idx="66">
                  <c:v>301.37378850216993</c:v>
                </c:pt>
                <c:pt idx="67">
                  <c:v>309.66985077448408</c:v>
                </c:pt>
                <c:pt idx="68">
                  <c:v>317.96097919830498</c:v>
                </c:pt>
                <c:pt idx="69">
                  <c:v>326.24732068247283</c:v>
                </c:pt>
                <c:pt idx="70">
                  <c:v>334.52901405785116</c:v>
                </c:pt>
                <c:pt idx="71">
                  <c:v>296.30147749206861</c:v>
                </c:pt>
                <c:pt idx="72">
                  <c:v>304.13970022013865</c:v>
                </c:pt>
                <c:pt idx="73">
                  <c:v>311.97343047900409</c:v>
                </c:pt>
                <c:pt idx="74">
                  <c:v>319.80279709344177</c:v>
                </c:pt>
                <c:pt idx="75">
                  <c:v>327.62792205981231</c:v>
                </c:pt>
                <c:pt idx="76">
                  <c:v>335.44892106604829</c:v>
                </c:pt>
                <c:pt idx="77">
                  <c:v>343.26590396058276</c:v>
                </c:pt>
                <c:pt idx="78">
                  <c:v>351.07897517630312</c:v>
                </c:pt>
                <c:pt idx="79">
                  <c:v>358.8882341147721</c:v>
                </c:pt>
                <c:pt idx="80">
                  <c:v>366.69377549524069</c:v>
                </c:pt>
                <c:pt idx="81">
                  <c:v>329.92863915898073</c:v>
                </c:pt>
                <c:pt idx="82">
                  <c:v>336.82867741987707</c:v>
                </c:pt>
                <c:pt idx="83">
                  <c:v>343.72560367250861</c:v>
                </c:pt>
                <c:pt idx="84">
                  <c:v>350.61948923031787</c:v>
                </c:pt>
                <c:pt idx="85">
                  <c:v>357.51040237087665</c:v>
                </c:pt>
                <c:pt idx="86">
                  <c:v>364.85750712468354</c:v>
                </c:pt>
                <c:pt idx="87">
                  <c:v>372.20138039050306</c:v>
                </c:pt>
                <c:pt idx="88">
                  <c:v>379.54209497418589</c:v>
                </c:pt>
                <c:pt idx="89">
                  <c:v>386.87972063328493</c:v>
                </c:pt>
                <c:pt idx="90">
                  <c:v>394.21432426135425</c:v>
                </c:pt>
                <c:pt idx="91">
                  <c:v>359.3474856130531</c:v>
                </c:pt>
                <c:pt idx="92">
                  <c:v>365.77566648144415</c:v>
                </c:pt>
                <c:pt idx="93">
                  <c:v>372.20138039050306</c:v>
                </c:pt>
                <c:pt idx="94">
                  <c:v>378.62467597910836</c:v>
                </c:pt>
                <c:pt idx="95">
                  <c:v>385.04560009964825</c:v>
                </c:pt>
                <c:pt idx="96">
                  <c:v>391.92258132889066</c:v>
                </c:pt>
                <c:pt idx="97">
                  <c:v>398.79694553728069</c:v>
                </c:pt>
                <c:pt idx="98">
                  <c:v>405.66874423568089</c:v>
                </c:pt>
                <c:pt idx="99">
                  <c:v>412.53802704609865</c:v>
                </c:pt>
                <c:pt idx="100">
                  <c:v>419.40484180194295</c:v>
                </c:pt>
                <c:pt idx="101">
                  <c:v>384.58704033593932</c:v>
                </c:pt>
                <c:pt idx="102">
                  <c:v>391.00580285106707</c:v>
                </c:pt>
                <c:pt idx="103">
                  <c:v>397.42227955689032</c:v>
                </c:pt>
                <c:pt idx="104">
                  <c:v>403.83651259651884</c:v>
                </c:pt>
                <c:pt idx="105">
                  <c:v>410.2485426639725</c:v>
                </c:pt>
                <c:pt idx="106">
                  <c:v>417.11617489634546</c:v>
                </c:pt>
                <c:pt idx="107">
                  <c:v>423.98137001578169</c:v>
                </c:pt>
                <c:pt idx="108">
                  <c:v>430.8441730789794</c:v>
                </c:pt>
                <c:pt idx="109">
                  <c:v>437.70462758915534</c:v>
                </c:pt>
                <c:pt idx="110">
                  <c:v>444.5627755736532</c:v>
                </c:pt>
                <c:pt idx="111">
                  <c:v>407.9587823175745</c:v>
                </c:pt>
                <c:pt idx="112">
                  <c:v>414.82723721388493</c:v>
                </c:pt>
                <c:pt idx="113">
                  <c:v>421.69323961894685</c:v>
                </c:pt>
                <c:pt idx="114">
                  <c:v>428.55683512546574</c:v>
                </c:pt>
                <c:pt idx="115">
                  <c:v>435.41806774560109</c:v>
                </c:pt>
                <c:pt idx="116">
                  <c:v>442.27697999035126</c:v>
                </c:pt>
                <c:pt idx="117">
                  <c:v>449.13361294375409</c:v>
                </c:pt>
                <c:pt idx="118">
                  <c:v>455.98800633231963</c:v>
                </c:pt>
                <c:pt idx="119">
                  <c:v>462.8401985900677</c:v>
                </c:pt>
                <c:pt idx="120">
                  <c:v>469.69022691951341</c:v>
                </c:pt>
                <c:pt idx="121">
                  <c:v>1.8017017738191463E-12</c:v>
                </c:pt>
                <c:pt idx="122">
                  <c:v>1.8017017738191463E-12</c:v>
                </c:pt>
                <c:pt idx="123">
                  <c:v>1.8017017738191463E-12</c:v>
                </c:pt>
                <c:pt idx="124">
                  <c:v>1.8017017738191463E-12</c:v>
                </c:pt>
                <c:pt idx="125">
                  <c:v>1.8017017738191463E-12</c:v>
                </c:pt>
                <c:pt idx="126">
                  <c:v>1.8017017738191463E-12</c:v>
                </c:pt>
                <c:pt idx="127">
                  <c:v>1.8017017738191463E-12</c:v>
                </c:pt>
                <c:pt idx="128">
                  <c:v>1.8017017738191463E-12</c:v>
                </c:pt>
                <c:pt idx="129">
                  <c:v>1.8017017738191463E-12</c:v>
                </c:pt>
                <c:pt idx="130">
                  <c:v>1.8017017738191463E-12</c:v>
                </c:pt>
                <c:pt idx="131">
                  <c:v>1.8017017738191463E-12</c:v>
                </c:pt>
                <c:pt idx="132">
                  <c:v>1.8017017738191463E-12</c:v>
                </c:pt>
                <c:pt idx="133">
                  <c:v>1.8017017738191463E-12</c:v>
                </c:pt>
                <c:pt idx="134">
                  <c:v>1.8017017738191463E-12</c:v>
                </c:pt>
                <c:pt idx="135">
                  <c:v>1.8017017738191463E-12</c:v>
                </c:pt>
                <c:pt idx="136">
                  <c:v>1.8017017738191463E-12</c:v>
                </c:pt>
                <c:pt idx="137">
                  <c:v>1.8017017738191463E-12</c:v>
                </c:pt>
                <c:pt idx="138">
                  <c:v>1.8017017738191463E-12</c:v>
                </c:pt>
                <c:pt idx="139">
                  <c:v>1.8017017738191463E-12</c:v>
                </c:pt>
                <c:pt idx="140">
                  <c:v>1.8017017738191463E-12</c:v>
                </c:pt>
                <c:pt idx="141">
                  <c:v>1.8017017738191463E-12</c:v>
                </c:pt>
                <c:pt idx="142">
                  <c:v>1.8017017738191463E-12</c:v>
                </c:pt>
                <c:pt idx="143">
                  <c:v>1.8017017738191463E-12</c:v>
                </c:pt>
                <c:pt idx="144">
                  <c:v>1.8017017738191463E-12</c:v>
                </c:pt>
                <c:pt idx="145">
                  <c:v>1.8017017738191463E-12</c:v>
                </c:pt>
                <c:pt idx="146">
                  <c:v>1.8017017738191463E-12</c:v>
                </c:pt>
                <c:pt idx="147">
                  <c:v>1.8017017738191463E-12</c:v>
                </c:pt>
                <c:pt idx="148">
                  <c:v>1.8017017738191463E-12</c:v>
                </c:pt>
                <c:pt idx="149">
                  <c:v>1.8017017738191463E-12</c:v>
                </c:pt>
                <c:pt idx="150">
                  <c:v>1.8017017738191463E-12</c:v>
                </c:pt>
                <c:pt idx="151">
                  <c:v>1.8017017738191463E-12</c:v>
                </c:pt>
                <c:pt idx="152">
                  <c:v>1.8017017738191463E-12</c:v>
                </c:pt>
                <c:pt idx="153">
                  <c:v>1.8017017738191463E-12</c:v>
                </c:pt>
                <c:pt idx="154">
                  <c:v>1.8017017738191463E-12</c:v>
                </c:pt>
                <c:pt idx="155">
                  <c:v>1.8017017738191463E-12</c:v>
                </c:pt>
                <c:pt idx="156">
                  <c:v>1.8017017738191463E-12</c:v>
                </c:pt>
                <c:pt idx="157">
                  <c:v>1.8017017738191463E-12</c:v>
                </c:pt>
                <c:pt idx="158">
                  <c:v>1.8017017738191463E-12</c:v>
                </c:pt>
                <c:pt idx="159">
                  <c:v>1.8017017738191463E-12</c:v>
                </c:pt>
                <c:pt idx="160">
                  <c:v>1.8017017738191463E-12</c:v>
                </c:pt>
                <c:pt idx="161">
                  <c:v>1.8017017738191463E-12</c:v>
                </c:pt>
                <c:pt idx="162">
                  <c:v>1.8017017738191463E-12</c:v>
                </c:pt>
                <c:pt idx="163">
                  <c:v>1.8017017738191463E-12</c:v>
                </c:pt>
                <c:pt idx="164">
                  <c:v>1.8017017738191463E-12</c:v>
                </c:pt>
                <c:pt idx="165">
                  <c:v>1.8017017738191463E-12</c:v>
                </c:pt>
                <c:pt idx="166">
                  <c:v>1.8017017738191463E-12</c:v>
                </c:pt>
                <c:pt idx="167">
                  <c:v>1.8017017738191463E-12</c:v>
                </c:pt>
                <c:pt idx="168">
                  <c:v>1.8017017738191463E-12</c:v>
                </c:pt>
                <c:pt idx="169">
                  <c:v>1.8017017738191463E-12</c:v>
                </c:pt>
                <c:pt idx="170">
                  <c:v>1.8017017738191463E-12</c:v>
                </c:pt>
                <c:pt idx="171">
                  <c:v>1.8017017738191463E-12</c:v>
                </c:pt>
                <c:pt idx="172">
                  <c:v>1.8017017738191463E-12</c:v>
                </c:pt>
                <c:pt idx="173">
                  <c:v>1.8017017738191463E-12</c:v>
                </c:pt>
                <c:pt idx="174">
                  <c:v>1.8017017738191463E-12</c:v>
                </c:pt>
                <c:pt idx="175">
                  <c:v>1.8017017738191463E-12</c:v>
                </c:pt>
                <c:pt idx="176">
                  <c:v>1.8017017738191463E-12</c:v>
                </c:pt>
                <c:pt idx="177">
                  <c:v>1.8017017738191463E-12</c:v>
                </c:pt>
                <c:pt idx="178">
                  <c:v>1.8017017738191463E-12</c:v>
                </c:pt>
                <c:pt idx="179">
                  <c:v>1.8017017738191463E-12</c:v>
                </c:pt>
                <c:pt idx="180">
                  <c:v>1.8017017738191463E-12</c:v>
                </c:pt>
                <c:pt idx="181">
                  <c:v>1.8017017738191463E-12</c:v>
                </c:pt>
                <c:pt idx="182">
                  <c:v>1.8017017738191463E-12</c:v>
                </c:pt>
                <c:pt idx="183">
                  <c:v>1.8017017738191463E-12</c:v>
                </c:pt>
                <c:pt idx="184">
                  <c:v>1.8017017738191463E-12</c:v>
                </c:pt>
                <c:pt idx="185">
                  <c:v>1.8017017738191463E-12</c:v>
                </c:pt>
                <c:pt idx="186">
                  <c:v>1.8017017738191463E-12</c:v>
                </c:pt>
                <c:pt idx="187">
                  <c:v>1.8017017738191463E-12</c:v>
                </c:pt>
                <c:pt idx="188">
                  <c:v>1.8017017738191463E-12</c:v>
                </c:pt>
                <c:pt idx="189">
                  <c:v>1.8017017738191463E-12</c:v>
                </c:pt>
                <c:pt idx="190">
                  <c:v>1.8017017738191463E-12</c:v>
                </c:pt>
                <c:pt idx="191">
                  <c:v>1.8017017738191463E-12</c:v>
                </c:pt>
                <c:pt idx="192">
                  <c:v>1.8017017738191463E-12</c:v>
                </c:pt>
                <c:pt idx="193">
                  <c:v>1.8017017738191463E-12</c:v>
                </c:pt>
                <c:pt idx="194">
                  <c:v>1.8017017738191463E-12</c:v>
                </c:pt>
                <c:pt idx="195">
                  <c:v>1.8017017738191463E-12</c:v>
                </c:pt>
                <c:pt idx="196">
                  <c:v>1.8017017738191463E-12</c:v>
                </c:pt>
                <c:pt idx="197">
                  <c:v>1.8017017738191463E-12</c:v>
                </c:pt>
                <c:pt idx="198">
                  <c:v>1.8017017738191463E-12</c:v>
                </c:pt>
                <c:pt idx="199">
                  <c:v>1.8017017738191463E-12</c:v>
                </c:pt>
                <c:pt idx="200">
                  <c:v>1.8017017738191463E-12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20983024"/>
        <c:axId val="-824288832"/>
      </c:scatterChart>
      <c:valAx>
        <c:axId val="-8209830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4288832"/>
        <c:crosses val="autoZero"/>
        <c:crossBetween val="midCat"/>
      </c:valAx>
      <c:valAx>
        <c:axId val="-82428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0983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2.5420336530703707</c:v>
                </c:pt>
                <c:pt idx="2">
                  <c:v>2.9436026333565555</c:v>
                </c:pt>
                <c:pt idx="3">
                  <c:v>3.4088376824685631</c:v>
                </c:pt>
                <c:pt idx="4">
                  <c:v>3.947867034451003</c:v>
                </c:pt>
                <c:pt idx="5">
                  <c:v>4.5724352975482017</c:v>
                </c:pt>
                <c:pt idx="6">
                  <c:v>5.2961621772958436</c:v>
                </c:pt>
                <c:pt idx="7">
                  <c:v>6.1348427252208246</c:v>
                </c:pt>
                <c:pt idx="8">
                  <c:v>7.1067957948679883</c:v>
                </c:pt>
                <c:pt idx="9">
                  <c:v>8.233268464474369</c:v>
                </c:pt>
                <c:pt idx="10">
                  <c:v>9.538905437368749</c:v>
                </c:pt>
                <c:pt idx="11">
                  <c:v>11.052293885286455</c:v>
                </c:pt>
                <c:pt idx="12">
                  <c:v>12.806595889029099</c:v>
                </c:pt>
                <c:pt idx="13">
                  <c:v>14.840282593356973</c:v>
                </c:pt>
                <c:pt idx="14">
                  <c:v>17.197986472948589</c:v>
                </c:pt>
                <c:pt idx="15">
                  <c:v>19.93149075515365</c:v>
                </c:pt>
                <c:pt idx="16">
                  <c:v>23.100878122911624</c:v>
                </c:pt>
                <c:pt idx="17">
                  <c:v>26.775864397128672</c:v>
                </c:pt>
                <c:pt idx="18">
                  <c:v>31.037347052810841</c:v>
                </c:pt>
                <c:pt idx="19">
                  <c:v>35.979203251278115</c:v>
                </c:pt>
                <c:pt idx="20">
                  <c:v>41.710377681030266</c:v>
                </c:pt>
                <c:pt idx="21">
                  <c:v>47.486942037432982</c:v>
                </c:pt>
                <c:pt idx="22">
                  <c:v>53.244770566668514</c:v>
                </c:pt>
                <c:pt idx="23">
                  <c:v>58.986182497719007</c:v>
                </c:pt>
                <c:pt idx="24">
                  <c:v>64.713006372253631</c:v>
                </c:pt>
                <c:pt idx="25">
                  <c:v>70.426719200886239</c:v>
                </c:pt>
                <c:pt idx="26">
                  <c:v>77.267566804930894</c:v>
                </c:pt>
                <c:pt idx="27">
                  <c:v>84.093011530574344</c:v>
                </c:pt>
                <c:pt idx="28">
                  <c:v>90.904482881890374</c:v>
                </c:pt>
                <c:pt idx="29">
                  <c:v>97.703177946167656</c:v>
                </c:pt>
                <c:pt idx="30">
                  <c:v>104.49011310785194</c:v>
                </c:pt>
                <c:pt idx="31">
                  <c:v>94.305360186337609</c:v>
                </c:pt>
                <c:pt idx="32">
                  <c:v>101.09805794923322</c:v>
                </c:pt>
                <c:pt idx="33">
                  <c:v>107.8794483797077</c:v>
                </c:pt>
                <c:pt idx="34">
                  <c:v>114.65034401047525</c:v>
                </c:pt>
                <c:pt idx="35">
                  <c:v>121.41145332053732</c:v>
                </c:pt>
                <c:pt idx="36">
                  <c:v>128.9130744021389</c:v>
                </c:pt>
                <c:pt idx="37">
                  <c:v>136.40413338132439</c:v>
                </c:pt>
                <c:pt idx="38">
                  <c:v>143.88529311683055</c:v>
                </c:pt>
                <c:pt idx="39">
                  <c:v>151.3571417691484</c:v>
                </c:pt>
                <c:pt idx="40">
                  <c:v>158.8202045738532</c:v>
                </c:pt>
                <c:pt idx="41">
                  <c:v>134.15788370557996</c:v>
                </c:pt>
                <c:pt idx="42">
                  <c:v>141.2679750176807</c:v>
                </c:pt>
                <c:pt idx="43">
                  <c:v>148.36948473294117</c:v>
                </c:pt>
                <c:pt idx="44">
                  <c:v>155.46288225618903</c:v>
                </c:pt>
                <c:pt idx="45">
                  <c:v>162.54859057495182</c:v>
                </c:pt>
                <c:pt idx="46">
                  <c:v>169.62699271854885</c:v>
                </c:pt>
                <c:pt idx="47">
                  <c:v>176.69843708039329</c:v>
                </c:pt>
                <c:pt idx="48">
                  <c:v>183.76324184204762</c:v>
                </c:pt>
                <c:pt idx="49">
                  <c:v>190.8216986800802</c:v>
                </c:pt>
                <c:pt idx="50">
                  <c:v>197.8740758947919</c:v>
                </c:pt>
                <c:pt idx="51">
                  <c:v>171.8608164412426</c:v>
                </c:pt>
                <c:pt idx="52">
                  <c:v>179.3020163432858</c:v>
                </c:pt>
                <c:pt idx="53">
                  <c:v>186.73598138519097</c:v>
                </c:pt>
                <c:pt idx="54">
                  <c:v>194.16304064471555</c:v>
                </c:pt>
                <c:pt idx="55">
                  <c:v>201.58349592830677</c:v>
                </c:pt>
                <c:pt idx="56">
                  <c:v>208.62706473142649</c:v>
                </c:pt>
                <c:pt idx="57">
                  <c:v>215.66514449498686</c:v>
                </c:pt>
                <c:pt idx="58">
                  <c:v>222.6979398826679</c:v>
                </c:pt>
                <c:pt idx="59">
                  <c:v>229.72564155690716</c:v>
                </c:pt>
                <c:pt idx="60">
                  <c:v>236.74842754536436</c:v>
                </c:pt>
                <c:pt idx="61">
                  <c:v>206.77403487300455</c:v>
                </c:pt>
                <c:pt idx="62">
                  <c:v>213.81353867190262</c:v>
                </c:pt>
                <c:pt idx="63">
                  <c:v>220.84770565369263</c:v>
                </c:pt>
                <c:pt idx="64">
                  <c:v>227.87673002521856</c:v>
                </c:pt>
                <c:pt idx="65">
                  <c:v>234.9007930166853</c:v>
                </c:pt>
                <c:pt idx="66">
                  <c:v>241.5507456503326</c:v>
                </c:pt>
                <c:pt idx="67">
                  <c:v>248.19653288552536</c:v>
                </c:pt>
                <c:pt idx="68">
                  <c:v>254.83828214944401</c:v>
                </c:pt>
                <c:pt idx="69">
                  <c:v>261.47611367554879</c:v>
                </c:pt>
                <c:pt idx="70">
                  <c:v>268.11014108610431</c:v>
                </c:pt>
                <c:pt idx="71">
                  <c:v>237.4873891204908</c:v>
                </c:pt>
                <c:pt idx="72">
                  <c:v>243.7664644365565</c:v>
                </c:pt>
                <c:pt idx="73">
                  <c:v>250.04186301596869</c:v>
                </c:pt>
                <c:pt idx="74">
                  <c:v>256.31369029178819</c:v>
                </c:pt>
                <c:pt idx="75">
                  <c:v>262.58204610854818</c:v>
                </c:pt>
                <c:pt idx="76">
                  <c:v>268.84702514782441</c:v>
                </c:pt>
                <c:pt idx="77">
                  <c:v>275.10871731201581</c:v>
                </c:pt>
                <c:pt idx="78">
                  <c:v>281.36720807131877</c:v>
                </c:pt>
                <c:pt idx="79">
                  <c:v>287.62257877818178</c:v>
                </c:pt>
                <c:pt idx="80">
                  <c:v>293.87490695294525</c:v>
                </c:pt>
                <c:pt idx="81">
                  <c:v>264.42503341914329</c:v>
                </c:pt>
                <c:pt idx="82">
                  <c:v>269.95226599479992</c:v>
                </c:pt>
                <c:pt idx="83">
                  <c:v>275.47695163372049</c:v>
                </c:pt>
                <c:pt idx="84">
                  <c:v>280.99914870041141</c:v>
                </c:pt>
                <c:pt idx="85">
                  <c:v>286.51891307475512</c:v>
                </c:pt>
                <c:pt idx="86">
                  <c:v>292.40404066486911</c:v>
                </c:pt>
                <c:pt idx="87">
                  <c:v>298.28652353338651</c:v>
                </c:pt>
                <c:pt idx="88">
                  <c:v>304.1664212662335</c:v>
                </c:pt>
                <c:pt idx="89">
                  <c:v>310.04379095454203</c:v>
                </c:pt>
                <c:pt idx="90">
                  <c:v>315.91868734548359</c:v>
                </c:pt>
                <c:pt idx="91">
                  <c:v>287.99044627187692</c:v>
                </c:pt>
                <c:pt idx="92">
                  <c:v>293.13949440980758</c:v>
                </c:pt>
                <c:pt idx="93">
                  <c:v>298.28652353338651</c:v>
                </c:pt>
                <c:pt idx="94">
                  <c:v>303.43157344975288</c:v>
                </c:pt>
                <c:pt idx="95">
                  <c:v>308.5746825039426</c:v>
                </c:pt>
                <c:pt idx="96">
                  <c:v>314.08304469239323</c:v>
                </c:pt>
                <c:pt idx="97">
                  <c:v>319.58926505280829</c:v>
                </c:pt>
                <c:pt idx="98">
                  <c:v>325.0933857428227</c:v>
                </c:pt>
                <c:pt idx="99">
                  <c:v>330.59544737419031</c:v>
                </c:pt>
                <c:pt idx="100">
                  <c:v>336.09548909483647</c:v>
                </c:pt>
                <c:pt idx="101">
                  <c:v>308.207381141197</c:v>
                </c:pt>
                <c:pt idx="102">
                  <c:v>313.3487210894703</c:v>
                </c:pt>
                <c:pt idx="103">
                  <c:v>318.48819028060103</c:v>
                </c:pt>
                <c:pt idx="104">
                  <c:v>323.62582320544698</c:v>
                </c:pt>
                <c:pt idx="105">
                  <c:v>328.76165316889825</c:v>
                </c:pt>
                <c:pt idx="106">
                  <c:v>334.26236393050578</c:v>
                </c:pt>
                <c:pt idx="107">
                  <c:v>339.76108010471495</c:v>
                </c:pt>
                <c:pt idx="108">
                  <c:v>345.25783856692919</c:v>
                </c:pt>
                <c:pt idx="109">
                  <c:v>350.75267492114767</c:v>
                </c:pt>
                <c:pt idx="110">
                  <c:v>356.24562356348309</c:v>
                </c:pt>
                <c:pt idx="111">
                  <c:v>326.92763310831202</c:v>
                </c:pt>
                <c:pt idx="112">
                  <c:v>332.42901715637174</c:v>
                </c:pt>
                <c:pt idx="113">
                  <c:v>337.92839403108093</c:v>
                </c:pt>
                <c:pt idx="114">
                  <c:v>343.42580104652319</c:v>
                </c:pt>
                <c:pt idx="115">
                  <c:v>348.92127422322807</c:v>
                </c:pt>
                <c:pt idx="116">
                  <c:v>354.41484835314145</c:v>
                </c:pt>
                <c:pt idx="117">
                  <c:v>359.90655706035318</c:v>
                </c:pt>
                <c:pt idx="118">
                  <c:v>365.39643285792204</c:v>
                </c:pt>
                <c:pt idx="119">
                  <c:v>370.88450720110444</c:v>
                </c:pt>
                <c:pt idx="120">
                  <c:v>376.37081053726519</c:v>
                </c:pt>
                <c:pt idx="121">
                  <c:v>1.4722807076609983E-12</c:v>
                </c:pt>
                <c:pt idx="122">
                  <c:v>1.4722807076609983E-12</c:v>
                </c:pt>
                <c:pt idx="123">
                  <c:v>1.4722807076609983E-12</c:v>
                </c:pt>
                <c:pt idx="124">
                  <c:v>1.4722807076609983E-12</c:v>
                </c:pt>
                <c:pt idx="125">
                  <c:v>1.4722807076609983E-12</c:v>
                </c:pt>
                <c:pt idx="126">
                  <c:v>1.4722807076609983E-12</c:v>
                </c:pt>
                <c:pt idx="127">
                  <c:v>1.4722807076609983E-12</c:v>
                </c:pt>
                <c:pt idx="128">
                  <c:v>1.4722807076609983E-12</c:v>
                </c:pt>
                <c:pt idx="129">
                  <c:v>1.4722807076609983E-12</c:v>
                </c:pt>
                <c:pt idx="130">
                  <c:v>1.4722807076609983E-12</c:v>
                </c:pt>
                <c:pt idx="131">
                  <c:v>1.4722807076609983E-12</c:v>
                </c:pt>
                <c:pt idx="132">
                  <c:v>1.4722807076609983E-12</c:v>
                </c:pt>
                <c:pt idx="133">
                  <c:v>1.4722807076609983E-12</c:v>
                </c:pt>
                <c:pt idx="134">
                  <c:v>1.4722807076609983E-12</c:v>
                </c:pt>
                <c:pt idx="135">
                  <c:v>1.4722807076609983E-12</c:v>
                </c:pt>
                <c:pt idx="136">
                  <c:v>1.4722807076609983E-12</c:v>
                </c:pt>
                <c:pt idx="137">
                  <c:v>1.4722807076609983E-12</c:v>
                </c:pt>
                <c:pt idx="138">
                  <c:v>1.4722807076609983E-12</c:v>
                </c:pt>
                <c:pt idx="139">
                  <c:v>1.4722807076609983E-12</c:v>
                </c:pt>
                <c:pt idx="140">
                  <c:v>1.4722807076609983E-12</c:v>
                </c:pt>
                <c:pt idx="141">
                  <c:v>1.4722807076609983E-12</c:v>
                </c:pt>
                <c:pt idx="142">
                  <c:v>1.4722807076609983E-12</c:v>
                </c:pt>
                <c:pt idx="143">
                  <c:v>1.4722807076609983E-12</c:v>
                </c:pt>
                <c:pt idx="144">
                  <c:v>1.4722807076609983E-12</c:v>
                </c:pt>
                <c:pt idx="145">
                  <c:v>1.4722807076609983E-12</c:v>
                </c:pt>
                <c:pt idx="146">
                  <c:v>1.4722807076609983E-12</c:v>
                </c:pt>
                <c:pt idx="147">
                  <c:v>1.4722807076609983E-12</c:v>
                </c:pt>
                <c:pt idx="148">
                  <c:v>1.4722807076609983E-12</c:v>
                </c:pt>
                <c:pt idx="149">
                  <c:v>1.4722807076609983E-12</c:v>
                </c:pt>
                <c:pt idx="150">
                  <c:v>1.4722807076609983E-12</c:v>
                </c:pt>
                <c:pt idx="151">
                  <c:v>1.4722807076609983E-12</c:v>
                </c:pt>
                <c:pt idx="152">
                  <c:v>1.4722807076609983E-12</c:v>
                </c:pt>
                <c:pt idx="153">
                  <c:v>1.4722807076609983E-12</c:v>
                </c:pt>
                <c:pt idx="154">
                  <c:v>1.4722807076609983E-12</c:v>
                </c:pt>
                <c:pt idx="155">
                  <c:v>1.4722807076609983E-12</c:v>
                </c:pt>
                <c:pt idx="156">
                  <c:v>1.4722807076609983E-12</c:v>
                </c:pt>
                <c:pt idx="157">
                  <c:v>1.4722807076609983E-12</c:v>
                </c:pt>
                <c:pt idx="158">
                  <c:v>1.4722807076609983E-12</c:v>
                </c:pt>
                <c:pt idx="159">
                  <c:v>1.4722807076609983E-12</c:v>
                </c:pt>
                <c:pt idx="160">
                  <c:v>1.4722807076609983E-12</c:v>
                </c:pt>
                <c:pt idx="161">
                  <c:v>1.4722807076609983E-12</c:v>
                </c:pt>
                <c:pt idx="162">
                  <c:v>1.4722807076609983E-12</c:v>
                </c:pt>
                <c:pt idx="163">
                  <c:v>1.4722807076609983E-12</c:v>
                </c:pt>
                <c:pt idx="164">
                  <c:v>1.4722807076609983E-12</c:v>
                </c:pt>
                <c:pt idx="165">
                  <c:v>1.4722807076609983E-12</c:v>
                </c:pt>
                <c:pt idx="166">
                  <c:v>1.4722807076609983E-12</c:v>
                </c:pt>
                <c:pt idx="167">
                  <c:v>1.4722807076609983E-12</c:v>
                </c:pt>
                <c:pt idx="168">
                  <c:v>1.4722807076609983E-12</c:v>
                </c:pt>
                <c:pt idx="169">
                  <c:v>1.4722807076609983E-12</c:v>
                </c:pt>
                <c:pt idx="170">
                  <c:v>1.4722807076609983E-12</c:v>
                </c:pt>
                <c:pt idx="171">
                  <c:v>1.4722807076609983E-12</c:v>
                </c:pt>
                <c:pt idx="172">
                  <c:v>1.4722807076609983E-12</c:v>
                </c:pt>
                <c:pt idx="173">
                  <c:v>1.4722807076609983E-12</c:v>
                </c:pt>
                <c:pt idx="174">
                  <c:v>1.4722807076609983E-12</c:v>
                </c:pt>
                <c:pt idx="175">
                  <c:v>1.4722807076609983E-12</c:v>
                </c:pt>
                <c:pt idx="176">
                  <c:v>1.4722807076609983E-12</c:v>
                </c:pt>
                <c:pt idx="177">
                  <c:v>1.4722807076609983E-12</c:v>
                </c:pt>
                <c:pt idx="178">
                  <c:v>1.4722807076609983E-12</c:v>
                </c:pt>
                <c:pt idx="179">
                  <c:v>1.4722807076609983E-12</c:v>
                </c:pt>
                <c:pt idx="180">
                  <c:v>1.4722807076609983E-12</c:v>
                </c:pt>
                <c:pt idx="181">
                  <c:v>1.4722807076609983E-12</c:v>
                </c:pt>
                <c:pt idx="182">
                  <c:v>1.4722807076609983E-12</c:v>
                </c:pt>
                <c:pt idx="183">
                  <c:v>1.4722807076609983E-12</c:v>
                </c:pt>
                <c:pt idx="184">
                  <c:v>1.4722807076609983E-12</c:v>
                </c:pt>
                <c:pt idx="185">
                  <c:v>1.4722807076609983E-12</c:v>
                </c:pt>
                <c:pt idx="186">
                  <c:v>1.4722807076609983E-12</c:v>
                </c:pt>
                <c:pt idx="187">
                  <c:v>1.4722807076609983E-12</c:v>
                </c:pt>
                <c:pt idx="188">
                  <c:v>1.4722807076609983E-12</c:v>
                </c:pt>
                <c:pt idx="189">
                  <c:v>1.4722807076609983E-12</c:v>
                </c:pt>
                <c:pt idx="190">
                  <c:v>1.4722807076609983E-12</c:v>
                </c:pt>
                <c:pt idx="191">
                  <c:v>1.4722807076609983E-12</c:v>
                </c:pt>
                <c:pt idx="192">
                  <c:v>1.4722807076609983E-12</c:v>
                </c:pt>
                <c:pt idx="193">
                  <c:v>1.4722807076609983E-12</c:v>
                </c:pt>
                <c:pt idx="194">
                  <c:v>1.4722807076609983E-12</c:v>
                </c:pt>
                <c:pt idx="195">
                  <c:v>1.4722807076609983E-12</c:v>
                </c:pt>
                <c:pt idx="196">
                  <c:v>1.4722807076609983E-12</c:v>
                </c:pt>
                <c:pt idx="197">
                  <c:v>1.4722807076609983E-12</c:v>
                </c:pt>
                <c:pt idx="198">
                  <c:v>1.4722807076609983E-12</c:v>
                </c:pt>
                <c:pt idx="199">
                  <c:v>1.4722807076609983E-12</c:v>
                </c:pt>
                <c:pt idx="200">
                  <c:v>1.4722807076609983E-12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42403584"/>
        <c:axId val="-1142403040"/>
      </c:scatterChart>
      <c:valAx>
        <c:axId val="-1142403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42403040"/>
        <c:crosses val="autoZero"/>
        <c:crossBetween val="midCat"/>
      </c:valAx>
      <c:valAx>
        <c:axId val="-114240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42403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1.8463208932076591</c:v>
                </c:pt>
                <c:pt idx="2">
                  <c:v>2.2449637221911352</c:v>
                </c:pt>
                <c:pt idx="3">
                  <c:v>2.7300095763503163</c:v>
                </c:pt>
                <c:pt idx="4">
                  <c:v>3.3202536101890168</c:v>
                </c:pt>
                <c:pt idx="5">
                  <c:v>4.0385933350027141</c:v>
                </c:pt>
                <c:pt idx="6">
                  <c:v>4.9129268485794588</c:v>
                </c:pt>
                <c:pt idx="7">
                  <c:v>5.977248308596157</c:v>
                </c:pt>
                <c:pt idx="8">
                  <c:v>7.272984078441648</c:v>
                </c:pt>
                <c:pt idx="9">
                  <c:v>8.8506225595668653</c:v>
                </c:pt>
                <c:pt idx="10">
                  <c:v>10.771702430152191</c:v>
                </c:pt>
                <c:pt idx="11">
                  <c:v>13.111238305856004</c:v>
                </c:pt>
                <c:pt idx="12">
                  <c:v>15.960680298983979</c:v>
                </c:pt>
                <c:pt idx="13">
                  <c:v>19.431525279476187</c:v>
                </c:pt>
                <c:pt idx="14">
                  <c:v>23.659723692470578</c:v>
                </c:pt>
                <c:pt idx="15">
                  <c:v>28.811057611332387</c:v>
                </c:pt>
                <c:pt idx="16">
                  <c:v>32.826307859701934</c:v>
                </c:pt>
                <c:pt idx="17">
                  <c:v>36.827994779392817</c:v>
                </c:pt>
                <c:pt idx="18">
                  <c:v>40.817806972070983</c:v>
                </c:pt>
                <c:pt idx="19">
                  <c:v>44.79707392200919</c:v>
                </c:pt>
                <c:pt idx="20">
                  <c:v>48.766868321352128</c:v>
                </c:pt>
                <c:pt idx="21">
                  <c:v>54.615291695056577</c:v>
                </c:pt>
                <c:pt idx="22">
                  <c:v>60.447243260213298</c:v>
                </c:pt>
                <c:pt idx="23">
                  <c:v>66.264541483471248</c:v>
                </c:pt>
                <c:pt idx="24">
                  <c:v>72.068658057827705</c:v>
                </c:pt>
                <c:pt idx="25">
                  <c:v>77.860807323561289</c:v>
                </c:pt>
                <c:pt idx="26">
                  <c:v>85.131877110508995</c:v>
                </c:pt>
                <c:pt idx="27">
                  <c:v>92.387300937099027</c:v>
                </c:pt>
                <c:pt idx="28">
                  <c:v>99.628483492558303</c:v>
                </c:pt>
                <c:pt idx="29">
                  <c:v>106.85660799258731</c:v>
                </c:pt>
                <c:pt idx="30">
                  <c:v>114.07268406888512</c:v>
                </c:pt>
                <c:pt idx="31">
                  <c:v>122.43833050463235</c:v>
                </c:pt>
                <c:pt idx="32">
                  <c:v>130.79007722376096</c:v>
                </c:pt>
                <c:pt idx="33">
                  <c:v>139.12893836242094</c:v>
                </c:pt>
                <c:pt idx="34">
                  <c:v>147.45579631384916</c:v>
                </c:pt>
                <c:pt idx="35">
                  <c:v>155.77142548420065</c:v>
                </c:pt>
                <c:pt idx="36">
                  <c:v>164.07651069716627</c:v>
                </c:pt>
                <c:pt idx="37">
                  <c:v>127.20829411634475</c:v>
                </c:pt>
                <c:pt idx="38">
                  <c:v>134.81542378123416</c:v>
                </c:pt>
                <c:pt idx="39">
                  <c:v>142.41221295593488</c:v>
                </c:pt>
                <c:pt idx="40">
                  <c:v>149.99929195346505</c:v>
                </c:pt>
                <c:pt idx="41">
                  <c:v>157.57722199222684</c:v>
                </c:pt>
                <c:pt idx="42">
                  <c:v>165.1465058037152</c:v>
                </c:pt>
                <c:pt idx="43">
                  <c:v>172.70759618940016</c:v>
                </c:pt>
                <c:pt idx="44">
                  <c:v>180.2609029976378</c:v>
                </c:pt>
                <c:pt idx="45">
                  <c:v>188.46553650568126</c:v>
                </c:pt>
                <c:pt idx="46">
                  <c:v>196.66184315116777</c:v>
                </c:pt>
                <c:pt idx="47">
                  <c:v>204.85021936559886</c:v>
                </c:pt>
                <c:pt idx="48">
                  <c:v>213.03102725548104</c:v>
                </c:pt>
                <c:pt idx="49">
                  <c:v>221.20459880765301</c:v>
                </c:pt>
                <c:pt idx="50">
                  <c:v>229.37123943966768</c:v>
                </c:pt>
                <c:pt idx="51">
                  <c:v>237.53123101741502</c:v>
                </c:pt>
                <c:pt idx="52">
                  <c:v>245.68483443587479</c:v>
                </c:pt>
                <c:pt idx="53">
                  <c:v>154.42569363475363</c:v>
                </c:pt>
                <c:pt idx="54">
                  <c:v>160.72655611423238</c:v>
                </c:pt>
                <c:pt idx="55">
                  <c:v>167.02156916837251</c:v>
                </c:pt>
                <c:pt idx="56">
                  <c:v>173.31098477855497</c:v>
                </c:pt>
                <c:pt idx="57">
                  <c:v>179.59503510846969</c:v>
                </c:pt>
                <c:pt idx="58">
                  <c:v>185.87393471738528</c:v>
                </c:pt>
                <c:pt idx="59">
                  <c:v>192.14788245815853</c:v>
                </c:pt>
                <c:pt idx="60">
                  <c:v>198.72560532396037</c:v>
                </c:pt>
                <c:pt idx="61">
                  <c:v>205.29827852462654</c:v>
                </c:pt>
                <c:pt idx="62">
                  <c:v>211.86608679668555</c:v>
                </c:pt>
                <c:pt idx="63">
                  <c:v>218.42920246911339</c:v>
                </c:pt>
                <c:pt idx="64">
                  <c:v>224.98778665285246</c:v>
                </c:pt>
                <c:pt idx="65">
                  <c:v>231.54199028417233</c:v>
                </c:pt>
                <c:pt idx="66">
                  <c:v>238.09195504354997</c:v>
                </c:pt>
                <c:pt idx="67">
                  <c:v>244.86309808529651</c:v>
                </c:pt>
                <c:pt idx="68">
                  <c:v>251.62998668146909</c:v>
                </c:pt>
                <c:pt idx="69">
                  <c:v>258.39275154179029</c:v>
                </c:pt>
                <c:pt idx="70">
                  <c:v>265.15151596613208</c:v>
                </c:pt>
                <c:pt idx="71">
                  <c:v>271.90639644698263</c:v>
                </c:pt>
                <c:pt idx="72">
                  <c:v>278.65750320884928</c:v>
                </c:pt>
                <c:pt idx="73">
                  <c:v>285.40494069259944</c:v>
                </c:pt>
                <c:pt idx="74">
                  <c:v>292.14880799155861</c:v>
                </c:pt>
                <c:pt idx="75">
                  <c:v>151.59661212013742</c:v>
                </c:pt>
                <c:pt idx="76">
                  <c:v>156.10979525291137</c:v>
                </c:pt>
                <c:pt idx="77">
                  <c:v>160.6198793705461</c:v>
                </c:pt>
                <c:pt idx="78">
                  <c:v>165.12696398647461</c:v>
                </c:pt>
                <c:pt idx="79">
                  <c:v>169.63114272494099</c:v>
                </c:pt>
                <c:pt idx="80">
                  <c:v>174.13250382029614</c:v>
                </c:pt>
                <c:pt idx="81">
                  <c:v>178.63113056185384</c:v>
                </c:pt>
                <c:pt idx="82">
                  <c:v>183.12710169149531</c:v>
                </c:pt>
                <c:pt idx="83">
                  <c:v>187.79323042854557</c:v>
                </c:pt>
                <c:pt idx="84">
                  <c:v>192.45665483077241</c:v>
                </c:pt>
                <c:pt idx="85">
                  <c:v>197.11744981958063</c:v>
                </c:pt>
                <c:pt idx="86">
                  <c:v>201.77568647644307</c:v>
                </c:pt>
                <c:pt idx="87">
                  <c:v>206.43143232587249</c:v>
                </c:pt>
                <c:pt idx="88">
                  <c:v>211.08475159148273</c:v>
                </c:pt>
                <c:pt idx="89">
                  <c:v>215.73570542824973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24284480"/>
        <c:axId val="-824288288"/>
      </c:scatterChart>
      <c:valAx>
        <c:axId val="-824284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4288288"/>
        <c:crosses val="autoZero"/>
        <c:crossBetween val="midCat"/>
      </c:valAx>
      <c:valAx>
        <c:axId val="-82428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4284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118.03208120289025</c:v>
                </c:pt>
                <c:pt idx="32">
                  <c:v>127.16454093707324</c:v>
                </c:pt>
                <c:pt idx="33">
                  <c:v>136.28111027557466</c:v>
                </c:pt>
                <c:pt idx="34">
                  <c:v>145.38300356865543</c:v>
                </c:pt>
                <c:pt idx="35">
                  <c:v>154.47127040505103</c:v>
                </c:pt>
                <c:pt idx="36">
                  <c:v>164.62257075242445</c:v>
                </c:pt>
                <c:pt idx="37">
                  <c:v>174.75908346315285</c:v>
                </c:pt>
                <c:pt idx="38">
                  <c:v>184.88178804027584</c:v>
                </c:pt>
                <c:pt idx="39">
                  <c:v>194.99154782254652</c:v>
                </c:pt>
                <c:pt idx="40">
                  <c:v>205.08912920241869</c:v>
                </c:pt>
                <c:pt idx="41">
                  <c:v>216.07167176294379</c:v>
                </c:pt>
                <c:pt idx="42">
                  <c:v>227.04137501930674</c:v>
                </c:pt>
                <c:pt idx="43">
                  <c:v>237.99894718169116</c:v>
                </c:pt>
                <c:pt idx="44">
                  <c:v>248.9450258663492</c:v>
                </c:pt>
                <c:pt idx="45">
                  <c:v>259.88018799430489</c:v>
                </c:pt>
                <c:pt idx="46">
                  <c:v>271.55455561199773</c:v>
                </c:pt>
                <c:pt idx="47">
                  <c:v>283.21763703149043</c:v>
                </c:pt>
                <c:pt idx="48">
                  <c:v>294.86996273477894</c:v>
                </c:pt>
                <c:pt idx="49">
                  <c:v>306.51201783346147</c:v>
                </c:pt>
                <c:pt idx="50">
                  <c:v>318.14424756196712</c:v>
                </c:pt>
                <c:pt idx="51">
                  <c:v>329.76706192494237</c:v>
                </c:pt>
                <c:pt idx="52">
                  <c:v>239.67683700392948</c:v>
                </c:pt>
                <c:pt idx="53">
                  <c:v>250.29218464838678</c:v>
                </c:pt>
                <c:pt idx="54">
                  <c:v>260.8973260680587</c:v>
                </c:pt>
                <c:pt idx="55">
                  <c:v>271.49273488667239</c:v>
                </c:pt>
                <c:pt idx="56">
                  <c:v>282.07884471495868</c:v>
                </c:pt>
                <c:pt idx="57">
                  <c:v>292.65605393833511</c:v>
                </c:pt>
                <c:pt idx="58">
                  <c:v>303.66796237794057</c:v>
                </c:pt>
                <c:pt idx="59">
                  <c:v>314.67098963455902</c:v>
                </c:pt>
                <c:pt idx="60">
                  <c:v>325.66549017002541</c:v>
                </c:pt>
                <c:pt idx="61">
                  <c:v>336.65179254781509</c:v>
                </c:pt>
                <c:pt idx="62">
                  <c:v>347.63020212685018</c:v>
                </c:pt>
                <c:pt idx="63">
                  <c:v>358.60100339709601</c:v>
                </c:pt>
                <c:pt idx="64">
                  <c:v>260.03231321547509</c:v>
                </c:pt>
                <c:pt idx="65">
                  <c:v>269.77193063297682</c:v>
                </c:pt>
                <c:pt idx="66">
                  <c:v>279.50363527600848</c:v>
                </c:pt>
                <c:pt idx="67">
                  <c:v>289.22774169786436</c:v>
                </c:pt>
                <c:pt idx="68">
                  <c:v>298.94454155777515</c:v>
                </c:pt>
                <c:pt idx="69">
                  <c:v>308.65430599336338</c:v>
                </c:pt>
                <c:pt idx="70">
                  <c:v>318.62294171430648</c:v>
                </c:pt>
                <c:pt idx="71">
                  <c:v>328.58467368958503</c:v>
                </c:pt>
                <c:pt idx="72">
                  <c:v>338.53974084807078</c:v>
                </c:pt>
                <c:pt idx="73">
                  <c:v>348.48836691199364</c:v>
                </c:pt>
                <c:pt idx="74">
                  <c:v>358.43076178064831</c:v>
                </c:pt>
                <c:pt idx="75">
                  <c:v>368.36712275248732</c:v>
                </c:pt>
                <c:pt idx="76">
                  <c:v>291.91671551884872</c:v>
                </c:pt>
                <c:pt idx="77">
                  <c:v>300.87214322749122</c:v>
                </c:pt>
                <c:pt idx="78">
                  <c:v>309.82163676754641</c:v>
                </c:pt>
                <c:pt idx="79">
                  <c:v>318.76539185761334</c:v>
                </c:pt>
                <c:pt idx="80">
                  <c:v>327.70359232869743</c:v>
                </c:pt>
                <c:pt idx="81">
                  <c:v>336.63641115786692</c:v>
                </c:pt>
                <c:pt idx="82">
                  <c:v>345.70364470995446</c:v>
                </c:pt>
                <c:pt idx="83">
                  <c:v>354.76565626068276</c:v>
                </c:pt>
                <c:pt idx="84">
                  <c:v>363.82259809116505</c:v>
                </c:pt>
                <c:pt idx="85">
                  <c:v>372.87461427751396</c:v>
                </c:pt>
                <c:pt idx="86">
                  <c:v>381.92184132571924</c:v>
                </c:pt>
                <c:pt idx="87">
                  <c:v>390.96440874320393</c:v>
                </c:pt>
                <c:pt idx="88">
                  <c:v>316.23957957327008</c:v>
                </c:pt>
                <c:pt idx="89">
                  <c:v>324.36731982730089</c:v>
                </c:pt>
                <c:pt idx="90">
                  <c:v>332.49055967837018</c:v>
                </c:pt>
                <c:pt idx="91">
                  <c:v>340.60942467657702</c:v>
                </c:pt>
                <c:pt idx="92">
                  <c:v>348.72403389340735</c:v>
                </c:pt>
                <c:pt idx="93">
                  <c:v>356.8345004023297</c:v>
                </c:pt>
                <c:pt idx="94">
                  <c:v>364.97803760821688</c:v>
                </c:pt>
                <c:pt idx="95">
                  <c:v>373.11760631918406</c:v>
                </c:pt>
                <c:pt idx="96">
                  <c:v>381.25330537802529</c:v>
                </c:pt>
                <c:pt idx="97">
                  <c:v>389.38522906199631</c:v>
                </c:pt>
                <c:pt idx="98">
                  <c:v>397.51346738672737</c:v>
                </c:pt>
                <c:pt idx="99">
                  <c:v>405.63810638397126</c:v>
                </c:pt>
                <c:pt idx="100">
                  <c:v>212.76508133047199</c:v>
                </c:pt>
                <c:pt idx="101">
                  <c:v>218.67199561794735</c:v>
                </c:pt>
                <c:pt idx="102">
                  <c:v>224.57524361030281</c:v>
                </c:pt>
                <c:pt idx="103">
                  <c:v>230.47493544221061</c:v>
                </c:pt>
                <c:pt idx="104">
                  <c:v>236.37117514013221</c:v>
                </c:pt>
                <c:pt idx="105">
                  <c:v>241.87202761852049</c:v>
                </c:pt>
                <c:pt idx="106">
                  <c:v>247.37003385573931</c:v>
                </c:pt>
                <c:pt idx="107">
                  <c:v>252.86526614443781</c:v>
                </c:pt>
                <c:pt idx="108">
                  <c:v>258.35779337351011</c:v>
                </c:pt>
                <c:pt idx="109">
                  <c:v>263.84768125895852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24280672"/>
        <c:axId val="-824287200"/>
      </c:scatterChart>
      <c:valAx>
        <c:axId val="-824280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4287200"/>
        <c:crosses val="autoZero"/>
        <c:crossBetween val="midCat"/>
      </c:valAx>
      <c:valAx>
        <c:axId val="-82428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4280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1.764623946992776</c:v>
                </c:pt>
                <c:pt idx="2">
                  <c:v>2.296820149719109</c:v>
                </c:pt>
                <c:pt idx="3">
                  <c:v>2.9901813361334599</c:v>
                </c:pt>
                <c:pt idx="4">
                  <c:v>3.8937015078679331</c:v>
                </c:pt>
                <c:pt idx="5">
                  <c:v>5.0713224460225206</c:v>
                </c:pt>
                <c:pt idx="6">
                  <c:v>6.6065094082284403</c:v>
                </c:pt>
                <c:pt idx="7">
                  <c:v>8.6082318034868219</c:v>
                </c:pt>
                <c:pt idx="8">
                  <c:v>11.218781457943201</c:v>
                </c:pt>
                <c:pt idx="9">
                  <c:v>14.623994632945491</c:v>
                </c:pt>
                <c:pt idx="10">
                  <c:v>19.066618826697646</c:v>
                </c:pt>
                <c:pt idx="11">
                  <c:v>24.86379439475003</c:v>
                </c:pt>
                <c:pt idx="12">
                  <c:v>32.429920954599254</c:v>
                </c:pt>
                <c:pt idx="13">
                  <c:v>42.306571406283155</c:v>
                </c:pt>
                <c:pt idx="14">
                  <c:v>55.201631057160647</c:v>
                </c:pt>
                <c:pt idx="15">
                  <c:v>72.040513611415278</c:v>
                </c:pt>
                <c:pt idx="16">
                  <c:v>77.773664376116372</c:v>
                </c:pt>
                <c:pt idx="17">
                  <c:v>83.496074849233494</c:v>
                </c:pt>
                <c:pt idx="18">
                  <c:v>89.208586896212196</c:v>
                </c:pt>
                <c:pt idx="19">
                  <c:v>94.911925413388516</c:v>
                </c:pt>
                <c:pt idx="20">
                  <c:v>100.60672079779079</c:v>
                </c:pt>
                <c:pt idx="21">
                  <c:v>106.01963887584141</c:v>
                </c:pt>
                <c:pt idx="22">
                  <c:v>111.42574146198729</c:v>
                </c:pt>
                <c:pt idx="23">
                  <c:v>116.82540670207005</c:v>
                </c:pt>
                <c:pt idx="24">
                  <c:v>122.21897483770141</c:v>
                </c:pt>
                <c:pt idx="25">
                  <c:v>127.60675354961728</c:v>
                </c:pt>
                <c:pt idx="26">
                  <c:v>132.71663076326527</c:v>
                </c:pt>
                <c:pt idx="27">
                  <c:v>137.82176072987758</c:v>
                </c:pt>
                <c:pt idx="28">
                  <c:v>142.92234453232751</c:v>
                </c:pt>
                <c:pt idx="29">
                  <c:v>148.01856769367024</c:v>
                </c:pt>
                <c:pt idx="30">
                  <c:v>153.11060188786209</c:v>
                </c:pt>
                <c:pt idx="31">
                  <c:v>157.88213418449652</c:v>
                </c:pt>
                <c:pt idx="32">
                  <c:v>162.65024524533573</c:v>
                </c:pt>
                <c:pt idx="33">
                  <c:v>167.41504975541088</c:v>
                </c:pt>
                <c:pt idx="34">
                  <c:v>172.17665532326225</c:v>
                </c:pt>
                <c:pt idx="35">
                  <c:v>176.93516310576447</c:v>
                </c:pt>
                <c:pt idx="36">
                  <c:v>181.44282374804376</c:v>
                </c:pt>
                <c:pt idx="37">
                  <c:v>185.9478634358592</c:v>
                </c:pt>
                <c:pt idx="38">
                  <c:v>190.45035477579145</c:v>
                </c:pt>
                <c:pt idx="39">
                  <c:v>194.95036665337292</c:v>
                </c:pt>
                <c:pt idx="40">
                  <c:v>199.44796450728037</c:v>
                </c:pt>
                <c:pt idx="41">
                  <c:v>203.651089871236</c:v>
                </c:pt>
                <c:pt idx="42">
                  <c:v>207.85220779220174</c:v>
                </c:pt>
                <c:pt idx="43">
                  <c:v>212.05136466234376</c:v>
                </c:pt>
                <c:pt idx="44">
                  <c:v>216.24860488245017</c:v>
                </c:pt>
                <c:pt idx="45">
                  <c:v>220.44397098530536</c:v>
                </c:pt>
                <c:pt idx="46">
                  <c:v>224.36845432498728</c:v>
                </c:pt>
                <c:pt idx="47">
                  <c:v>228.29136419539634</c:v>
                </c:pt>
                <c:pt idx="48">
                  <c:v>232.21273151004849</c:v>
                </c:pt>
                <c:pt idx="49">
                  <c:v>236.1325860509443</c:v>
                </c:pt>
                <c:pt idx="50">
                  <c:v>240.05095652852046</c:v>
                </c:pt>
                <c:pt idx="51">
                  <c:v>243.6993281954004</c:v>
                </c:pt>
                <c:pt idx="52">
                  <c:v>247.34645801142526</c:v>
                </c:pt>
                <c:pt idx="53">
                  <c:v>250.9923669113472</c:v>
                </c:pt>
                <c:pt idx="54">
                  <c:v>254.63707517082017</c:v>
                </c:pt>
                <c:pt idx="55">
                  <c:v>258.28060243650765</c:v>
                </c:pt>
                <c:pt idx="56">
                  <c:v>261.63251456340146</c:v>
                </c:pt>
                <c:pt idx="57">
                  <c:v>264.9834571116574</c:v>
                </c:pt>
                <c:pt idx="58">
                  <c:v>268.33344409875974</c:v>
                </c:pt>
                <c:pt idx="59">
                  <c:v>271.6824891629139</c:v>
                </c:pt>
                <c:pt idx="60">
                  <c:v>275.03060557796795</c:v>
                </c:pt>
                <c:pt idx="61">
                  <c:v>278.11006361255676</c:v>
                </c:pt>
                <c:pt idx="62">
                  <c:v>281.18875639212592</c:v>
                </c:pt>
                <c:pt idx="63">
                  <c:v>284.26669349521865</c:v>
                </c:pt>
                <c:pt idx="64">
                  <c:v>287.34388427560884</c:v>
                </c:pt>
                <c:pt idx="65">
                  <c:v>290.42033786998297</c:v>
                </c:pt>
                <c:pt idx="66">
                  <c:v>293.22863751617655</c:v>
                </c:pt>
                <c:pt idx="67">
                  <c:v>296.03633669968633</c:v>
                </c:pt>
                <c:pt idx="68">
                  <c:v>298.84344193087276</c:v>
                </c:pt>
                <c:pt idx="69">
                  <c:v>301.64995958756714</c:v>
                </c:pt>
                <c:pt idx="70">
                  <c:v>304.45589591900688</c:v>
                </c:pt>
                <c:pt idx="71">
                  <c:v>306.9718414631887</c:v>
                </c:pt>
                <c:pt idx="72">
                  <c:v>309.48732871195836</c:v>
                </c:pt>
                <c:pt idx="73">
                  <c:v>312.00236192356948</c:v>
                </c:pt>
                <c:pt idx="74">
                  <c:v>314.51694528188881</c:v>
                </c:pt>
                <c:pt idx="75">
                  <c:v>317.03108289829282</c:v>
                </c:pt>
                <c:pt idx="76">
                  <c:v>319.27785849736955</c:v>
                </c:pt>
                <c:pt idx="77">
                  <c:v>321.52428406625762</c:v>
                </c:pt>
                <c:pt idx="78">
                  <c:v>323.77036240061921</c:v>
                </c:pt>
                <c:pt idx="79">
                  <c:v>326.01609625408747</c:v>
                </c:pt>
                <c:pt idx="80">
                  <c:v>328.26148833919024</c:v>
                </c:pt>
                <c:pt idx="81">
                  <c:v>330.23982002340057</c:v>
                </c:pt>
                <c:pt idx="82">
                  <c:v>332.21789020579178</c:v>
                </c:pt>
                <c:pt idx="83">
                  <c:v>334.19570066624607</c:v>
                </c:pt>
                <c:pt idx="84">
                  <c:v>336.17325316181842</c:v>
                </c:pt>
                <c:pt idx="85">
                  <c:v>338.15054942716534</c:v>
                </c:pt>
                <c:pt idx="86">
                  <c:v>339.86103853173319</c:v>
                </c:pt>
                <c:pt idx="87">
                  <c:v>341.57133822210039</c:v>
                </c:pt>
                <c:pt idx="88">
                  <c:v>343.28144958244587</c:v>
                </c:pt>
                <c:pt idx="89">
                  <c:v>344.99137368524379</c:v>
                </c:pt>
                <c:pt idx="90">
                  <c:v>346.70111159144932</c:v>
                </c:pt>
                <c:pt idx="91">
                  <c:v>348.12205150612652</c:v>
                </c:pt>
                <c:pt idx="92">
                  <c:v>349.54286411058598</c:v>
                </c:pt>
                <c:pt idx="93">
                  <c:v>350.96354999639215</c:v>
                </c:pt>
                <c:pt idx="94">
                  <c:v>352.38410974991922</c:v>
                </c:pt>
                <c:pt idx="95">
                  <c:v>353.80454395241924</c:v>
                </c:pt>
                <c:pt idx="96">
                  <c:v>354.95855469311226</c:v>
                </c:pt>
                <c:pt idx="97">
                  <c:v>356.11248323760998</c:v>
                </c:pt>
                <c:pt idx="98">
                  <c:v>357.26632989038745</c:v>
                </c:pt>
                <c:pt idx="99">
                  <c:v>358.42009495378846</c:v>
                </c:pt>
                <c:pt idx="100">
                  <c:v>359.57377872804733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24285024"/>
        <c:axId val="-824290464"/>
      </c:scatterChart>
      <c:valAx>
        <c:axId val="-8242850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4290464"/>
        <c:crosses val="autoZero"/>
        <c:crossBetween val="midCat"/>
      </c:valAx>
      <c:valAx>
        <c:axId val="-82429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4285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3.7940715050318166</c:v>
                </c:pt>
                <c:pt idx="2">
                  <c:v>4.9377274035395011</c:v>
                </c:pt>
                <c:pt idx="3">
                  <c:v>6.4274775055040303</c:v>
                </c:pt>
                <c:pt idx="4">
                  <c:v>8.3684435076636809</c:v>
                </c:pt>
                <c:pt idx="5">
                  <c:v>10.897785858680232</c:v>
                </c:pt>
                <c:pt idx="6">
                  <c:v>14.194499309147433</c:v>
                </c:pt>
                <c:pt idx="7">
                  <c:v>18.492212032390984</c:v>
                </c:pt>
                <c:pt idx="8">
                  <c:v>24.095911719327074</c:v>
                </c:pt>
                <c:pt idx="9">
                  <c:v>31.403806616304621</c:v>
                </c:pt>
                <c:pt idx="10">
                  <c:v>40.935901924486565</c:v>
                </c:pt>
                <c:pt idx="11">
                  <c:v>45.995824937849385</c:v>
                </c:pt>
                <c:pt idx="12">
                  <c:v>51.040864550780604</c:v>
                </c:pt>
                <c:pt idx="13">
                  <c:v>56.072704833394162</c:v>
                </c:pt>
                <c:pt idx="14">
                  <c:v>61.092701422671723</c:v>
                </c:pt>
                <c:pt idx="15">
                  <c:v>66.101967977769291</c:v>
                </c:pt>
                <c:pt idx="16">
                  <c:v>71.101434889641112</c:v>
                </c:pt>
                <c:pt idx="17">
                  <c:v>76.091890520314053</c:v>
                </c:pt>
                <c:pt idx="18">
                  <c:v>81.074011002076816</c:v>
                </c:pt>
                <c:pt idx="19">
                  <c:v>86.048382294364117</c:v>
                </c:pt>
                <c:pt idx="20">
                  <c:v>91.01551685143825</c:v>
                </c:pt>
                <c:pt idx="21">
                  <c:v>96.059293424495877</c:v>
                </c:pt>
                <c:pt idx="22">
                  <c:v>101.09647592120905</c:v>
                </c:pt>
                <c:pt idx="23">
                  <c:v>106.1274401371661</c:v>
                </c:pt>
                <c:pt idx="24">
                  <c:v>111.15252322541839</c:v>
                </c:pt>
                <c:pt idx="25">
                  <c:v>116.17202927831566</c:v>
                </c:pt>
                <c:pt idx="26">
                  <c:v>121.18623389119783</c:v>
                </c:pt>
                <c:pt idx="27">
                  <c:v>126.19538792903876</c:v>
                </c:pt>
                <c:pt idx="28">
                  <c:v>131.19972066206506</c:v>
                </c:pt>
                <c:pt idx="29">
                  <c:v>136.19944239663721</c:v>
                </c:pt>
                <c:pt idx="30">
                  <c:v>141.19474669860062</c:v>
                </c:pt>
                <c:pt idx="31">
                  <c:v>117.41844889935521</c:v>
                </c:pt>
                <c:pt idx="32">
                  <c:v>122.27181352878561</c:v>
                </c:pt>
                <c:pt idx="33">
                  <c:v>127.12049242384775</c:v>
                </c:pt>
                <c:pt idx="34">
                  <c:v>131.96468999042506</c:v>
                </c:pt>
                <c:pt idx="35">
                  <c:v>136.80459436256049</c:v>
                </c:pt>
                <c:pt idx="36">
                  <c:v>141.64037924106523</c:v>
                </c:pt>
                <c:pt idx="37">
                  <c:v>146.47220546726382</c:v>
                </c:pt>
                <c:pt idx="38">
                  <c:v>151.3002223777049</c:v>
                </c:pt>
                <c:pt idx="39">
                  <c:v>156.12456897649591</c:v>
                </c:pt>
                <c:pt idx="40">
                  <c:v>160.94537495481583</c:v>
                </c:pt>
                <c:pt idx="41">
                  <c:v>148.09833122562196</c:v>
                </c:pt>
                <c:pt idx="42">
                  <c:v>152.79144700218751</c:v>
                </c:pt>
                <c:pt idx="43">
                  <c:v>157.48113180902939</c:v>
                </c:pt>
                <c:pt idx="44">
                  <c:v>162.16750248508325</c:v>
                </c:pt>
                <c:pt idx="45">
                  <c:v>166.8506685486885</c:v>
                </c:pt>
                <c:pt idx="46">
                  <c:v>171.53073285365295</c:v>
                </c:pt>
                <c:pt idx="47">
                  <c:v>176.20779216981666</c:v>
                </c:pt>
                <c:pt idx="48">
                  <c:v>180.88193769862167</c:v>
                </c:pt>
                <c:pt idx="49">
                  <c:v>185.55325553249369</c:v>
                </c:pt>
                <c:pt idx="50">
                  <c:v>190.22182706545016</c:v>
                </c:pt>
                <c:pt idx="51">
                  <c:v>175.30550445846984</c:v>
                </c:pt>
                <c:pt idx="52">
                  <c:v>179.7316123866359</c:v>
                </c:pt>
                <c:pt idx="53">
                  <c:v>184.15516689410637</c:v>
                </c:pt>
                <c:pt idx="54">
                  <c:v>188.57623811572486</c:v>
                </c:pt>
                <c:pt idx="55">
                  <c:v>192.99489262176746</c:v>
                </c:pt>
                <c:pt idx="56">
                  <c:v>197.41119367847855</c:v>
                </c:pt>
                <c:pt idx="57">
                  <c:v>201.82520148402705</c:v>
                </c:pt>
                <c:pt idx="58">
                  <c:v>206.23697338270208</c:v>
                </c:pt>
                <c:pt idx="59">
                  <c:v>210.64656405978792</c:v>
                </c:pt>
                <c:pt idx="60">
                  <c:v>215.05402571923696</c:v>
                </c:pt>
                <c:pt idx="61">
                  <c:v>198.6939177176433</c:v>
                </c:pt>
                <c:pt idx="62">
                  <c:v>202.86456278492415</c:v>
                </c:pt>
                <c:pt idx="63">
                  <c:v>207.03322289239085</c:v>
                </c:pt>
                <c:pt idx="64">
                  <c:v>211.1999437388989</c:v>
                </c:pt>
                <c:pt idx="65">
                  <c:v>215.36476906896596</c:v>
                </c:pt>
                <c:pt idx="66">
                  <c:v>219.52774079341077</c:v>
                </c:pt>
                <c:pt idx="67">
                  <c:v>223.68889910034579</c:v>
                </c:pt>
                <c:pt idx="68">
                  <c:v>227.8482825574653</c:v>
                </c:pt>
                <c:pt idx="69">
                  <c:v>232.00592820645954</c:v>
                </c:pt>
                <c:pt idx="70">
                  <c:v>236.16187165029689</c:v>
                </c:pt>
                <c:pt idx="71">
                  <c:v>218.97692512402543</c:v>
                </c:pt>
                <c:pt idx="72">
                  <c:v>222.89820975716569</c:v>
                </c:pt>
                <c:pt idx="73">
                  <c:v>226.81791209882192</c:v>
                </c:pt>
                <c:pt idx="74">
                  <c:v>230.736063412498</c:v>
                </c:pt>
                <c:pt idx="75">
                  <c:v>234.65269381098105</c:v>
                </c:pt>
                <c:pt idx="76">
                  <c:v>238.56783231764553</c:v>
                </c:pt>
                <c:pt idx="77">
                  <c:v>242.48150692351541</c:v>
                </c:pt>
                <c:pt idx="78">
                  <c:v>246.39374464044309</c:v>
                </c:pt>
                <c:pt idx="79">
                  <c:v>250.30457155072909</c:v>
                </c:pt>
                <c:pt idx="80">
                  <c:v>254.21401285347324</c:v>
                </c:pt>
                <c:pt idx="81">
                  <c:v>235.31737948255306</c:v>
                </c:pt>
                <c:pt idx="82">
                  <c:v>239.14443638206026</c:v>
                </c:pt>
                <c:pt idx="83">
                  <c:v>242.97009820492926</c:v>
                </c:pt>
                <c:pt idx="84">
                  <c:v>246.79439006404766</c:v>
                </c:pt>
                <c:pt idx="85">
                  <c:v>250.61733622888337</c:v>
                </c:pt>
                <c:pt idx="86">
                  <c:v>254.43896016654585</c:v>
                </c:pt>
                <c:pt idx="87">
                  <c:v>258.25928458024669</c:v>
                </c:pt>
                <c:pt idx="88">
                  <c:v>262.07833144536136</c:v>
                </c:pt>
                <c:pt idx="89">
                  <c:v>265.89612204327688</c:v>
                </c:pt>
                <c:pt idx="90">
                  <c:v>269.7126769931898</c:v>
                </c:pt>
                <c:pt idx="91">
                  <c:v>250.6328193987205</c:v>
                </c:pt>
                <c:pt idx="92">
                  <c:v>254.24496917314158</c:v>
                </c:pt>
                <c:pt idx="93">
                  <c:v>257.85595699105755</c:v>
                </c:pt>
                <c:pt idx="94">
                  <c:v>261.46580145486388</c:v>
                </c:pt>
                <c:pt idx="95">
                  <c:v>265.07452061034036</c:v>
                </c:pt>
                <c:pt idx="96">
                  <c:v>268.68213197083338</c:v>
                </c:pt>
                <c:pt idx="97">
                  <c:v>272.2886525400715</c:v>
                </c:pt>
                <c:pt idx="98">
                  <c:v>275.89409883370479</c:v>
                </c:pt>
                <c:pt idx="99">
                  <c:v>279.49848689966035</c:v>
                </c:pt>
                <c:pt idx="100">
                  <c:v>283.10183233738871</c:v>
                </c:pt>
                <c:pt idx="101">
                  <c:v>263.96109196677475</c:v>
                </c:pt>
                <c:pt idx="102">
                  <c:v>267.38351841754837</c:v>
                </c:pt>
                <c:pt idx="103">
                  <c:v>270.80495793510266</c:v>
                </c:pt>
                <c:pt idx="104">
                  <c:v>274.2254247741065</c:v>
                </c:pt>
                <c:pt idx="105">
                  <c:v>277.64493280389814</c:v>
                </c:pt>
                <c:pt idx="106">
                  <c:v>281.06349552363093</c:v>
                </c:pt>
                <c:pt idx="107">
                  <c:v>284.48112607664098</c:v>
                </c:pt>
                <c:pt idx="108">
                  <c:v>287.89783726408837</c:v>
                </c:pt>
                <c:pt idx="109">
                  <c:v>291.31364155791516</c:v>
                </c:pt>
                <c:pt idx="110">
                  <c:v>294.72855111316346</c:v>
                </c:pt>
                <c:pt idx="111">
                  <c:v>275.64278221892977</c:v>
                </c:pt>
                <c:pt idx="112">
                  <c:v>278.89302299078042</c:v>
                </c:pt>
                <c:pt idx="113">
                  <c:v>282.14241391291085</c:v>
                </c:pt>
                <c:pt idx="114">
                  <c:v>285.39096617407273</c:v>
                </c:pt>
                <c:pt idx="115">
                  <c:v>288.63869068701268</c:v>
                </c:pt>
                <c:pt idx="116">
                  <c:v>291.88559809838341</c:v>
                </c:pt>
                <c:pt idx="117">
                  <c:v>295.13169879818764</c:v>
                </c:pt>
                <c:pt idx="118">
                  <c:v>298.37700292878753</c:v>
                </c:pt>
                <c:pt idx="119">
                  <c:v>301.6215203934978</c:v>
                </c:pt>
                <c:pt idx="120">
                  <c:v>304.86526086479199</c:v>
                </c:pt>
                <c:pt idx="121">
                  <c:v>286.03934198193417</c:v>
                </c:pt>
                <c:pt idx="122">
                  <c:v>289.1202225994499</c:v>
                </c:pt>
                <c:pt idx="123">
                  <c:v>292.20036925031758</c:v>
                </c:pt>
                <c:pt idx="124">
                  <c:v>295.2797907788534</c:v>
                </c:pt>
                <c:pt idx="125">
                  <c:v>298.35849582949118</c:v>
                </c:pt>
                <c:pt idx="126">
                  <c:v>301.43649285336335</c:v>
                </c:pt>
                <c:pt idx="127">
                  <c:v>304.51379011459977</c:v>
                </c:pt>
                <c:pt idx="128">
                  <c:v>307.59039569635775</c:v>
                </c:pt>
                <c:pt idx="129">
                  <c:v>310.66631750659769</c:v>
                </c:pt>
                <c:pt idx="130">
                  <c:v>313.74156328361835</c:v>
                </c:pt>
                <c:pt idx="131">
                  <c:v>295.19237557407541</c:v>
                </c:pt>
                <c:pt idx="132">
                  <c:v>298.12407035611278</c:v>
                </c:pt>
                <c:pt idx="133">
                  <c:v>301.0551225538257</c:v>
                </c:pt>
                <c:pt idx="134">
                  <c:v>303.98553931871487</c:v>
                </c:pt>
                <c:pt idx="135">
                  <c:v>306.91532765288451</c:v>
                </c:pt>
                <c:pt idx="136">
                  <c:v>309.84449441359243</c:v>
                </c:pt>
                <c:pt idx="137">
                  <c:v>312.77304631762058</c:v>
                </c:pt>
                <c:pt idx="138">
                  <c:v>315.70098994547101</c:v>
                </c:pt>
                <c:pt idx="139">
                  <c:v>318.62833174539895</c:v>
                </c:pt>
                <c:pt idx="140">
                  <c:v>321.55507803729012</c:v>
                </c:pt>
                <c:pt idx="141">
                  <c:v>303.29487711261339</c:v>
                </c:pt>
                <c:pt idx="142">
                  <c:v>306.09225482910631</c:v>
                </c:pt>
                <c:pt idx="143">
                  <c:v>308.88906420647976</c:v>
                </c:pt>
                <c:pt idx="144">
                  <c:v>311.68531112708018</c:v>
                </c:pt>
                <c:pt idx="145">
                  <c:v>314.4810013588949</c:v>
                </c:pt>
                <c:pt idx="146">
                  <c:v>317.2761405587965</c:v>
                </c:pt>
                <c:pt idx="147">
                  <c:v>320.07073427566644</c:v>
                </c:pt>
                <c:pt idx="148">
                  <c:v>322.86478795340321</c:v>
                </c:pt>
                <c:pt idx="149">
                  <c:v>325.65830693382185</c:v>
                </c:pt>
                <c:pt idx="150">
                  <c:v>328.45129645944729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24280128"/>
        <c:axId val="-824283936"/>
      </c:scatterChart>
      <c:valAx>
        <c:axId val="-824280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4283936"/>
        <c:crosses val="autoZero"/>
        <c:crossBetween val="midCat"/>
      </c:valAx>
      <c:valAx>
        <c:axId val="-82428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4280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3.2135925044186702</c:v>
                </c:pt>
                <c:pt idx="2">
                  <c:v>3.7292306798629986</c:v>
                </c:pt>
                <c:pt idx="3">
                  <c:v>4.3279021491245757</c:v>
                </c:pt>
                <c:pt idx="4">
                  <c:v>5.0230228142690452</c:v>
                </c:pt>
                <c:pt idx="5">
                  <c:v>5.83018303865272</c:v>
                </c:pt>
                <c:pt idx="6">
                  <c:v>6.7675011146849871</c:v>
                </c:pt>
                <c:pt idx="7">
                  <c:v>7.8560343440737306</c:v>
                </c:pt>
                <c:pt idx="8">
                  <c:v>9.1202571441615028</c:v>
                </c:pt>
                <c:pt idx="9">
                  <c:v>10.588617135573308</c:v>
                </c:pt>
                <c:pt idx="10">
                  <c:v>12.294181960989675</c:v>
                </c:pt>
                <c:pt idx="11">
                  <c:v>14.275391674022513</c:v>
                </c:pt>
                <c:pt idx="12">
                  <c:v>16.576933969346641</c:v>
                </c:pt>
                <c:pt idx="13">
                  <c:v>19.250762356846565</c:v>
                </c:pt>
                <c:pt idx="14">
                  <c:v>22.357280679290611</c:v>
                </c:pt>
                <c:pt idx="15">
                  <c:v>25.96672121148708</c:v>
                </c:pt>
                <c:pt idx="16">
                  <c:v>30.160748048168177</c:v>
                </c:pt>
                <c:pt idx="17">
                  <c:v>35.034322691846107</c:v>
                </c:pt>
                <c:pt idx="18">
                  <c:v>40.697874811572781</c:v>
                </c:pt>
                <c:pt idx="19">
                  <c:v>47.27982819984468</c:v>
                </c:pt>
                <c:pt idx="20">
                  <c:v>54.929540172009659</c:v>
                </c:pt>
                <c:pt idx="21">
                  <c:v>63.820722221718306</c:v>
                </c:pt>
                <c:pt idx="22">
                  <c:v>74.155420890051104</c:v>
                </c:pt>
                <c:pt idx="23">
                  <c:v>86.168650784545619</c:v>
                </c:pt>
                <c:pt idx="24">
                  <c:v>100.13378679990637</c:v>
                </c:pt>
                <c:pt idx="25">
                  <c:v>116.36884019709753</c:v>
                </c:pt>
                <c:pt idx="26">
                  <c:v>106.01804114951432</c:v>
                </c:pt>
                <c:pt idx="27">
                  <c:v>118.45343543106621</c:v>
                </c:pt>
                <c:pt idx="28">
                  <c:v>130.85696899150881</c:v>
                </c:pt>
                <c:pt idx="29">
                  <c:v>143.23209102374017</c:v>
                </c:pt>
                <c:pt idx="30">
                  <c:v>155.58160462765827</c:v>
                </c:pt>
                <c:pt idx="31">
                  <c:v>167.90783069788219</c:v>
                </c:pt>
                <c:pt idx="32">
                  <c:v>180.21272098826114</c:v>
                </c:pt>
                <c:pt idx="33">
                  <c:v>192.49793858426526</c:v>
                </c:pt>
                <c:pt idx="34">
                  <c:v>204.76491670371774</c:v>
                </c:pt>
                <c:pt idx="35">
                  <c:v>217.01490263854782</c:v>
                </c:pt>
                <c:pt idx="36">
                  <c:v>229.24899123697605</c:v>
                </c:pt>
                <c:pt idx="37">
                  <c:v>241.46815085288378</c:v>
                </c:pt>
                <c:pt idx="38">
                  <c:v>253.67324376047858</c:v>
                </c:pt>
                <c:pt idx="39">
                  <c:v>265.86504242977287</c:v>
                </c:pt>
                <c:pt idx="40">
                  <c:v>278.04424265737066</c:v>
                </c:pt>
                <c:pt idx="41">
                  <c:v>251.41928431045588</c:v>
                </c:pt>
                <c:pt idx="42">
                  <c:v>252.47118879506488</c:v>
                </c:pt>
                <c:pt idx="43">
                  <c:v>253.52299395996965</c:v>
                </c:pt>
                <c:pt idx="44">
                  <c:v>254.57470027655714</c:v>
                </c:pt>
                <c:pt idx="45">
                  <c:v>255.62630821199068</c:v>
                </c:pt>
                <c:pt idx="46">
                  <c:v>256.67781822926577</c:v>
                </c:pt>
                <c:pt idx="47">
                  <c:v>257.72923078726473</c:v>
                </c:pt>
                <c:pt idx="48">
                  <c:v>258.78054634080991</c:v>
                </c:pt>
                <c:pt idx="49">
                  <c:v>259.83176534071691</c:v>
                </c:pt>
                <c:pt idx="50">
                  <c:v>260.88288823384568</c:v>
                </c:pt>
                <c:pt idx="51">
                  <c:v>261.93391546315195</c:v>
                </c:pt>
                <c:pt idx="52">
                  <c:v>262.98484746773693</c:v>
                </c:pt>
                <c:pt idx="53">
                  <c:v>264.0356846828966</c:v>
                </c:pt>
                <c:pt idx="54">
                  <c:v>265.08642754017023</c:v>
                </c:pt>
                <c:pt idx="55">
                  <c:v>266.13707646738777</c:v>
                </c:pt>
                <c:pt idx="56">
                  <c:v>233.4067660733044</c:v>
                </c:pt>
                <c:pt idx="57">
                  <c:v>243.68813878098146</c:v>
                </c:pt>
                <c:pt idx="58">
                  <c:v>253.95965185965247</c:v>
                </c:pt>
                <c:pt idx="59">
                  <c:v>264.22176059340302</c:v>
                </c:pt>
                <c:pt idx="60">
                  <c:v>274.47488198489322</c:v>
                </c:pt>
                <c:pt idx="61">
                  <c:v>284.71939931497633</c:v>
                </c:pt>
                <c:pt idx="62">
                  <c:v>294.95566601122408</c:v>
                </c:pt>
                <c:pt idx="63">
                  <c:v>305.18400895095596</c:v>
                </c:pt>
                <c:pt idx="64">
                  <c:v>315.40473129800915</c:v>
                </c:pt>
                <c:pt idx="65">
                  <c:v>325.61811495236071</c:v>
                </c:pt>
                <c:pt idx="66">
                  <c:v>335.82442267617427</c:v>
                </c:pt>
                <c:pt idx="67">
                  <c:v>346.02389994775149</c:v>
                </c:pt>
                <c:pt idx="68">
                  <c:v>356.2167765853751</c:v>
                </c:pt>
                <c:pt idx="69">
                  <c:v>366.40326817550454</c:v>
                </c:pt>
                <c:pt idx="70">
                  <c:v>376.58357733379609</c:v>
                </c:pt>
                <c:pt idx="71">
                  <c:v>329.95897957814435</c:v>
                </c:pt>
                <c:pt idx="72">
                  <c:v>340.39480558632215</c:v>
                </c:pt>
                <c:pt idx="73">
                  <c:v>350.82359584884051</c:v>
                </c:pt>
                <c:pt idx="74">
                  <c:v>361.2455890916342</c:v>
                </c:pt>
                <c:pt idx="75">
                  <c:v>371.66100913592794</c:v>
                </c:pt>
                <c:pt idx="76">
                  <c:v>382.07006622940338</c:v>
                </c:pt>
                <c:pt idx="77">
                  <c:v>392.47295822468323</c:v>
                </c:pt>
                <c:pt idx="78">
                  <c:v>402.8698716263134</c:v>
                </c:pt>
                <c:pt idx="79">
                  <c:v>413.26098252400158</c:v>
                </c:pt>
                <c:pt idx="80">
                  <c:v>423.64645742707671</c:v>
                </c:pt>
                <c:pt idx="81">
                  <c:v>434.02645401284263</c:v>
                </c:pt>
                <c:pt idx="82">
                  <c:v>444.40112179959709</c:v>
                </c:pt>
                <c:pt idx="83">
                  <c:v>454.77060275352051</c:v>
                </c:pt>
                <c:pt idx="84">
                  <c:v>465.13503183732297</c:v>
                </c:pt>
                <c:pt idx="85">
                  <c:v>475.49453750743777</c:v>
                </c:pt>
                <c:pt idx="86">
                  <c:v>485.84924216562564</c:v>
                </c:pt>
                <c:pt idx="87">
                  <c:v>496.19926257007586</c:v>
                </c:pt>
                <c:pt idx="88">
                  <c:v>506.54471021041951</c:v>
                </c:pt>
                <c:pt idx="89">
                  <c:v>516.88569165051194</c:v>
                </c:pt>
                <c:pt idx="90">
                  <c:v>527.22230884235762</c:v>
                </c:pt>
                <c:pt idx="91">
                  <c:v>537.55465941413797</c:v>
                </c:pt>
                <c:pt idx="92">
                  <c:v>547.88283693494043</c:v>
                </c:pt>
                <c:pt idx="93">
                  <c:v>558.20693115849315</c:v>
                </c:pt>
                <c:pt idx="94">
                  <c:v>568.52702824793005</c:v>
                </c:pt>
                <c:pt idx="95">
                  <c:v>578.8432109833908</c:v>
                </c:pt>
                <c:pt idx="96">
                  <c:v>589.1555589540543</c:v>
                </c:pt>
                <c:pt idx="97">
                  <c:v>599.46414873602907</c:v>
                </c:pt>
                <c:pt idx="98">
                  <c:v>609.76905405737637</c:v>
                </c:pt>
                <c:pt idx="99">
                  <c:v>620.07034595139783</c:v>
                </c:pt>
                <c:pt idx="100">
                  <c:v>630.36809289921223</c:v>
                </c:pt>
                <c:pt idx="101">
                  <c:v>552.5456825770126</c:v>
                </c:pt>
                <c:pt idx="102">
                  <c:v>562.89795534390498</c:v>
                </c:pt>
                <c:pt idx="103">
                  <c:v>573.24624596019919</c:v>
                </c:pt>
                <c:pt idx="104">
                  <c:v>583.59063643922684</c:v>
                </c:pt>
                <c:pt idx="105">
                  <c:v>593.93120565010065</c:v>
                </c:pt>
                <c:pt idx="106">
                  <c:v>604.26802949206501</c:v>
                </c:pt>
                <c:pt idx="107">
                  <c:v>614.60118105629783</c:v>
                </c:pt>
                <c:pt idx="108">
                  <c:v>624.93073077626832</c:v>
                </c:pt>
                <c:pt idx="109">
                  <c:v>635.25674656764068</c:v>
                </c:pt>
                <c:pt idx="110">
                  <c:v>645.57929395860913</c:v>
                </c:pt>
                <c:pt idx="111">
                  <c:v>655.89843621146883</c:v>
                </c:pt>
                <c:pt idx="112">
                  <c:v>666.21423443613901</c:v>
                </c:pt>
                <c:pt idx="113">
                  <c:v>676.52674769629232</c:v>
                </c:pt>
                <c:pt idx="114">
                  <c:v>686.83603310868182</c:v>
                </c:pt>
                <c:pt idx="115">
                  <c:v>697.14214593619261</c:v>
                </c:pt>
                <c:pt idx="116">
                  <c:v>707.44513967511205</c:v>
                </c:pt>
                <c:pt idx="117">
                  <c:v>717.74506613705023</c:v>
                </c:pt>
                <c:pt idx="118">
                  <c:v>728.04197552591825</c:v>
                </c:pt>
                <c:pt idx="119">
                  <c:v>738.33591651032782</c:v>
                </c:pt>
                <c:pt idx="120">
                  <c:v>748.62693629174339</c:v>
                </c:pt>
                <c:pt idx="121">
                  <c:v>758.91508066869653</c:v>
                </c:pt>
                <c:pt idx="122">
                  <c:v>769.2003940973367</c:v>
                </c:pt>
                <c:pt idx="123">
                  <c:v>779.48291974858023</c:v>
                </c:pt>
                <c:pt idx="124">
                  <c:v>789.76269956208591</c:v>
                </c:pt>
                <c:pt idx="125">
                  <c:v>800.03977429727809</c:v>
                </c:pt>
                <c:pt idx="126">
                  <c:v>810.31418358161261</c:v>
                </c:pt>
                <c:pt idx="127">
                  <c:v>820.58596595626875</c:v>
                </c:pt>
                <c:pt idx="128">
                  <c:v>830.85515891943771</c:v>
                </c:pt>
                <c:pt idx="129">
                  <c:v>841.1217989673595</c:v>
                </c:pt>
                <c:pt idx="130">
                  <c:v>851.38592163325472</c:v>
                </c:pt>
                <c:pt idx="131">
                  <c:v>746.55795339683311</c:v>
                </c:pt>
                <c:pt idx="132">
                  <c:v>755.88810271227715</c:v>
                </c:pt>
                <c:pt idx="133">
                  <c:v>765.21591343959051</c:v>
                </c:pt>
                <c:pt idx="134">
                  <c:v>774.54141809250211</c:v>
                </c:pt>
                <c:pt idx="135">
                  <c:v>783.86464833830769</c:v>
                </c:pt>
                <c:pt idx="136">
                  <c:v>793.18563502992311</c:v>
                </c:pt>
                <c:pt idx="137">
                  <c:v>802.50440823635233</c:v>
                </c:pt>
                <c:pt idx="138">
                  <c:v>811.82099727166997</c:v>
                </c:pt>
                <c:pt idx="139">
                  <c:v>821.13543072260518</c:v>
                </c:pt>
                <c:pt idx="140">
                  <c:v>830.44773647480542</c:v>
                </c:pt>
                <c:pt idx="141">
                  <c:v>839.75794173786824</c:v>
                </c:pt>
                <c:pt idx="142">
                  <c:v>849.06607306919966</c:v>
                </c:pt>
                <c:pt idx="143">
                  <c:v>858.372156396778</c:v>
                </c:pt>
                <c:pt idx="144">
                  <c:v>867.67621704087617</c:v>
                </c:pt>
                <c:pt idx="145">
                  <c:v>876.97827973480662</c:v>
                </c:pt>
                <c:pt idx="146">
                  <c:v>886.27836864474023</c:v>
                </c:pt>
                <c:pt idx="147">
                  <c:v>895.57650738864959</c:v>
                </c:pt>
                <c:pt idx="148">
                  <c:v>904.87271905442958</c:v>
                </c:pt>
                <c:pt idx="149">
                  <c:v>914.16702621722868</c:v>
                </c:pt>
                <c:pt idx="150">
                  <c:v>923.45945095604509</c:v>
                </c:pt>
                <c:pt idx="151">
                  <c:v>932.75001486961776</c:v>
                </c:pt>
                <c:pt idx="152">
                  <c:v>942.03873909165316</c:v>
                </c:pt>
                <c:pt idx="153">
                  <c:v>951.32564430542004</c:v>
                </c:pt>
                <c:pt idx="154">
                  <c:v>960.61075075774454</c:v>
                </c:pt>
                <c:pt idx="155">
                  <c:v>969.89407827243929</c:v>
                </c:pt>
                <c:pt idx="156">
                  <c:v>979.17564626318801</c:v>
                </c:pt>
                <c:pt idx="157">
                  <c:v>988.45547374592263</c:v>
                </c:pt>
                <c:pt idx="158">
                  <c:v>997.73357935070283</c:v>
                </c:pt>
                <c:pt idx="159">
                  <c:v>1007.0099813331412</c:v>
                </c:pt>
                <c:pt idx="160">
                  <c:v>1016.2846975853796</c:v>
                </c:pt>
                <c:pt idx="161">
                  <c:v>890.67454078402898</c:v>
                </c:pt>
                <c:pt idx="162">
                  <c:v>898.24239443672332</c:v>
                </c:pt>
                <c:pt idx="163">
                  <c:v>905.80897562653547</c:v>
                </c:pt>
                <c:pt idx="164">
                  <c:v>913.37429647541592</c:v>
                </c:pt>
                <c:pt idx="165">
                  <c:v>920.93836888825047</c:v>
                </c:pt>
                <c:pt idx="166">
                  <c:v>928.50120455853437</c:v>
                </c:pt>
                <c:pt idx="167">
                  <c:v>936.06281497385226</c:v>
                </c:pt>
                <c:pt idx="168">
                  <c:v>943.62321142117491</c:v>
                </c:pt>
                <c:pt idx="169">
                  <c:v>951.18240499197498</c:v>
                </c:pt>
                <c:pt idx="170">
                  <c:v>958.74040658717331</c:v>
                </c:pt>
                <c:pt idx="171">
                  <c:v>966.29722692191979</c:v>
                </c:pt>
                <c:pt idx="172">
                  <c:v>973.85287653021896</c:v>
                </c:pt>
                <c:pt idx="173">
                  <c:v>981.40736576940333</c:v>
                </c:pt>
                <c:pt idx="174">
                  <c:v>988.960704824461</c:v>
                </c:pt>
                <c:pt idx="175">
                  <c:v>996.51290371222819</c:v>
                </c:pt>
                <c:pt idx="176">
                  <c:v>1004.0639722854422</c:v>
                </c:pt>
                <c:pt idx="177">
                  <c:v>1011.6139202366729</c:v>
                </c:pt>
                <c:pt idx="178">
                  <c:v>1019.1627571021249</c:v>
                </c:pt>
                <c:pt idx="179">
                  <c:v>1026.710492265325</c:v>
                </c:pt>
                <c:pt idx="180">
                  <c:v>1034.2571349606962</c:v>
                </c:pt>
                <c:pt idx="181">
                  <c:v>1041.8026942770161</c:v>
                </c:pt>
                <c:pt idx="182">
                  <c:v>1049.3471791607799</c:v>
                </c:pt>
                <c:pt idx="183">
                  <c:v>1056.8905984194514</c:v>
                </c:pt>
                <c:pt idx="184">
                  <c:v>1064.4329607246248</c:v>
                </c:pt>
                <c:pt idx="185">
                  <c:v>1071.9742746150866</c:v>
                </c:pt>
                <c:pt idx="186">
                  <c:v>1079.51454849979</c:v>
                </c:pt>
                <c:pt idx="187">
                  <c:v>1087.0537906607412</c:v>
                </c:pt>
                <c:pt idx="188">
                  <c:v>1094.5920092558006</c:v>
                </c:pt>
                <c:pt idx="189">
                  <c:v>1102.129212321405</c:v>
                </c:pt>
                <c:pt idx="190">
                  <c:v>1109.6654077752103</c:v>
                </c:pt>
                <c:pt idx="191">
                  <c:v>1117.2006034186561</c:v>
                </c:pt>
                <c:pt idx="192">
                  <c:v>1124.7348069394645</c:v>
                </c:pt>
                <c:pt idx="193">
                  <c:v>1132.2680259140609</c:v>
                </c:pt>
                <c:pt idx="194">
                  <c:v>1139.8002678099315</c:v>
                </c:pt>
                <c:pt idx="195">
                  <c:v>1147.3315399879145</c:v>
                </c:pt>
                <c:pt idx="196">
                  <c:v>1154.8618497044281</c:v>
                </c:pt>
                <c:pt idx="197">
                  <c:v>1162.3912041136364</c:v>
                </c:pt>
                <c:pt idx="198">
                  <c:v>1169.9196102695576</c:v>
                </c:pt>
                <c:pt idx="199">
                  <c:v>1177.4470751281153</c:v>
                </c:pt>
                <c:pt idx="200">
                  <c:v>1184.9736055491328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24292096"/>
        <c:axId val="-824283392"/>
      </c:scatterChart>
      <c:valAx>
        <c:axId val="-824292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4283392"/>
        <c:crosses val="autoZero"/>
        <c:crossBetween val="midCat"/>
      </c:valAx>
      <c:valAx>
        <c:axId val="-824283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4292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1.8295197539767536</c:v>
                </c:pt>
                <c:pt idx="2">
                  <c:v>2.1581120817815935</c:v>
                </c:pt>
                <c:pt idx="3">
                  <c:v>2.5459424560119226</c:v>
                </c:pt>
                <c:pt idx="4">
                  <c:v>3.0037279203968943</c:v>
                </c:pt>
                <c:pt idx="5">
                  <c:v>3.5441308039333044</c:v>
                </c:pt>
                <c:pt idx="6">
                  <c:v>4.1821129024632766</c:v>
                </c:pt>
                <c:pt idx="7">
                  <c:v>4.9353543302261746</c:v>
                </c:pt>
                <c:pt idx="8">
                  <c:v>5.8247488803625238</c:v>
                </c:pt>
                <c:pt idx="9">
                  <c:v>6.8749899058677952</c:v>
                </c:pt>
                <c:pt idx="10">
                  <c:v>8.1152633045524833</c:v>
                </c:pt>
                <c:pt idx="11">
                  <c:v>9.5800672367840658</c:v>
                </c:pt>
                <c:pt idx="12">
                  <c:v>11.310181810379349</c:v>
                </c:pt>
                <c:pt idx="13">
                  <c:v>13.353816236298281</c:v>
                </c:pt>
                <c:pt idx="14">
                  <c:v>15.767966014159951</c:v>
                </c:pt>
                <c:pt idx="15">
                  <c:v>18.620018693066893</c:v>
                </c:pt>
                <c:pt idx="16">
                  <c:v>21.98965384258679</c:v>
                </c:pt>
                <c:pt idx="17">
                  <c:v>25.971091264557455</c:v>
                </c:pt>
                <c:pt idx="18">
                  <c:v>30.675751419835521</c:v>
                </c:pt>
                <c:pt idx="19">
                  <c:v>36.235403820984438</c:v>
                </c:pt>
                <c:pt idx="20">
                  <c:v>42.805893090827503</c:v>
                </c:pt>
                <c:pt idx="21">
                  <c:v>50.571548909057121</c:v>
                </c:pt>
                <c:pt idx="22">
                  <c:v>59.750405640218126</c:v>
                </c:pt>
                <c:pt idx="23">
                  <c:v>70.600380619902097</c:v>
                </c:pt>
                <c:pt idx="24">
                  <c:v>83.426587539743181</c:v>
                </c:pt>
                <c:pt idx="25">
                  <c:v>98.589993907285461</c:v>
                </c:pt>
                <c:pt idx="26">
                  <c:v>116.51767010205441</c:v>
                </c:pt>
                <c:pt idx="27">
                  <c:v>137.71492321601389</c:v>
                </c:pt>
                <c:pt idx="28">
                  <c:v>162.77966297279517</c:v>
                </c:pt>
                <c:pt idx="29">
                  <c:v>192.41941112758346</c:v>
                </c:pt>
                <c:pt idx="30">
                  <c:v>141.49966497096375</c:v>
                </c:pt>
                <c:pt idx="31">
                  <c:v>158.12953637422072</c:v>
                </c:pt>
                <c:pt idx="32">
                  <c:v>174.71791234101428</c:v>
                </c:pt>
                <c:pt idx="33">
                  <c:v>191.26928949616084</c:v>
                </c:pt>
                <c:pt idx="34">
                  <c:v>207.78732141695943</c:v>
                </c:pt>
                <c:pt idx="35">
                  <c:v>224.27503265620331</c:v>
                </c:pt>
                <c:pt idx="36">
                  <c:v>240.73496634396329</c:v>
                </c:pt>
                <c:pt idx="37">
                  <c:v>257.1692892113989</c:v>
                </c:pt>
                <c:pt idx="38">
                  <c:v>273.57986831240407</c:v>
                </c:pt>
                <c:pt idx="39">
                  <c:v>196.06476677586264</c:v>
                </c:pt>
                <c:pt idx="40">
                  <c:v>212.62586829656445</c:v>
                </c:pt>
                <c:pt idx="41">
                  <c:v>229.157252243241</c:v>
                </c:pt>
                <c:pt idx="42">
                  <c:v>245.66136445665168</c:v>
                </c:pt>
                <c:pt idx="43">
                  <c:v>262.14029510473932</c:v>
                </c:pt>
                <c:pt idx="44">
                  <c:v>278.5958499925427</c:v>
                </c:pt>
                <c:pt idx="45">
                  <c:v>295.02960411862381</c:v>
                </c:pt>
                <c:pt idx="46">
                  <c:v>311.44294266102321</c:v>
                </c:pt>
                <c:pt idx="47">
                  <c:v>327.83709286372851</c:v>
                </c:pt>
                <c:pt idx="48">
                  <c:v>344.21314920713166</c:v>
                </c:pt>
                <c:pt idx="49">
                  <c:v>360.57209353569016</c:v>
                </c:pt>
                <c:pt idx="50">
                  <c:v>260.41755919686585</c:v>
                </c:pt>
                <c:pt idx="51">
                  <c:v>280.63665542007806</c:v>
                </c:pt>
                <c:pt idx="52">
                  <c:v>300.82309989235995</c:v>
                </c:pt>
                <c:pt idx="53">
                  <c:v>320.97939105673277</c:v>
                </c:pt>
                <c:pt idx="54">
                  <c:v>341.10768796533574</c:v>
                </c:pt>
                <c:pt idx="55">
                  <c:v>361.20987410826933</c:v>
                </c:pt>
                <c:pt idx="56">
                  <c:v>381.28760628111837</c:v>
                </c:pt>
                <c:pt idx="57">
                  <c:v>401.34235261702315</c:v>
                </c:pt>
                <c:pt idx="58">
                  <c:v>292.56004945354147</c:v>
                </c:pt>
                <c:pt idx="59">
                  <c:v>308.95310405195488</c:v>
                </c:pt>
                <c:pt idx="60">
                  <c:v>325.32684808209274</c:v>
                </c:pt>
                <c:pt idx="61">
                  <c:v>341.68239012027084</c:v>
                </c:pt>
                <c:pt idx="62">
                  <c:v>358.020723953877</c:v>
                </c:pt>
                <c:pt idx="63">
                  <c:v>374.34274527279496</c:v>
                </c:pt>
                <c:pt idx="64">
                  <c:v>390.64926529688188</c:v>
                </c:pt>
                <c:pt idx="65">
                  <c:v>406.94102200891183</c:v>
                </c:pt>
                <c:pt idx="66">
                  <c:v>423.21868949467256</c:v>
                </c:pt>
                <c:pt idx="67">
                  <c:v>439.48288577116256</c:v>
                </c:pt>
                <c:pt idx="68">
                  <c:v>325.74525184325216</c:v>
                </c:pt>
                <c:pt idx="69">
                  <c:v>340.73034668701627</c:v>
                </c:pt>
                <c:pt idx="70">
                  <c:v>355.70095169890595</c:v>
                </c:pt>
                <c:pt idx="71">
                  <c:v>370.6577625546318</c:v>
                </c:pt>
                <c:pt idx="72">
                  <c:v>385.60141420629412</c:v>
                </c:pt>
                <c:pt idx="73">
                  <c:v>400.53248837991811</c:v>
                </c:pt>
                <c:pt idx="74">
                  <c:v>415.45151989655164</c:v>
                </c:pt>
                <c:pt idx="75">
                  <c:v>430.35900203798877</c:v>
                </c:pt>
                <c:pt idx="76">
                  <c:v>445.25539113026753</c:v>
                </c:pt>
                <c:pt idx="77">
                  <c:v>460.1411104818597</c:v>
                </c:pt>
                <c:pt idx="78">
                  <c:v>475.01655378575714</c:v>
                </c:pt>
                <c:pt idx="79">
                  <c:v>360.37584839681546</c:v>
                </c:pt>
                <c:pt idx="80">
                  <c:v>372.93088642583785</c:v>
                </c:pt>
                <c:pt idx="81">
                  <c:v>385.47671383914604</c:v>
                </c:pt>
                <c:pt idx="82">
                  <c:v>398.01367268114768</c:v>
                </c:pt>
                <c:pt idx="83">
                  <c:v>410.54208168778837</c:v>
                </c:pt>
                <c:pt idx="84">
                  <c:v>423.06223855277807</c:v>
                </c:pt>
                <c:pt idx="85">
                  <c:v>435.5744219115395</c:v>
                </c:pt>
                <c:pt idx="86">
                  <c:v>448.07889308530258</c:v>
                </c:pt>
                <c:pt idx="87">
                  <c:v>460.5758976203619</c:v>
                </c:pt>
                <c:pt idx="88">
                  <c:v>473.06566665157521</c:v>
                </c:pt>
                <c:pt idx="89">
                  <c:v>485.54841811437319</c:v>
                </c:pt>
                <c:pt idx="90">
                  <c:v>498.02435782565607</c:v>
                </c:pt>
                <c:pt idx="91">
                  <c:v>510.49368045075397</c:v>
                </c:pt>
                <c:pt idx="92">
                  <c:v>7.5605490043076185E-12</c:v>
                </c:pt>
                <c:pt idx="93">
                  <c:v>7.5605490043076185E-12</c:v>
                </c:pt>
                <c:pt idx="94">
                  <c:v>7.5605490043076185E-12</c:v>
                </c:pt>
                <c:pt idx="95">
                  <c:v>7.5605490043076185E-12</c:v>
                </c:pt>
                <c:pt idx="96">
                  <c:v>7.5605490043076185E-12</c:v>
                </c:pt>
                <c:pt idx="97">
                  <c:v>7.5605490043076185E-12</c:v>
                </c:pt>
                <c:pt idx="98">
                  <c:v>7.5605490043076185E-12</c:v>
                </c:pt>
                <c:pt idx="99">
                  <c:v>7.5605490043076185E-12</c:v>
                </c:pt>
                <c:pt idx="100">
                  <c:v>7.5605490043076185E-12</c:v>
                </c:pt>
                <c:pt idx="101">
                  <c:v>7.5605490043076185E-12</c:v>
                </c:pt>
                <c:pt idx="102">
                  <c:v>7.5605490043076185E-12</c:v>
                </c:pt>
                <c:pt idx="103">
                  <c:v>7.5605490043076185E-12</c:v>
                </c:pt>
                <c:pt idx="104">
                  <c:v>7.5605490043076185E-12</c:v>
                </c:pt>
                <c:pt idx="105">
                  <c:v>7.5605490043076185E-12</c:v>
                </c:pt>
                <c:pt idx="106">
                  <c:v>7.5605490043076185E-12</c:v>
                </c:pt>
                <c:pt idx="107">
                  <c:v>7.5605490043076185E-12</c:v>
                </c:pt>
                <c:pt idx="108">
                  <c:v>7.5605490043076185E-12</c:v>
                </c:pt>
                <c:pt idx="109">
                  <c:v>7.5605490043076185E-12</c:v>
                </c:pt>
                <c:pt idx="110">
                  <c:v>7.5605490043076185E-12</c:v>
                </c:pt>
                <c:pt idx="111">
                  <c:v>7.5605490043076185E-12</c:v>
                </c:pt>
                <c:pt idx="112">
                  <c:v>7.5605490043076185E-12</c:v>
                </c:pt>
                <c:pt idx="113">
                  <c:v>7.5605490043076185E-12</c:v>
                </c:pt>
                <c:pt idx="114">
                  <c:v>7.5605490043076185E-12</c:v>
                </c:pt>
                <c:pt idx="115">
                  <c:v>7.5605490043076185E-12</c:v>
                </c:pt>
                <c:pt idx="116">
                  <c:v>7.5605490043076185E-12</c:v>
                </c:pt>
                <c:pt idx="117">
                  <c:v>7.5605490043076185E-12</c:v>
                </c:pt>
                <c:pt idx="118">
                  <c:v>7.5605490043076185E-12</c:v>
                </c:pt>
                <c:pt idx="119">
                  <c:v>7.5605490043076185E-12</c:v>
                </c:pt>
                <c:pt idx="120">
                  <c:v>7.5605490043076185E-12</c:v>
                </c:pt>
                <c:pt idx="121">
                  <c:v>7.5605490043076185E-12</c:v>
                </c:pt>
                <c:pt idx="122">
                  <c:v>7.5605490043076185E-12</c:v>
                </c:pt>
                <c:pt idx="123">
                  <c:v>7.5605490043076185E-12</c:v>
                </c:pt>
                <c:pt idx="124">
                  <c:v>7.5605490043076185E-12</c:v>
                </c:pt>
                <c:pt idx="125">
                  <c:v>7.5605490043076185E-12</c:v>
                </c:pt>
                <c:pt idx="126">
                  <c:v>7.5605490043076185E-12</c:v>
                </c:pt>
                <c:pt idx="127">
                  <c:v>7.5605490043076185E-12</c:v>
                </c:pt>
                <c:pt idx="128">
                  <c:v>7.5605490043076185E-12</c:v>
                </c:pt>
                <c:pt idx="129">
                  <c:v>7.5605490043076185E-12</c:v>
                </c:pt>
                <c:pt idx="130">
                  <c:v>7.5605490043076185E-12</c:v>
                </c:pt>
                <c:pt idx="131">
                  <c:v>7.5605490043076185E-12</c:v>
                </c:pt>
                <c:pt idx="132">
                  <c:v>7.5605490043076185E-12</c:v>
                </c:pt>
                <c:pt idx="133">
                  <c:v>7.5605490043076185E-12</c:v>
                </c:pt>
                <c:pt idx="134">
                  <c:v>7.5605490043076185E-12</c:v>
                </c:pt>
                <c:pt idx="135">
                  <c:v>7.5605490043076185E-12</c:v>
                </c:pt>
                <c:pt idx="136">
                  <c:v>7.5605490043076185E-12</c:v>
                </c:pt>
                <c:pt idx="137">
                  <c:v>7.5605490043076185E-12</c:v>
                </c:pt>
                <c:pt idx="138">
                  <c:v>7.5605490043076185E-12</c:v>
                </c:pt>
                <c:pt idx="139">
                  <c:v>7.5605490043076185E-12</c:v>
                </c:pt>
                <c:pt idx="140">
                  <c:v>7.5605490043076185E-12</c:v>
                </c:pt>
                <c:pt idx="141">
                  <c:v>7.5605490043076185E-12</c:v>
                </c:pt>
                <c:pt idx="142">
                  <c:v>7.5605490043076185E-12</c:v>
                </c:pt>
                <c:pt idx="143">
                  <c:v>7.5605490043076185E-12</c:v>
                </c:pt>
                <c:pt idx="144">
                  <c:v>7.5605490043076185E-12</c:v>
                </c:pt>
                <c:pt idx="145">
                  <c:v>7.5605490043076185E-12</c:v>
                </c:pt>
                <c:pt idx="146">
                  <c:v>7.5605490043076185E-12</c:v>
                </c:pt>
                <c:pt idx="147">
                  <c:v>7.5605490043076185E-12</c:v>
                </c:pt>
                <c:pt idx="148">
                  <c:v>7.5605490043076185E-12</c:v>
                </c:pt>
                <c:pt idx="149">
                  <c:v>7.5605490043076185E-12</c:v>
                </c:pt>
                <c:pt idx="150">
                  <c:v>7.5605490043076185E-12</c:v>
                </c:pt>
                <c:pt idx="151">
                  <c:v>7.5605490043076185E-12</c:v>
                </c:pt>
                <c:pt idx="152">
                  <c:v>7.5605490043076185E-12</c:v>
                </c:pt>
                <c:pt idx="153">
                  <c:v>7.5605490043076185E-12</c:v>
                </c:pt>
                <c:pt idx="154">
                  <c:v>7.5605490043076185E-12</c:v>
                </c:pt>
                <c:pt idx="155">
                  <c:v>7.5605490043076185E-12</c:v>
                </c:pt>
                <c:pt idx="156">
                  <c:v>7.5605490043076185E-12</c:v>
                </c:pt>
                <c:pt idx="157">
                  <c:v>7.5605490043076185E-12</c:v>
                </c:pt>
                <c:pt idx="158">
                  <c:v>7.5605490043076185E-12</c:v>
                </c:pt>
                <c:pt idx="159">
                  <c:v>7.5605490043076185E-12</c:v>
                </c:pt>
                <c:pt idx="160">
                  <c:v>7.5605490043076185E-12</c:v>
                </c:pt>
                <c:pt idx="161">
                  <c:v>7.5605490043076185E-12</c:v>
                </c:pt>
                <c:pt idx="162">
                  <c:v>7.5605490043076185E-12</c:v>
                </c:pt>
                <c:pt idx="163">
                  <c:v>7.5605490043076185E-12</c:v>
                </c:pt>
                <c:pt idx="164">
                  <c:v>7.5605490043076185E-12</c:v>
                </c:pt>
                <c:pt idx="165">
                  <c:v>7.5605490043076185E-12</c:v>
                </c:pt>
                <c:pt idx="166">
                  <c:v>7.5605490043076185E-12</c:v>
                </c:pt>
                <c:pt idx="167">
                  <c:v>7.5605490043076185E-12</c:v>
                </c:pt>
                <c:pt idx="168">
                  <c:v>7.5605490043076185E-12</c:v>
                </c:pt>
                <c:pt idx="169">
                  <c:v>7.5605490043076185E-12</c:v>
                </c:pt>
                <c:pt idx="170">
                  <c:v>7.5605490043076185E-12</c:v>
                </c:pt>
                <c:pt idx="171">
                  <c:v>7.5605490043076185E-12</c:v>
                </c:pt>
                <c:pt idx="172">
                  <c:v>7.5605490043076185E-12</c:v>
                </c:pt>
                <c:pt idx="173">
                  <c:v>7.5605490043076185E-12</c:v>
                </c:pt>
                <c:pt idx="174">
                  <c:v>7.5605490043076185E-12</c:v>
                </c:pt>
                <c:pt idx="175">
                  <c:v>7.5605490043076185E-12</c:v>
                </c:pt>
                <c:pt idx="176">
                  <c:v>7.5605490043076185E-12</c:v>
                </c:pt>
                <c:pt idx="177">
                  <c:v>7.5605490043076185E-12</c:v>
                </c:pt>
                <c:pt idx="178">
                  <c:v>7.5605490043076185E-12</c:v>
                </c:pt>
                <c:pt idx="179">
                  <c:v>7.5605490043076185E-12</c:v>
                </c:pt>
                <c:pt idx="180">
                  <c:v>7.5605490043076185E-12</c:v>
                </c:pt>
                <c:pt idx="181">
                  <c:v>7.5605490043076185E-12</c:v>
                </c:pt>
                <c:pt idx="182">
                  <c:v>7.5605490043076185E-12</c:v>
                </c:pt>
                <c:pt idx="183">
                  <c:v>7.5605490043076185E-12</c:v>
                </c:pt>
                <c:pt idx="184">
                  <c:v>7.5605490043076185E-12</c:v>
                </c:pt>
                <c:pt idx="185">
                  <c:v>7.5605490043076185E-12</c:v>
                </c:pt>
                <c:pt idx="186">
                  <c:v>7.5605490043076185E-12</c:v>
                </c:pt>
                <c:pt idx="187">
                  <c:v>7.5605490043076185E-12</c:v>
                </c:pt>
                <c:pt idx="188">
                  <c:v>7.5605490043076185E-12</c:v>
                </c:pt>
                <c:pt idx="189">
                  <c:v>7.5605490043076185E-12</c:v>
                </c:pt>
                <c:pt idx="190">
                  <c:v>7.5605490043076185E-12</c:v>
                </c:pt>
                <c:pt idx="191">
                  <c:v>7.5605490043076185E-12</c:v>
                </c:pt>
                <c:pt idx="192">
                  <c:v>7.5605490043076185E-12</c:v>
                </c:pt>
                <c:pt idx="193">
                  <c:v>7.5605490043076185E-12</c:v>
                </c:pt>
                <c:pt idx="194">
                  <c:v>7.5605490043076185E-12</c:v>
                </c:pt>
                <c:pt idx="195">
                  <c:v>7.5605490043076185E-12</c:v>
                </c:pt>
                <c:pt idx="196">
                  <c:v>7.5605490043076185E-12</c:v>
                </c:pt>
                <c:pt idx="197">
                  <c:v>7.5605490043076185E-12</c:v>
                </c:pt>
                <c:pt idx="198">
                  <c:v>7.5605490043076185E-12</c:v>
                </c:pt>
                <c:pt idx="199">
                  <c:v>7.5605490043076185E-12</c:v>
                </c:pt>
                <c:pt idx="200">
                  <c:v>7.5605490043076185E-12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24279584"/>
        <c:axId val="-824282848"/>
      </c:scatterChart>
      <c:valAx>
        <c:axId val="-824279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4282848"/>
        <c:crosses val="autoZero"/>
        <c:crossBetween val="midCat"/>
      </c:valAx>
      <c:valAx>
        <c:axId val="-82428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4279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2.5674081613595483</c:v>
                </c:pt>
                <c:pt idx="2">
                  <c:v>2.9509973995419365</c:v>
                </c:pt>
                <c:pt idx="3">
                  <c:v>3.3921035249964064</c:v>
                </c:pt>
                <c:pt idx="4">
                  <c:v>3.8993800326575379</c:v>
                </c:pt>
                <c:pt idx="5">
                  <c:v>4.4827864698435551</c:v>
                </c:pt>
                <c:pt idx="6">
                  <c:v>5.1537861360321822</c:v>
                </c:pt>
                <c:pt idx="7">
                  <c:v>5.9255737902693291</c:v>
                </c:pt>
                <c:pt idx="8">
                  <c:v>6.8133379322758998</c:v>
                </c:pt>
                <c:pt idx="9">
                  <c:v>7.834562919695732</c:v>
                </c:pt>
                <c:pt idx="10">
                  <c:v>9.0093769867322209</c:v>
                </c:pt>
                <c:pt idx="11">
                  <c:v>10.360953154948495</c:v>
                </c:pt>
                <c:pt idx="12">
                  <c:v>11.915971094051232</c:v>
                </c:pt>
                <c:pt idx="13">
                  <c:v>13.705149220720239</c:v>
                </c:pt>
                <c:pt idx="14">
                  <c:v>15.763857741989639</c:v>
                </c:pt>
                <c:pt idx="15">
                  <c:v>18.132824985174668</c:v>
                </c:pt>
                <c:pt idx="16">
                  <c:v>20.858951242140964</c:v>
                </c:pt>
                <c:pt idx="17">
                  <c:v>23.996246530208428</c:v>
                </c:pt>
                <c:pt idx="18">
                  <c:v>27.606911179441123</c:v>
                </c:pt>
                <c:pt idx="19">
                  <c:v>31.762581047569586</c:v>
                </c:pt>
                <c:pt idx="20">
                  <c:v>36.545762498237771</c:v>
                </c:pt>
                <c:pt idx="21">
                  <c:v>51.452977619505397</c:v>
                </c:pt>
                <c:pt idx="22">
                  <c:v>66.244820001279194</c:v>
                </c:pt>
                <c:pt idx="23">
                  <c:v>80.950986488725476</c:v>
                </c:pt>
                <c:pt idx="24">
                  <c:v>95.589333040289148</c:v>
                </c:pt>
                <c:pt idx="25">
                  <c:v>110.1717474820732</c:v>
                </c:pt>
                <c:pt idx="26">
                  <c:v>124.32474628741488</c:v>
                </c:pt>
                <c:pt idx="27">
                  <c:v>138.43860238853472</c:v>
                </c:pt>
                <c:pt idx="28">
                  <c:v>152.51787303662658</c:v>
                </c:pt>
                <c:pt idx="29">
                  <c:v>166.56620334791356</c:v>
                </c:pt>
                <c:pt idx="30">
                  <c:v>180.58657218998465</c:v>
                </c:pt>
                <c:pt idx="31">
                  <c:v>134.24638938649051</c:v>
                </c:pt>
                <c:pt idx="32">
                  <c:v>146.81397834828738</c:v>
                </c:pt>
                <c:pt idx="33">
                  <c:v>159.35586286360197</c:v>
                </c:pt>
                <c:pt idx="34">
                  <c:v>171.87435267338171</c:v>
                </c:pt>
                <c:pt idx="35">
                  <c:v>184.37139305479852</c:v>
                </c:pt>
                <c:pt idx="36">
                  <c:v>194.95936423701301</c:v>
                </c:pt>
                <c:pt idx="37">
                  <c:v>205.53397529366748</c:v>
                </c:pt>
                <c:pt idx="38">
                  <c:v>216.09601105321735</c:v>
                </c:pt>
                <c:pt idx="39">
                  <c:v>226.64617327952342</c:v>
                </c:pt>
                <c:pt idx="40">
                  <c:v>237.18509300501162</c:v>
                </c:pt>
                <c:pt idx="41">
                  <c:v>193.82559249840713</c:v>
                </c:pt>
                <c:pt idx="42">
                  <c:v>203.26907123098991</c:v>
                </c:pt>
                <c:pt idx="43">
                  <c:v>212.70239804910193</c:v>
                </c:pt>
                <c:pt idx="44">
                  <c:v>222.12608711761615</c:v>
                </c:pt>
                <c:pt idx="45">
                  <c:v>231.54060536306474</c:v>
                </c:pt>
                <c:pt idx="46">
                  <c:v>239.44202608060968</c:v>
                </c:pt>
                <c:pt idx="47">
                  <c:v>247.3375095024121</c:v>
                </c:pt>
                <c:pt idx="48">
                  <c:v>255.22727211134475</c:v>
                </c:pt>
                <c:pt idx="49">
                  <c:v>263.11151589765069</c:v>
                </c:pt>
                <c:pt idx="50">
                  <c:v>270.99042974399339</c:v>
                </c:pt>
                <c:pt idx="51">
                  <c:v>230.41133295181569</c:v>
                </c:pt>
                <c:pt idx="52">
                  <c:v>236.80889001154424</c:v>
                </c:pt>
                <c:pt idx="53">
                  <c:v>243.20250692836794</c:v>
                </c:pt>
                <c:pt idx="54">
                  <c:v>249.59230205465974</c:v>
                </c:pt>
                <c:pt idx="55">
                  <c:v>255.97838717928323</c:v>
                </c:pt>
                <c:pt idx="56">
                  <c:v>261.98552595095452</c:v>
                </c:pt>
                <c:pt idx="57">
                  <c:v>267.98955571724849</c:v>
                </c:pt>
                <c:pt idx="58">
                  <c:v>273.99055606211817</c:v>
                </c:pt>
                <c:pt idx="59">
                  <c:v>279.98860279382745</c:v>
                </c:pt>
                <c:pt idx="60">
                  <c:v>285.98376820295493</c:v>
                </c:pt>
                <c:pt idx="61">
                  <c:v>260.85942671475146</c:v>
                </c:pt>
                <c:pt idx="62">
                  <c:v>265.73840375453756</c:v>
                </c:pt>
                <c:pt idx="63">
                  <c:v>270.61536157536972</c:v>
                </c:pt>
                <c:pt idx="64">
                  <c:v>275.49034176419678</c:v>
                </c:pt>
                <c:pt idx="65">
                  <c:v>280.36338431358672</c:v>
                </c:pt>
                <c:pt idx="66">
                  <c:v>284.48524314677434</c:v>
                </c:pt>
                <c:pt idx="67">
                  <c:v>288.60576477216398</c:v>
                </c:pt>
                <c:pt idx="68">
                  <c:v>292.72497100977245</c:v>
                </c:pt>
                <c:pt idx="69">
                  <c:v>296.84288301434077</c:v>
                </c:pt>
                <c:pt idx="70">
                  <c:v>300.95952130477946</c:v>
                </c:pt>
                <c:pt idx="71">
                  <c:v>283.73591438004922</c:v>
                </c:pt>
                <c:pt idx="72">
                  <c:v>287.107546598586</c:v>
                </c:pt>
                <c:pt idx="73">
                  <c:v>290.47829302179042</c:v>
                </c:pt>
                <c:pt idx="74">
                  <c:v>293.84816539917762</c:v>
                </c:pt>
                <c:pt idx="75">
                  <c:v>297.21717518827523</c:v>
                </c:pt>
                <c:pt idx="76">
                  <c:v>300.5853335651845</c:v>
                </c:pt>
                <c:pt idx="77">
                  <c:v>303.95265143464218</c:v>
                </c:pt>
                <c:pt idx="78">
                  <c:v>307.31913943961314</c:v>
                </c:pt>
                <c:pt idx="79">
                  <c:v>310.68480797043952</c:v>
                </c:pt>
                <c:pt idx="80">
                  <c:v>314.04966717357325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24289920"/>
        <c:axId val="-824291552"/>
      </c:scatterChart>
      <c:valAx>
        <c:axId val="-8242899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4291552"/>
        <c:crosses val="autoZero"/>
        <c:crossBetween val="midCat"/>
      </c:valAx>
      <c:valAx>
        <c:axId val="-82429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4289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2.0588603351293044</c:v>
                </c:pt>
                <c:pt idx="2">
                  <c:v>2.5032684791282365</c:v>
                </c:pt>
                <c:pt idx="3">
                  <c:v>3.0439699375573572</c:v>
                </c:pt>
                <c:pt idx="4">
                  <c:v>3.7019045049854937</c:v>
                </c:pt>
                <c:pt idx="5">
                  <c:v>4.5025808493503625</c:v>
                </c:pt>
                <c:pt idx="6">
                  <c:v>5.4770765165525352</c:v>
                </c:pt>
                <c:pt idx="7">
                  <c:v>6.6632574410445926</c:v>
                </c:pt>
                <c:pt idx="8">
                  <c:v>8.1072652726425876</c:v>
                </c:pt>
                <c:pt idx="9">
                  <c:v>9.8653314878874312</c:v>
                </c:pt>
                <c:pt idx="10">
                  <c:v>12.005990268911559</c:v>
                </c:pt>
                <c:pt idx="11">
                  <c:v>14.612778025987772</c:v>
                </c:pt>
                <c:pt idx="12">
                  <c:v>17.787526849684934</c:v>
                </c:pt>
                <c:pt idx="13">
                  <c:v>21.654382884383178</c:v>
                </c:pt>
                <c:pt idx="14">
                  <c:v>26.364709569474964</c:v>
                </c:pt>
                <c:pt idx="15">
                  <c:v>32.103071062175779</c:v>
                </c:pt>
                <c:pt idx="16">
                  <c:v>41.857672771648545</c:v>
                </c:pt>
                <c:pt idx="17">
                  <c:v>51.550626999153444</c:v>
                </c:pt>
                <c:pt idx="18">
                  <c:v>61.195253174133917</c:v>
                </c:pt>
                <c:pt idx="19">
                  <c:v>70.800280935277613</c:v>
                </c:pt>
                <c:pt idx="20">
                  <c:v>80.371859071508752</c:v>
                </c:pt>
                <c:pt idx="21">
                  <c:v>88.181490008065907</c:v>
                </c:pt>
                <c:pt idx="22">
                  <c:v>95.973754347721652</c:v>
                </c:pt>
                <c:pt idx="23">
                  <c:v>103.75026384253762</c:v>
                </c:pt>
                <c:pt idx="24">
                  <c:v>111.5123681968909</c:v>
                </c:pt>
                <c:pt idx="25">
                  <c:v>119.26121337444533</c:v>
                </c:pt>
                <c:pt idx="26">
                  <c:v>100.87182170432806</c:v>
                </c:pt>
                <c:pt idx="27">
                  <c:v>108.35169080299886</c:v>
                </c:pt>
                <c:pt idx="28">
                  <c:v>115.8188527781016</c:v>
                </c:pt>
                <c:pt idx="29">
                  <c:v>123.27424396554015</c:v>
                </c:pt>
                <c:pt idx="30">
                  <c:v>130.71867792989397</c:v>
                </c:pt>
                <c:pt idx="31">
                  <c:v>137.58135594016105</c:v>
                </c:pt>
                <c:pt idx="32">
                  <c:v>144.43580369901204</c:v>
                </c:pt>
                <c:pt idx="33">
                  <c:v>151.28246760071553</c:v>
                </c:pt>
                <c:pt idx="34">
                  <c:v>158.12175025250619</c:v>
                </c:pt>
                <c:pt idx="35">
                  <c:v>164.95401652082666</c:v>
                </c:pt>
                <c:pt idx="36">
                  <c:v>133.29317703829761</c:v>
                </c:pt>
                <c:pt idx="37">
                  <c:v>140.15271332283422</c:v>
                </c:pt>
                <c:pt idx="38">
                  <c:v>147.00419232112176</c:v>
                </c:pt>
                <c:pt idx="39">
                  <c:v>153.84804322050201</c:v>
                </c:pt>
                <c:pt idx="40">
                  <c:v>160.68465382913149</c:v>
                </c:pt>
                <c:pt idx="41">
                  <c:v>167.22993767644604</c:v>
                </c:pt>
                <c:pt idx="42">
                  <c:v>173.76917851026894</c:v>
                </c:pt>
                <c:pt idx="43">
                  <c:v>180.30263622653695</c:v>
                </c:pt>
                <c:pt idx="44">
                  <c:v>186.83055031316971</c:v>
                </c:pt>
                <c:pt idx="45">
                  <c:v>193.35314212581196</c:v>
                </c:pt>
                <c:pt idx="46">
                  <c:v>156.69748990994762</c:v>
                </c:pt>
                <c:pt idx="47">
                  <c:v>162.67735290343731</c:v>
                </c:pt>
                <c:pt idx="48">
                  <c:v>168.65201651979771</c:v>
                </c:pt>
                <c:pt idx="49">
                  <c:v>174.62169130115157</c:v>
                </c:pt>
                <c:pt idx="50">
                  <c:v>180.58657218998462</c:v>
                </c:pt>
                <c:pt idx="51">
                  <c:v>185.97938964956359</c:v>
                </c:pt>
                <c:pt idx="52">
                  <c:v>191.36855633024655</c:v>
                </c:pt>
                <c:pt idx="53">
                  <c:v>196.75418975581454</c:v>
                </c:pt>
                <c:pt idx="54">
                  <c:v>202.13640047813922</c:v>
                </c:pt>
                <c:pt idx="55">
                  <c:v>207.51529266966921</c:v>
                </c:pt>
                <c:pt idx="56">
                  <c:v>171.77959852127822</c:v>
                </c:pt>
                <c:pt idx="57">
                  <c:v>177.17864497610688</c:v>
                </c:pt>
                <c:pt idx="58">
                  <c:v>182.57383216555039</c:v>
                </c:pt>
                <c:pt idx="59">
                  <c:v>187.96529046020373</c:v>
                </c:pt>
                <c:pt idx="60">
                  <c:v>193.35314212581207</c:v>
                </c:pt>
                <c:pt idx="61">
                  <c:v>198.17088847838679</c:v>
                </c:pt>
                <c:pt idx="62">
                  <c:v>202.98591727826886</c:v>
                </c:pt>
                <c:pt idx="63">
                  <c:v>207.79830222105883</c:v>
                </c:pt>
                <c:pt idx="64">
                  <c:v>212.60811330324006</c:v>
                </c:pt>
                <c:pt idx="65">
                  <c:v>217.415417089274</c:v>
                </c:pt>
                <c:pt idx="66">
                  <c:v>183.70918168109498</c:v>
                </c:pt>
                <c:pt idx="67">
                  <c:v>188.24895048125143</c:v>
                </c:pt>
                <c:pt idx="68">
                  <c:v>192.78616621215318</c:v>
                </c:pt>
                <c:pt idx="69">
                  <c:v>197.32089757499614</c:v>
                </c:pt>
                <c:pt idx="70">
                  <c:v>201.85320984852058</c:v>
                </c:pt>
                <c:pt idx="71">
                  <c:v>205.81704757248164</c:v>
                </c:pt>
                <c:pt idx="72">
                  <c:v>209.77912051135715</c:v>
                </c:pt>
                <c:pt idx="73">
                  <c:v>213.73946677759184</c:v>
                </c:pt>
                <c:pt idx="74">
                  <c:v>217.69812295281352</c:v>
                </c:pt>
                <c:pt idx="75">
                  <c:v>221.65512417669001</c:v>
                </c:pt>
                <c:pt idx="76">
                  <c:v>193.35314212581213</c:v>
                </c:pt>
                <c:pt idx="77">
                  <c:v>197.60423730399964</c:v>
                </c:pt>
                <c:pt idx="78">
                  <c:v>201.85320984852066</c:v>
                </c:pt>
                <c:pt idx="79">
                  <c:v>206.10011084797804</c:v>
                </c:pt>
                <c:pt idx="80">
                  <c:v>210.34498910896312</c:v>
                </c:pt>
                <c:pt idx="81">
                  <c:v>213.7394667775919</c:v>
                </c:pt>
                <c:pt idx="82">
                  <c:v>217.13270277011114</c:v>
                </c:pt>
                <c:pt idx="83">
                  <c:v>220.5247192766648</c:v>
                </c:pt>
                <c:pt idx="84">
                  <c:v>223.91553774743429</c:v>
                </c:pt>
                <c:pt idx="85">
                  <c:v>227.30517892841024</c:v>
                </c:pt>
                <c:pt idx="86">
                  <c:v>230.97598493712692</c:v>
                </c:pt>
                <c:pt idx="87">
                  <c:v>234.64545749430457</c:v>
                </c:pt>
                <c:pt idx="88">
                  <c:v>238.31362044245114</c:v>
                </c:pt>
                <c:pt idx="89">
                  <c:v>241.9804968286094</c:v>
                </c:pt>
                <c:pt idx="90">
                  <c:v>245.64610894283192</c:v>
                </c:pt>
                <c:pt idx="91">
                  <c:v>1.6615082531095774E-12</c:v>
                </c:pt>
                <c:pt idx="92">
                  <c:v>1.6615082531095774E-12</c:v>
                </c:pt>
                <c:pt idx="93">
                  <c:v>1.6615082531095774E-12</c:v>
                </c:pt>
                <c:pt idx="94">
                  <c:v>1.6615082531095774E-12</c:v>
                </c:pt>
                <c:pt idx="95">
                  <c:v>1.6615082531095774E-12</c:v>
                </c:pt>
                <c:pt idx="96">
                  <c:v>1.6615082531095774E-12</c:v>
                </c:pt>
                <c:pt idx="97">
                  <c:v>1.6615082531095774E-12</c:v>
                </c:pt>
                <c:pt idx="98">
                  <c:v>1.6615082531095774E-12</c:v>
                </c:pt>
                <c:pt idx="99">
                  <c:v>1.6615082531095774E-12</c:v>
                </c:pt>
                <c:pt idx="100">
                  <c:v>1.6615082531095774E-12</c:v>
                </c:pt>
                <c:pt idx="101">
                  <c:v>1.6615082531095774E-12</c:v>
                </c:pt>
                <c:pt idx="102">
                  <c:v>1.6615082531095774E-12</c:v>
                </c:pt>
                <c:pt idx="103">
                  <c:v>1.6615082531095774E-12</c:v>
                </c:pt>
                <c:pt idx="104">
                  <c:v>1.6615082531095774E-12</c:v>
                </c:pt>
                <c:pt idx="105">
                  <c:v>1.6615082531095774E-12</c:v>
                </c:pt>
                <c:pt idx="106">
                  <c:v>1.6615082531095774E-12</c:v>
                </c:pt>
                <c:pt idx="107">
                  <c:v>1.6615082531095774E-12</c:v>
                </c:pt>
                <c:pt idx="108">
                  <c:v>1.6615082531095774E-12</c:v>
                </c:pt>
                <c:pt idx="109">
                  <c:v>1.6615082531095774E-12</c:v>
                </c:pt>
                <c:pt idx="110">
                  <c:v>1.6615082531095774E-12</c:v>
                </c:pt>
                <c:pt idx="111">
                  <c:v>1.6615082531095774E-12</c:v>
                </c:pt>
                <c:pt idx="112">
                  <c:v>1.6615082531095774E-12</c:v>
                </c:pt>
                <c:pt idx="113">
                  <c:v>1.6615082531095774E-12</c:v>
                </c:pt>
                <c:pt idx="114">
                  <c:v>1.6615082531095774E-12</c:v>
                </c:pt>
                <c:pt idx="115">
                  <c:v>1.6615082531095774E-12</c:v>
                </c:pt>
                <c:pt idx="116">
                  <c:v>1.6615082531095774E-12</c:v>
                </c:pt>
                <c:pt idx="117">
                  <c:v>1.6615082531095774E-12</c:v>
                </c:pt>
                <c:pt idx="118">
                  <c:v>1.6615082531095774E-12</c:v>
                </c:pt>
                <c:pt idx="119">
                  <c:v>1.6615082531095774E-12</c:v>
                </c:pt>
                <c:pt idx="120">
                  <c:v>1.6615082531095774E-12</c:v>
                </c:pt>
                <c:pt idx="121">
                  <c:v>1.6615082531095774E-12</c:v>
                </c:pt>
                <c:pt idx="122">
                  <c:v>1.6615082531095774E-12</c:v>
                </c:pt>
                <c:pt idx="123">
                  <c:v>1.6615082531095774E-12</c:v>
                </c:pt>
                <c:pt idx="124">
                  <c:v>1.6615082531095774E-12</c:v>
                </c:pt>
                <c:pt idx="125">
                  <c:v>1.6615082531095774E-12</c:v>
                </c:pt>
                <c:pt idx="126">
                  <c:v>1.6615082531095774E-12</c:v>
                </c:pt>
                <c:pt idx="127">
                  <c:v>1.6615082531095774E-12</c:v>
                </c:pt>
                <c:pt idx="128">
                  <c:v>1.6615082531095774E-12</c:v>
                </c:pt>
                <c:pt idx="129">
                  <c:v>1.6615082531095774E-12</c:v>
                </c:pt>
                <c:pt idx="130">
                  <c:v>1.6615082531095774E-12</c:v>
                </c:pt>
                <c:pt idx="131">
                  <c:v>1.6615082531095774E-12</c:v>
                </c:pt>
                <c:pt idx="132">
                  <c:v>1.6615082531095774E-12</c:v>
                </c:pt>
                <c:pt idx="133">
                  <c:v>1.6615082531095774E-12</c:v>
                </c:pt>
                <c:pt idx="134">
                  <c:v>1.6615082531095774E-12</c:v>
                </c:pt>
                <c:pt idx="135">
                  <c:v>1.6615082531095774E-12</c:v>
                </c:pt>
                <c:pt idx="136">
                  <c:v>1.6615082531095774E-12</c:v>
                </c:pt>
                <c:pt idx="137">
                  <c:v>1.6615082531095774E-12</c:v>
                </c:pt>
                <c:pt idx="138">
                  <c:v>1.6615082531095774E-12</c:v>
                </c:pt>
                <c:pt idx="139">
                  <c:v>1.6615082531095774E-12</c:v>
                </c:pt>
                <c:pt idx="140">
                  <c:v>1.6615082531095774E-12</c:v>
                </c:pt>
                <c:pt idx="141">
                  <c:v>1.6615082531095774E-12</c:v>
                </c:pt>
                <c:pt idx="142">
                  <c:v>1.6615082531095774E-12</c:v>
                </c:pt>
                <c:pt idx="143">
                  <c:v>1.6615082531095774E-12</c:v>
                </c:pt>
                <c:pt idx="144">
                  <c:v>1.6615082531095774E-12</c:v>
                </c:pt>
                <c:pt idx="145">
                  <c:v>1.6615082531095774E-12</c:v>
                </c:pt>
                <c:pt idx="146">
                  <c:v>1.6615082531095774E-12</c:v>
                </c:pt>
                <c:pt idx="147">
                  <c:v>1.6615082531095774E-12</c:v>
                </c:pt>
                <c:pt idx="148">
                  <c:v>1.6615082531095774E-12</c:v>
                </c:pt>
                <c:pt idx="149">
                  <c:v>1.6615082531095774E-12</c:v>
                </c:pt>
                <c:pt idx="150">
                  <c:v>1.6615082531095774E-12</c:v>
                </c:pt>
                <c:pt idx="151">
                  <c:v>1.6615082531095774E-12</c:v>
                </c:pt>
                <c:pt idx="152">
                  <c:v>1.6615082531095774E-12</c:v>
                </c:pt>
                <c:pt idx="153">
                  <c:v>1.6615082531095774E-12</c:v>
                </c:pt>
                <c:pt idx="154">
                  <c:v>1.6615082531095774E-12</c:v>
                </c:pt>
                <c:pt idx="155">
                  <c:v>1.6615082531095774E-12</c:v>
                </c:pt>
                <c:pt idx="156">
                  <c:v>1.6615082531095774E-12</c:v>
                </c:pt>
                <c:pt idx="157">
                  <c:v>1.6615082531095774E-12</c:v>
                </c:pt>
                <c:pt idx="158">
                  <c:v>1.6615082531095774E-12</c:v>
                </c:pt>
                <c:pt idx="159">
                  <c:v>1.6615082531095774E-12</c:v>
                </c:pt>
                <c:pt idx="160">
                  <c:v>1.6615082531095774E-12</c:v>
                </c:pt>
                <c:pt idx="161">
                  <c:v>1.6615082531095774E-12</c:v>
                </c:pt>
                <c:pt idx="162">
                  <c:v>1.6615082531095774E-12</c:v>
                </c:pt>
                <c:pt idx="163">
                  <c:v>1.6615082531095774E-12</c:v>
                </c:pt>
                <c:pt idx="164">
                  <c:v>1.6615082531095774E-12</c:v>
                </c:pt>
                <c:pt idx="165">
                  <c:v>1.6615082531095774E-12</c:v>
                </c:pt>
                <c:pt idx="166">
                  <c:v>1.6615082531095774E-12</c:v>
                </c:pt>
                <c:pt idx="167">
                  <c:v>1.6615082531095774E-12</c:v>
                </c:pt>
                <c:pt idx="168">
                  <c:v>1.6615082531095774E-12</c:v>
                </c:pt>
                <c:pt idx="169">
                  <c:v>1.6615082531095774E-12</c:v>
                </c:pt>
                <c:pt idx="170">
                  <c:v>1.6615082531095774E-12</c:v>
                </c:pt>
                <c:pt idx="171">
                  <c:v>1.6615082531095774E-12</c:v>
                </c:pt>
                <c:pt idx="172">
                  <c:v>1.6615082531095774E-12</c:v>
                </c:pt>
                <c:pt idx="173">
                  <c:v>1.6615082531095774E-12</c:v>
                </c:pt>
                <c:pt idx="174">
                  <c:v>1.6615082531095774E-12</c:v>
                </c:pt>
                <c:pt idx="175">
                  <c:v>1.6615082531095774E-12</c:v>
                </c:pt>
                <c:pt idx="176">
                  <c:v>1.6615082531095774E-12</c:v>
                </c:pt>
                <c:pt idx="177">
                  <c:v>1.6615082531095774E-12</c:v>
                </c:pt>
                <c:pt idx="178">
                  <c:v>1.6615082531095774E-12</c:v>
                </c:pt>
                <c:pt idx="179">
                  <c:v>1.6615082531095774E-12</c:v>
                </c:pt>
                <c:pt idx="180">
                  <c:v>1.6615082531095774E-12</c:v>
                </c:pt>
                <c:pt idx="181">
                  <c:v>1.6615082531095774E-12</c:v>
                </c:pt>
                <c:pt idx="182">
                  <c:v>1.6615082531095774E-12</c:v>
                </c:pt>
                <c:pt idx="183">
                  <c:v>1.6615082531095774E-12</c:v>
                </c:pt>
                <c:pt idx="184">
                  <c:v>1.6615082531095774E-12</c:v>
                </c:pt>
                <c:pt idx="185">
                  <c:v>1.6615082531095774E-12</c:v>
                </c:pt>
                <c:pt idx="186">
                  <c:v>1.6615082531095774E-12</c:v>
                </c:pt>
                <c:pt idx="187">
                  <c:v>1.6615082531095774E-12</c:v>
                </c:pt>
                <c:pt idx="188">
                  <c:v>1.6615082531095774E-12</c:v>
                </c:pt>
                <c:pt idx="189">
                  <c:v>1.6615082531095774E-12</c:v>
                </c:pt>
                <c:pt idx="190">
                  <c:v>1.6615082531095774E-12</c:v>
                </c:pt>
                <c:pt idx="191">
                  <c:v>1.6615082531095774E-12</c:v>
                </c:pt>
                <c:pt idx="192">
                  <c:v>1.6615082531095774E-12</c:v>
                </c:pt>
                <c:pt idx="193">
                  <c:v>1.6615082531095774E-12</c:v>
                </c:pt>
                <c:pt idx="194">
                  <c:v>1.6615082531095774E-12</c:v>
                </c:pt>
                <c:pt idx="195">
                  <c:v>1.6615082531095774E-12</c:v>
                </c:pt>
                <c:pt idx="196">
                  <c:v>1.6615082531095774E-12</c:v>
                </c:pt>
                <c:pt idx="197">
                  <c:v>1.6615082531095774E-12</c:v>
                </c:pt>
                <c:pt idx="198">
                  <c:v>1.6615082531095774E-12</c:v>
                </c:pt>
                <c:pt idx="199">
                  <c:v>1.6615082531095774E-12</c:v>
                </c:pt>
                <c:pt idx="200">
                  <c:v>1.6615082531095774E-12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24282304"/>
        <c:axId val="-1142415008"/>
      </c:scatterChart>
      <c:valAx>
        <c:axId val="-824282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42415008"/>
        <c:crosses val="autoZero"/>
        <c:crossBetween val="midCat"/>
      </c:valAx>
      <c:valAx>
        <c:axId val="-114241500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24282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C9" sqref="C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1.7</v>
      </c>
      <c r="D5" s="306" t="s">
        <v>229</v>
      </c>
      <c r="E5" s="307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52</v>
      </c>
      <c r="C9" s="35">
        <v>0.17499999999999999</v>
      </c>
      <c r="D9" s="36">
        <f t="shared" ref="D9:D18" si="0">C9*$C$5</f>
        <v>0.29749999999999999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90</v>
      </c>
      <c r="C10" s="35">
        <v>0.125</v>
      </c>
      <c r="D10" s="36">
        <f t="shared" si="0"/>
        <v>0.21249999999999999</v>
      </c>
      <c r="E10" s="37">
        <v>89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164</v>
      </c>
      <c r="C11" s="35">
        <v>0.1</v>
      </c>
      <c r="D11" s="36">
        <f t="shared" si="0"/>
        <v>0.17</v>
      </c>
      <c r="E11" s="37">
        <v>109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17</v>
      </c>
      <c r="C12" s="35">
        <v>0.16</v>
      </c>
      <c r="D12" s="36">
        <f t="shared" si="0"/>
        <v>0.27200000000000002</v>
      </c>
      <c r="E12" s="37">
        <v>100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39</v>
      </c>
      <c r="C13" s="35">
        <v>7.4999999999999997E-2</v>
      </c>
      <c r="D13" s="36">
        <f t="shared" si="0"/>
        <v>0.1275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10</v>
      </c>
      <c r="C14" s="35">
        <v>0.09</v>
      </c>
      <c r="D14" s="36">
        <f t="shared" si="0"/>
        <v>0.153</v>
      </c>
      <c r="E14" s="37">
        <v>200</v>
      </c>
      <c r="F14" s="38" t="str">
        <f t="array" ref="F14">IF(E14="","",IF(INDEX(A:A,MAX(IF(ISNUMBER($A$166:$A$185),ROW($A$166:$A$185),"")))&lt;&gt;E14,"Corrigez : révolution incorrecte","OK"))</f>
        <v>OK</v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40</v>
      </c>
      <c r="C15" s="35">
        <v>0.05</v>
      </c>
      <c r="D15" s="36">
        <f t="shared" si="0"/>
        <v>8.5000000000000006E-2</v>
      </c>
      <c r="E15" s="37">
        <v>91</v>
      </c>
      <c r="F15" s="38" t="str">
        <f t="array" ref="F15">IF(E15="","",IF(INDEX(A:A,MAX(IF(ISNUMBER($A$192:$A$211),ROW($A$192:$A$211),"")))&lt;&gt;E15,"Corrigez : révolution incorrecte","OK"))</f>
        <v>OK</v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21</v>
      </c>
      <c r="C16" s="35">
        <v>6.5000000000000002E-2</v>
      </c>
      <c r="D16" s="36">
        <f t="shared" si="0"/>
        <v>0.1105</v>
      </c>
      <c r="E16" s="37">
        <v>80</v>
      </c>
      <c r="F16" s="38" t="str">
        <f t="array" ref="F16">IF(E16="","",IF(INDEX(A:A,MAX(IF(ISNUMBER($A$218:$A$237),ROW($A$218:$A$237),"")))&lt;&gt;E16,"Corrigez : révolution incorrecte","OK"))</f>
        <v>OK</v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98</v>
      </c>
      <c r="C17" s="35">
        <v>0.1</v>
      </c>
      <c r="D17" s="36">
        <f t="shared" si="0"/>
        <v>0.17</v>
      </c>
      <c r="E17" s="37">
        <v>90</v>
      </c>
      <c r="F17" s="38" t="str">
        <f t="array" ref="F17">IF(E17="","",IF(INDEX(A:A,MAX(IF(ISNUMBER($A$244:$A$263),ROW($A$244:$A$263),"")))&lt;&gt;E17,"Corrigez : révolution incorrecte","OK"))</f>
        <v>OK</v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 t="s">
        <v>102</v>
      </c>
      <c r="C18" s="35">
        <v>2.5000000000000001E-2</v>
      </c>
      <c r="D18" s="36">
        <f t="shared" si="0"/>
        <v>4.2500000000000003E-2</v>
      </c>
      <c r="E18" s="37">
        <v>120</v>
      </c>
      <c r="F18" s="38" t="str">
        <f t="array" ref="F18">IF(E18="","",IF(INDEX(A:A,MAX(IF(ISNUMBER($A$270:$A$289),ROW($A$270:$A$289),"")))&lt;&gt;E18,"Corrigez : révolution incorrecte","OK"))</f>
        <v>OK</v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0.96500000000000008</v>
      </c>
      <c r="D19" s="41">
        <f>SUM(D9:D18)</f>
        <v>1.6405000000000001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Cormier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53">
        <v>21</v>
      </c>
      <c r="C36" s="53"/>
      <c r="D36" s="53"/>
      <c r="E36" s="54"/>
      <c r="F36" s="54"/>
      <c r="G36" s="54"/>
      <c r="H36" s="54"/>
      <c r="I36" s="52">
        <f>IFERROR(B36/A36,"")</f>
        <v>1.05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53">
        <v>36</v>
      </c>
      <c r="C37" s="53"/>
      <c r="D37" s="53"/>
      <c r="E37" s="54"/>
      <c r="F37" s="54"/>
      <c r="G37" s="54"/>
      <c r="H37" s="54"/>
      <c r="I37" s="56">
        <f t="shared" ref="I37:I55" si="1">IF(A37&lt;&gt;0,(B37-(B36-D36))/(A37-A36),"")</f>
        <v>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53">
        <v>54</v>
      </c>
      <c r="C38" s="53">
        <v>1</v>
      </c>
      <c r="D38" s="53">
        <v>9</v>
      </c>
      <c r="E38" s="54"/>
      <c r="F38" s="54"/>
      <c r="G38" s="54"/>
      <c r="H38" s="54">
        <v>1</v>
      </c>
      <c r="I38" s="56">
        <f t="shared" si="1"/>
        <v>3.6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53">
        <v>63</v>
      </c>
      <c r="C39" s="53"/>
      <c r="D39" s="53"/>
      <c r="E39" s="54"/>
      <c r="F39" s="54"/>
      <c r="G39" s="54"/>
      <c r="H39" s="54"/>
      <c r="I39" s="52">
        <f t="shared" si="1"/>
        <v>3.6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53">
        <v>83</v>
      </c>
      <c r="C40" s="53">
        <v>2</v>
      </c>
      <c r="D40" s="53">
        <v>17</v>
      </c>
      <c r="E40" s="54"/>
      <c r="F40" s="54"/>
      <c r="G40" s="54"/>
      <c r="H40" s="54"/>
      <c r="I40" s="52">
        <f t="shared" si="1"/>
        <v>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53">
        <v>85</v>
      </c>
      <c r="C41" s="53"/>
      <c r="D41" s="53"/>
      <c r="E41" s="54"/>
      <c r="F41" s="54"/>
      <c r="G41" s="54"/>
      <c r="H41" s="54"/>
      <c r="I41" s="56">
        <f t="shared" si="1"/>
        <v>3.8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53">
        <v>104</v>
      </c>
      <c r="C42" s="53">
        <v>3</v>
      </c>
      <c r="D42" s="53">
        <v>18</v>
      </c>
      <c r="E42" s="54"/>
      <c r="F42" s="54"/>
      <c r="G42" s="54"/>
      <c r="H42" s="54"/>
      <c r="I42" s="56">
        <f t="shared" si="1"/>
        <v>3.8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63">
        <v>55</v>
      </c>
      <c r="B43" s="291">
        <f>96+10</f>
        <v>106</v>
      </c>
      <c r="C43" s="63"/>
      <c r="D43" s="291"/>
      <c r="E43" s="66"/>
      <c r="F43" s="66"/>
      <c r="G43" s="66"/>
      <c r="H43" s="66"/>
      <c r="I43" s="52">
        <f t="shared" si="1"/>
        <v>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63">
        <v>60</v>
      </c>
      <c r="B44" s="291">
        <f>105+10+10</f>
        <v>125</v>
      </c>
      <c r="C44" s="63">
        <v>4</v>
      </c>
      <c r="D44" s="291">
        <f>10+10</f>
        <v>20</v>
      </c>
      <c r="E44" s="66"/>
      <c r="F44" s="66"/>
      <c r="G44" s="66"/>
      <c r="H44" s="66"/>
      <c r="I44" s="52">
        <f t="shared" si="1"/>
        <v>3.8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63">
        <v>65</v>
      </c>
      <c r="B45" s="291">
        <f>114+10</f>
        <v>124</v>
      </c>
      <c r="C45" s="63"/>
      <c r="D45" s="291"/>
      <c r="E45" s="66"/>
      <c r="F45" s="66"/>
      <c r="G45" s="66"/>
      <c r="H45" s="66"/>
      <c r="I45" s="52">
        <f t="shared" si="1"/>
        <v>3.8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63">
        <v>70</v>
      </c>
      <c r="B46" s="291">
        <f>122+10+10</f>
        <v>142</v>
      </c>
      <c r="C46" s="63">
        <v>5</v>
      </c>
      <c r="D46" s="291">
        <f>10+10</f>
        <v>20</v>
      </c>
      <c r="E46" s="66"/>
      <c r="F46" s="66"/>
      <c r="G46" s="66"/>
      <c r="H46" s="66"/>
      <c r="I46" s="52">
        <f t="shared" si="1"/>
        <v>3.6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63">
        <v>75</v>
      </c>
      <c r="B47" s="291">
        <f>129+10</f>
        <v>139</v>
      </c>
      <c r="C47" s="63"/>
      <c r="D47" s="291"/>
      <c r="E47" s="66"/>
      <c r="F47" s="66"/>
      <c r="G47" s="66"/>
      <c r="H47" s="66"/>
      <c r="I47" s="52">
        <f t="shared" si="1"/>
        <v>3.4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63">
        <v>80</v>
      </c>
      <c r="B48" s="291">
        <f>137+10+9</f>
        <v>156</v>
      </c>
      <c r="C48" s="63">
        <v>6</v>
      </c>
      <c r="D48" s="291">
        <f>10+9</f>
        <v>19</v>
      </c>
      <c r="E48" s="67"/>
      <c r="F48" s="67"/>
      <c r="G48" s="67"/>
      <c r="H48" s="67"/>
      <c r="I48" s="52">
        <f t="shared" si="1"/>
        <v>3.4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63">
        <v>85</v>
      </c>
      <c r="B49" s="291">
        <f>143+9</f>
        <v>152</v>
      </c>
      <c r="C49" s="63"/>
      <c r="D49" s="291"/>
      <c r="E49" s="57"/>
      <c r="F49" s="57"/>
      <c r="G49" s="57"/>
      <c r="H49" s="57"/>
      <c r="I49" s="52">
        <f t="shared" si="1"/>
        <v>3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63">
        <v>90</v>
      </c>
      <c r="B50" s="292">
        <v>168</v>
      </c>
      <c r="C50" s="63">
        <v>7</v>
      </c>
      <c r="D50" s="292">
        <v>18</v>
      </c>
      <c r="E50" s="54"/>
      <c r="F50" s="54"/>
      <c r="G50" s="54"/>
      <c r="H50" s="54"/>
      <c r="I50" s="52">
        <f t="shared" si="1"/>
        <v>3.2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95</v>
      </c>
      <c r="B51" s="292">
        <v>164</v>
      </c>
      <c r="C51" s="53"/>
      <c r="D51" s="292"/>
      <c r="E51" s="54"/>
      <c r="F51" s="54"/>
      <c r="G51" s="54"/>
      <c r="H51" s="54"/>
      <c r="I51" s="52">
        <f t="shared" si="1"/>
        <v>2.8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100</v>
      </c>
      <c r="B52" s="292">
        <v>179</v>
      </c>
      <c r="C52" s="53">
        <v>8</v>
      </c>
      <c r="D52" s="292">
        <v>18</v>
      </c>
      <c r="E52" s="54"/>
      <c r="F52" s="54"/>
      <c r="G52" s="54"/>
      <c r="H52" s="54"/>
      <c r="I52" s="52">
        <f t="shared" si="1"/>
        <v>3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105</v>
      </c>
      <c r="B53" s="292">
        <v>175</v>
      </c>
      <c r="C53" s="53"/>
      <c r="D53" s="292"/>
      <c r="E53" s="54"/>
      <c r="F53" s="54"/>
      <c r="G53" s="54"/>
      <c r="H53" s="54"/>
      <c r="I53" s="52">
        <f t="shared" si="1"/>
        <v>2.8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110</v>
      </c>
      <c r="B54" s="292">
        <v>190</v>
      </c>
      <c r="C54" s="53">
        <v>9</v>
      </c>
      <c r="D54" s="292">
        <v>19</v>
      </c>
      <c r="E54" s="54"/>
      <c r="F54" s="54"/>
      <c r="G54" s="54"/>
      <c r="H54" s="54"/>
      <c r="I54" s="52">
        <f t="shared" si="1"/>
        <v>3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120</v>
      </c>
      <c r="B55" s="53">
        <v>201</v>
      </c>
      <c r="C55" s="53">
        <v>10</v>
      </c>
      <c r="D55" s="53">
        <v>201</v>
      </c>
      <c r="E55" s="54"/>
      <c r="F55" s="54"/>
      <c r="G55" s="54"/>
      <c r="H55" s="54"/>
      <c r="I55" s="52">
        <f t="shared" si="1"/>
        <v>3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d'Alep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15</v>
      </c>
      <c r="B62" s="63">
        <f>27.35/1.3</f>
        <v>21.03846153846154</v>
      </c>
      <c r="C62" s="63"/>
      <c r="D62" s="63"/>
      <c r="E62" s="54"/>
      <c r="F62" s="54"/>
      <c r="G62" s="54"/>
      <c r="H62" s="54"/>
      <c r="I62" s="56">
        <f>IFERROR(B62/A62,"")</f>
        <v>1.4025641025641027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20</v>
      </c>
      <c r="B63" s="63">
        <f>47.03/1.3</f>
        <v>36.176923076923075</v>
      </c>
      <c r="C63" s="63"/>
      <c r="D63" s="63"/>
      <c r="E63" s="54"/>
      <c r="F63" s="54"/>
      <c r="G63" s="54"/>
      <c r="H63" s="54"/>
      <c r="I63" s="52">
        <f>IF(A63&lt;&gt;0,(B63-(B62-D62))/(A63-A62),"")</f>
        <v>3.0276923076923068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63">
        <f>76.1/1.3</f>
        <v>58.538461538461533</v>
      </c>
      <c r="C64" s="63"/>
      <c r="D64" s="63"/>
      <c r="E64" s="54"/>
      <c r="F64" s="54"/>
      <c r="G64" s="54"/>
      <c r="H64" s="54"/>
      <c r="I64" s="52">
        <f>IF(A64&lt;&gt;0,(B64-(B63-D63))/(A64-A63),"")</f>
        <v>4.4723076923076919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f>112.67/1.3</f>
        <v>86.669230769230765</v>
      </c>
      <c r="C65" s="63"/>
      <c r="D65" s="63"/>
      <c r="E65" s="54"/>
      <c r="F65" s="54"/>
      <c r="G65" s="54"/>
      <c r="H65" s="54"/>
      <c r="I65" s="52">
        <f>IF(A65&lt;&gt;0,(B65-(B64-D64))/(A65-A64),"")</f>
        <v>5.6261538461538461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36</v>
      </c>
      <c r="B66" s="63">
        <f>163.63/1.3</f>
        <v>125.86923076923077</v>
      </c>
      <c r="C66" s="63">
        <v>1</v>
      </c>
      <c r="D66" s="63">
        <f>45.36/1.3</f>
        <v>34.892307692307689</v>
      </c>
      <c r="E66" s="54"/>
      <c r="F66" s="54"/>
      <c r="G66" s="54"/>
      <c r="H66" s="54"/>
      <c r="I66" s="52">
        <f t="shared" ref="I66:I81" si="2">IF(A66&lt;&gt;0,(B66-(B65-D65))/(A66-A65),"")</f>
        <v>6.5333333333333341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44</v>
      </c>
      <c r="B67" s="63">
        <f>180.21/1.3</f>
        <v>138.62307692307692</v>
      </c>
      <c r="C67" s="63"/>
      <c r="D67" s="63"/>
      <c r="E67" s="54"/>
      <c r="F67" s="54"/>
      <c r="G67" s="54"/>
      <c r="H67" s="54"/>
      <c r="I67" s="52">
        <f t="shared" si="2"/>
        <v>5.9557692307692314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63">
        <v>52</v>
      </c>
      <c r="B68" s="63">
        <f>247.56/1.3</f>
        <v>190.43076923076922</v>
      </c>
      <c r="C68" s="63">
        <v>2</v>
      </c>
      <c r="D68" s="63">
        <f>100.24/1.3</f>
        <v>77.107692307692304</v>
      </c>
      <c r="E68" s="54"/>
      <c r="F68" s="54"/>
      <c r="G68" s="54"/>
      <c r="H68" s="54"/>
      <c r="I68" s="52">
        <f t="shared" si="2"/>
        <v>6.4759615384615365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63">
        <v>59</v>
      </c>
      <c r="B69" s="63">
        <f>192.41/1.3</f>
        <v>148.00769230769231</v>
      </c>
      <c r="C69" s="63"/>
      <c r="D69" s="63"/>
      <c r="E69" s="54"/>
      <c r="F69" s="54"/>
      <c r="G69" s="54"/>
      <c r="H69" s="54"/>
      <c r="I69" s="52">
        <f t="shared" si="2"/>
        <v>4.9549450549450569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63">
        <v>66</v>
      </c>
      <c r="B70" s="63">
        <f>239.72/1.3</f>
        <v>184.4</v>
      </c>
      <c r="C70" s="63"/>
      <c r="D70" s="63"/>
      <c r="E70" s="54"/>
      <c r="F70" s="54"/>
      <c r="G70" s="54"/>
      <c r="H70" s="54"/>
      <c r="I70" s="52">
        <f t="shared" si="2"/>
        <v>5.1989010989010991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63">
        <v>74</v>
      </c>
      <c r="B71" s="63">
        <f>295.65/1.3</f>
        <v>227.42307692307691</v>
      </c>
      <c r="C71" s="63">
        <v>3</v>
      </c>
      <c r="D71" s="63">
        <f>149.39/1.3</f>
        <v>114.9153846153846</v>
      </c>
      <c r="E71" s="54"/>
      <c r="F71" s="54"/>
      <c r="G71" s="54"/>
      <c r="H71" s="54"/>
      <c r="I71" s="52">
        <f t="shared" si="2"/>
        <v>5.3778846153846125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63">
        <v>82</v>
      </c>
      <c r="B72" s="63">
        <f>183.15/1.3</f>
        <v>140.88461538461539</v>
      </c>
      <c r="C72" s="63"/>
      <c r="D72" s="63"/>
      <c r="E72" s="54"/>
      <c r="F72" s="54"/>
      <c r="G72" s="54"/>
      <c r="H72" s="54"/>
      <c r="I72" s="52">
        <f t="shared" si="2"/>
        <v>3.5471153846153847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63">
        <v>89</v>
      </c>
      <c r="B73" s="63">
        <f>216.67/1.3</f>
        <v>166.66923076923075</v>
      </c>
      <c r="C73" s="63">
        <v>4</v>
      </c>
      <c r="D73" s="63">
        <f>B73</f>
        <v>166.66923076923075</v>
      </c>
      <c r="E73" s="54"/>
      <c r="F73" s="54"/>
      <c r="G73" s="54"/>
      <c r="H73" s="54"/>
      <c r="I73" s="52">
        <f t="shared" si="2"/>
        <v>3.6835164835164806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63"/>
      <c r="B74" s="291"/>
      <c r="C74" s="63"/>
      <c r="D74" s="291"/>
      <c r="E74" s="67"/>
      <c r="F74" s="67"/>
      <c r="G74" s="67"/>
      <c r="H74" s="67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63"/>
      <c r="B75" s="291"/>
      <c r="C75" s="63"/>
      <c r="D75" s="291"/>
      <c r="E75" s="57"/>
      <c r="F75" s="57"/>
      <c r="G75" s="57"/>
      <c r="H75" s="57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63"/>
      <c r="B76" s="292"/>
      <c r="C76" s="63"/>
      <c r="D76" s="292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292"/>
      <c r="C77" s="53"/>
      <c r="D77" s="292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292"/>
      <c r="C78" s="53"/>
      <c r="D78" s="292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292"/>
      <c r="C79" s="53"/>
      <c r="D79" s="292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292"/>
      <c r="C80" s="53"/>
      <c r="D80" s="292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Cèdre de l'Atlas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30</v>
      </c>
      <c r="B88" s="63">
        <f>134.26/1.3</f>
        <v>103.27692307692307</v>
      </c>
      <c r="C88" s="63"/>
      <c r="D88" s="63"/>
      <c r="E88" s="54"/>
      <c r="F88" s="54"/>
      <c r="G88" s="54"/>
      <c r="H88" s="54"/>
      <c r="I88" s="56">
        <f>IFERROR(B88/A88,"")</f>
        <v>3.4425641025641025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35</v>
      </c>
      <c r="B89" s="63">
        <f>192.26/1.3</f>
        <v>147.89230769230767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8.9230769230769198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40</v>
      </c>
      <c r="B90" s="63">
        <f>257.14/1.3</f>
        <v>197.79999999999998</v>
      </c>
      <c r="C90" s="63"/>
      <c r="D90" s="63"/>
      <c r="E90" s="54"/>
      <c r="F90" s="54"/>
      <c r="G90" s="54"/>
      <c r="H90" s="54"/>
      <c r="I90" s="56">
        <f t="shared" si="3"/>
        <v>9.981538461538463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45</v>
      </c>
      <c r="B91" s="63">
        <f>327.79/1.3</f>
        <v>252.14615384615385</v>
      </c>
      <c r="C91" s="63"/>
      <c r="D91" s="63"/>
      <c r="E91" s="54"/>
      <c r="F91" s="54"/>
      <c r="G91" s="54"/>
      <c r="H91" s="54"/>
      <c r="I91" s="56">
        <f t="shared" si="3"/>
        <v>10.869230769230773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51</v>
      </c>
      <c r="B92" s="63">
        <f>418.39/1.3</f>
        <v>321.8384615384615</v>
      </c>
      <c r="C92" s="63">
        <v>1</v>
      </c>
      <c r="D92" s="63">
        <f>130.4/1.3</f>
        <v>100.30769230769231</v>
      </c>
      <c r="E92" s="54"/>
      <c r="F92" s="54"/>
      <c r="G92" s="54"/>
      <c r="H92" s="54"/>
      <c r="I92" s="56">
        <f t="shared" si="3"/>
        <v>11.615384615384608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57</v>
      </c>
      <c r="B93" s="63">
        <f>370.22/1.3</f>
        <v>284.78461538461539</v>
      </c>
      <c r="C93" s="63"/>
      <c r="D93" s="63"/>
      <c r="E93" s="54"/>
      <c r="F93" s="54"/>
      <c r="G93" s="54"/>
      <c r="H93" s="54"/>
      <c r="I93" s="56">
        <f t="shared" si="3"/>
        <v>10.542307692307702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63</v>
      </c>
      <c r="B94" s="63">
        <f>455.9/1.3</f>
        <v>350.69230769230768</v>
      </c>
      <c r="C94" s="63">
        <v>2</v>
      </c>
      <c r="D94" s="63">
        <f>140.51/1.3</f>
        <v>108.08461538461538</v>
      </c>
      <c r="E94" s="54"/>
      <c r="F94" s="54"/>
      <c r="G94" s="54"/>
      <c r="H94" s="54"/>
      <c r="I94" s="56">
        <f t="shared" si="3"/>
        <v>10.984615384615381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282">
        <v>69</v>
      </c>
      <c r="B95" s="63">
        <f>390.97/1.3</f>
        <v>300.74615384615385</v>
      </c>
      <c r="C95" s="63"/>
      <c r="D95" s="63"/>
      <c r="E95" s="54"/>
      <c r="F95" s="54"/>
      <c r="G95" s="54"/>
      <c r="H95" s="54"/>
      <c r="I95" s="56">
        <f t="shared" si="3"/>
        <v>9.6897435897435908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282">
        <v>75</v>
      </c>
      <c r="B96" s="63">
        <f>468.62/1.3</f>
        <v>360.47692307692307</v>
      </c>
      <c r="C96" s="63">
        <v>3</v>
      </c>
      <c r="D96" s="63">
        <f>110.97/1.3</f>
        <v>85.361538461538458</v>
      </c>
      <c r="E96" s="54"/>
      <c r="F96" s="54"/>
      <c r="G96" s="54"/>
      <c r="H96" s="54"/>
      <c r="I96" s="56">
        <f t="shared" si="3"/>
        <v>9.9551282051282044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282">
        <v>81</v>
      </c>
      <c r="B97" s="63">
        <f>427.32/1.3</f>
        <v>328.7076923076923</v>
      </c>
      <c r="C97" s="63"/>
      <c r="D97" s="63"/>
      <c r="E97" s="54"/>
      <c r="F97" s="54"/>
      <c r="G97" s="54"/>
      <c r="H97" s="54"/>
      <c r="I97" s="56">
        <f t="shared" si="3"/>
        <v>8.9320512820512761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282">
        <v>87</v>
      </c>
      <c r="B98" s="63">
        <f>498.08/1.3</f>
        <v>383.13846153846151</v>
      </c>
      <c r="C98" s="63">
        <v>4</v>
      </c>
      <c r="D98" s="63">
        <f>107.82/1.3</f>
        <v>82.938461538461524</v>
      </c>
      <c r="E98" s="54"/>
      <c r="F98" s="54"/>
      <c r="G98" s="54"/>
      <c r="H98" s="54"/>
      <c r="I98" s="56">
        <f t="shared" si="3"/>
        <v>9.0717948717948698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282">
        <v>93</v>
      </c>
      <c r="B99" s="63">
        <f>453.6/1.3</f>
        <v>348.92307692307691</v>
      </c>
      <c r="C99" s="63"/>
      <c r="D99" s="63"/>
      <c r="E99" s="54"/>
      <c r="F99" s="54"/>
      <c r="G99" s="54"/>
      <c r="H99" s="54"/>
      <c r="I99" s="56">
        <f t="shared" si="3"/>
        <v>8.1205128205128201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282">
        <v>99</v>
      </c>
      <c r="B100" s="63">
        <f>517.23/1.3</f>
        <v>397.8692307692308</v>
      </c>
      <c r="C100" s="63">
        <v>5</v>
      </c>
      <c r="D100" s="63">
        <f>257.82/1.3</f>
        <v>198.32307692307691</v>
      </c>
      <c r="E100" s="54"/>
      <c r="F100" s="54"/>
      <c r="G100" s="54"/>
      <c r="H100" s="54"/>
      <c r="I100" s="56">
        <f t="shared" si="3"/>
        <v>8.1576923076923151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282">
        <v>104</v>
      </c>
      <c r="B101" s="63">
        <f>297.43/1.3</f>
        <v>228.7923076923077</v>
      </c>
      <c r="C101" s="63"/>
      <c r="D101" s="63"/>
      <c r="E101" s="54"/>
      <c r="F101" s="54"/>
      <c r="G101" s="54"/>
      <c r="H101" s="54"/>
      <c r="I101" s="56">
        <f t="shared" si="3"/>
        <v>5.849230769230763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282">
        <v>109</v>
      </c>
      <c r="B102" s="53">
        <v>256.09230769230771</v>
      </c>
      <c r="C102" s="53">
        <v>6</v>
      </c>
      <c r="D102" s="53">
        <v>256.09230769230771</v>
      </c>
      <c r="E102" s="54"/>
      <c r="F102" s="54"/>
      <c r="G102" s="54"/>
      <c r="H102" s="54"/>
      <c r="I102" s="56">
        <f t="shared" si="3"/>
        <v>5.4600000000000026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Cyprès de Provence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3">
        <v>60.8</v>
      </c>
      <c r="C114" s="63"/>
      <c r="D114" s="63"/>
      <c r="E114" s="54"/>
      <c r="F114" s="54"/>
      <c r="G114" s="54"/>
      <c r="H114" s="93"/>
      <c r="I114" s="56">
        <f>IFERROR(B114/A114,"")</f>
        <v>4.0533333333333328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3">
        <v>85.7</v>
      </c>
      <c r="C115" s="63"/>
      <c r="D115" s="63"/>
      <c r="E115" s="54"/>
      <c r="F115" s="54"/>
      <c r="G115" s="54"/>
      <c r="H115" s="93"/>
      <c r="I115" s="56">
        <f t="shared" ref="I115:I133" si="4">IF(A115&lt;&gt;0,(B115-(B114-D114))/(A115-A114),"")</f>
        <v>4.9800000000000013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3">
        <v>109.4</v>
      </c>
      <c r="C116" s="63"/>
      <c r="D116" s="63"/>
      <c r="E116" s="93"/>
      <c r="F116" s="93"/>
      <c r="G116" s="93"/>
      <c r="H116" s="93"/>
      <c r="I116" s="56">
        <f t="shared" si="4"/>
        <v>4.74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3">
        <v>131.9</v>
      </c>
      <c r="C117" s="63"/>
      <c r="D117" s="63"/>
      <c r="E117" s="93"/>
      <c r="F117" s="93"/>
      <c r="G117" s="93"/>
      <c r="H117" s="93"/>
      <c r="I117" s="56">
        <f t="shared" si="4"/>
        <v>4.5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3">
        <v>153</v>
      </c>
      <c r="C118" s="63"/>
      <c r="D118" s="63"/>
      <c r="E118" s="93"/>
      <c r="F118" s="93"/>
      <c r="G118" s="93"/>
      <c r="H118" s="93"/>
      <c r="I118" s="56">
        <f t="shared" si="4"/>
        <v>4.2199999999999989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3">
        <v>173</v>
      </c>
      <c r="C119" s="63"/>
      <c r="D119" s="63"/>
      <c r="E119" s="93"/>
      <c r="F119" s="93"/>
      <c r="G119" s="93"/>
      <c r="H119" s="93"/>
      <c r="I119" s="56">
        <f t="shared" si="4"/>
        <v>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45</v>
      </c>
      <c r="B120" s="63">
        <v>191.7</v>
      </c>
      <c r="C120" s="63"/>
      <c r="D120" s="63"/>
      <c r="E120" s="93"/>
      <c r="F120" s="93"/>
      <c r="G120" s="93"/>
      <c r="H120" s="93"/>
      <c r="I120" s="56">
        <f t="shared" si="4"/>
        <v>3.7399999999999975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50</v>
      </c>
      <c r="B121" s="63">
        <v>209.2</v>
      </c>
      <c r="C121" s="63"/>
      <c r="D121" s="63"/>
      <c r="E121" s="93"/>
      <c r="F121" s="93"/>
      <c r="G121" s="93"/>
      <c r="H121" s="93"/>
      <c r="I121" s="56">
        <f t="shared" si="4"/>
        <v>3.5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55</v>
      </c>
      <c r="B122" s="63">
        <v>225.5</v>
      </c>
      <c r="C122" s="63"/>
      <c r="D122" s="63"/>
      <c r="E122" s="93"/>
      <c r="F122" s="93"/>
      <c r="G122" s="93"/>
      <c r="H122" s="93"/>
      <c r="I122" s="56">
        <f t="shared" si="4"/>
        <v>3.2600000000000025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60</v>
      </c>
      <c r="B123" s="63">
        <v>240.5</v>
      </c>
      <c r="C123" s="63"/>
      <c r="D123" s="63"/>
      <c r="E123" s="93"/>
      <c r="F123" s="93"/>
      <c r="G123" s="93"/>
      <c r="H123" s="93"/>
      <c r="I123" s="56">
        <f t="shared" si="4"/>
        <v>3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65</v>
      </c>
      <c r="B124" s="63">
        <v>254.3</v>
      </c>
      <c r="C124" s="63"/>
      <c r="D124" s="63"/>
      <c r="E124" s="93"/>
      <c r="F124" s="93"/>
      <c r="G124" s="93"/>
      <c r="H124" s="93"/>
      <c r="I124" s="56">
        <f t="shared" si="4"/>
        <v>2.7600000000000025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70</v>
      </c>
      <c r="B125" s="63">
        <v>266.89999999999998</v>
      </c>
      <c r="C125" s="63"/>
      <c r="D125" s="63"/>
      <c r="E125" s="93"/>
      <c r="F125" s="93"/>
      <c r="G125" s="93"/>
      <c r="H125" s="93"/>
      <c r="I125" s="56">
        <f t="shared" si="4"/>
        <v>2.5199999999999934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75</v>
      </c>
      <c r="B126" s="63">
        <v>278.2</v>
      </c>
      <c r="C126" s="63"/>
      <c r="D126" s="63"/>
      <c r="E126" s="68"/>
      <c r="F126" s="68"/>
      <c r="G126" s="68"/>
      <c r="H126" s="68"/>
      <c r="I126" s="56">
        <f t="shared" si="4"/>
        <v>2.2600000000000025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>
        <v>80</v>
      </c>
      <c r="B127" s="63">
        <v>288.3</v>
      </c>
      <c r="C127" s="63"/>
      <c r="D127" s="63"/>
      <c r="E127" s="68"/>
      <c r="F127" s="68"/>
      <c r="G127" s="68"/>
      <c r="H127" s="68"/>
      <c r="I127" s="56">
        <f t="shared" si="4"/>
        <v>2.0200000000000045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63">
        <v>85</v>
      </c>
      <c r="B128" s="53">
        <v>297.2</v>
      </c>
      <c r="C128" s="63"/>
      <c r="D128" s="53"/>
      <c r="E128" s="57"/>
      <c r="F128" s="57"/>
      <c r="G128" s="57"/>
      <c r="H128" s="57"/>
      <c r="I128" s="56">
        <f t="shared" si="4"/>
        <v>1.7799999999999954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90</v>
      </c>
      <c r="B129" s="53">
        <v>304.89999999999998</v>
      </c>
      <c r="C129" s="53"/>
      <c r="D129" s="53"/>
      <c r="E129" s="54"/>
      <c r="F129" s="54"/>
      <c r="G129" s="54"/>
      <c r="H129" s="54"/>
      <c r="I129" s="56">
        <f t="shared" si="4"/>
        <v>1.5399999999999978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95</v>
      </c>
      <c r="B130" s="53">
        <v>311.3</v>
      </c>
      <c r="C130" s="53"/>
      <c r="D130" s="53"/>
      <c r="E130" s="54"/>
      <c r="F130" s="54"/>
      <c r="G130" s="54"/>
      <c r="H130" s="54"/>
      <c r="I130" s="56">
        <f t="shared" si="4"/>
        <v>1.2800000000000069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100</v>
      </c>
      <c r="B131" s="53">
        <v>316.5</v>
      </c>
      <c r="C131" s="53">
        <v>1</v>
      </c>
      <c r="D131" s="53">
        <v>316.5</v>
      </c>
      <c r="E131" s="54"/>
      <c r="F131" s="54"/>
      <c r="G131" s="54"/>
      <c r="H131" s="54"/>
      <c r="I131" s="56">
        <f t="shared" si="4"/>
        <v>1.0399999999999978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Pin pignon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10</v>
      </c>
      <c r="B140" s="63">
        <f>36.82/2.4</f>
        <v>15.341666666666667</v>
      </c>
      <c r="C140" s="63"/>
      <c r="D140" s="63"/>
      <c r="E140" s="54"/>
      <c r="F140" s="54"/>
      <c r="G140" s="54"/>
      <c r="H140" s="54"/>
      <c r="I140" s="60">
        <f>IFERROR(B140/A140,"")</f>
        <v>1.5341666666666667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3">
        <f>(79.16+4.6)/2.4</f>
        <v>34.9</v>
      </c>
      <c r="C141" s="63"/>
      <c r="D141" s="63"/>
      <c r="E141" s="54"/>
      <c r="F141" s="54"/>
      <c r="G141" s="54"/>
      <c r="H141" s="54"/>
      <c r="I141" s="60">
        <f t="shared" ref="I141:I159" si="5">IF(A141&lt;&gt;0,(B141-(B140-D140))/(A141-A140),"")</f>
        <v>1.9558333333333331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3">
        <f>(117.39+4.6+9.5)/2.4</f>
        <v>54.787500000000009</v>
      </c>
      <c r="C142" s="63">
        <v>1</v>
      </c>
      <c r="D142" s="63">
        <f>(4.6+9.5+13.2)/2.4</f>
        <v>11.375</v>
      </c>
      <c r="E142" s="54"/>
      <c r="F142" s="54"/>
      <c r="G142" s="54"/>
      <c r="H142" s="54">
        <v>1</v>
      </c>
      <c r="I142" s="60">
        <f t="shared" si="5"/>
        <v>1.9887500000000009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40</v>
      </c>
      <c r="B143" s="63">
        <f>150.4/2.4</f>
        <v>62.666666666666671</v>
      </c>
      <c r="C143" s="63">
        <v>2</v>
      </c>
      <c r="D143" s="63">
        <f>16.8/2.4</f>
        <v>7.0000000000000009</v>
      </c>
      <c r="E143" s="54"/>
      <c r="F143" s="54"/>
      <c r="G143" s="54"/>
      <c r="H143" s="54"/>
      <c r="I143" s="60">
        <f t="shared" si="5"/>
        <v>1.9254166666666663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50</v>
      </c>
      <c r="B144" s="63">
        <f>178.53/2.4</f>
        <v>74.387500000000003</v>
      </c>
      <c r="C144" s="63">
        <v>3</v>
      </c>
      <c r="D144" s="63">
        <f>18.6/2.4</f>
        <v>7.7500000000000009</v>
      </c>
      <c r="E144" s="54"/>
      <c r="F144" s="54"/>
      <c r="G144" s="54"/>
      <c r="H144" s="54"/>
      <c r="I144" s="60">
        <f t="shared" si="5"/>
        <v>1.8720833333333331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60</v>
      </c>
      <c r="B145" s="63">
        <f>202.47/2.4</f>
        <v>84.362499999999997</v>
      </c>
      <c r="C145" s="63">
        <v>4</v>
      </c>
      <c r="D145" s="63">
        <f>19.8/2.4</f>
        <v>8.25</v>
      </c>
      <c r="E145" s="54"/>
      <c r="F145" s="54"/>
      <c r="G145" s="54"/>
      <c r="H145" s="54"/>
      <c r="I145" s="60">
        <f t="shared" si="5"/>
        <v>1.7724999999999995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70</v>
      </c>
      <c r="B146" s="63">
        <f>222.87/2.4</f>
        <v>92.862500000000011</v>
      </c>
      <c r="C146" s="63">
        <v>5</v>
      </c>
      <c r="D146" s="63">
        <f>20.4/2.4</f>
        <v>8.5</v>
      </c>
      <c r="E146" s="54"/>
      <c r="F146" s="54"/>
      <c r="G146" s="54"/>
      <c r="H146" s="54"/>
      <c r="I146" s="60">
        <f t="shared" si="5"/>
        <v>1.6750000000000014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80</v>
      </c>
      <c r="B147" s="53">
        <v>100.14583333333333</v>
      </c>
      <c r="C147" s="53">
        <v>6</v>
      </c>
      <c r="D147" s="53">
        <v>9.1666666666666679</v>
      </c>
      <c r="E147" s="54"/>
      <c r="F147" s="54"/>
      <c r="G147" s="54"/>
      <c r="H147" s="54"/>
      <c r="I147" s="60">
        <f>IF(A147&lt;&gt;0,(B147-(B146-D146))/(A147-A146),"")</f>
        <v>1.5783333333333318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90</v>
      </c>
      <c r="B148" s="53">
        <v>106.40833333333333</v>
      </c>
      <c r="C148" s="53">
        <v>7</v>
      </c>
      <c r="D148" s="53">
        <v>9.1666666666666679</v>
      </c>
      <c r="E148" s="54"/>
      <c r="F148" s="54"/>
      <c r="G148" s="54"/>
      <c r="H148" s="54"/>
      <c r="I148" s="60">
        <f t="shared" si="5"/>
        <v>1.5429166666666674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100</v>
      </c>
      <c r="B149" s="53">
        <v>111.825</v>
      </c>
      <c r="C149" s="53">
        <v>8</v>
      </c>
      <c r="D149" s="53">
        <v>9.125</v>
      </c>
      <c r="E149" s="54"/>
      <c r="F149" s="54"/>
      <c r="G149" s="54"/>
      <c r="H149" s="54"/>
      <c r="I149" s="60">
        <f t="shared" si="5"/>
        <v>1.4583333333333344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110</v>
      </c>
      <c r="B150" s="53">
        <v>116.53333333333335</v>
      </c>
      <c r="C150" s="53">
        <v>9</v>
      </c>
      <c r="D150" s="53">
        <v>9.0416666666666661</v>
      </c>
      <c r="E150" s="54"/>
      <c r="F150" s="54"/>
      <c r="G150" s="54"/>
      <c r="H150" s="54"/>
      <c r="I150" s="60">
        <f t="shared" si="5"/>
        <v>1.3833333333333342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120</v>
      </c>
      <c r="B151" s="53">
        <v>120.64166666666668</v>
      </c>
      <c r="C151" s="53">
        <v>10</v>
      </c>
      <c r="D151" s="53">
        <v>8.875</v>
      </c>
      <c r="E151" s="54"/>
      <c r="F151" s="54"/>
      <c r="G151" s="54"/>
      <c r="H151" s="54"/>
      <c r="I151" s="60">
        <f t="shared" si="5"/>
        <v>1.3150000000000006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130</v>
      </c>
      <c r="B152" s="53">
        <v>124.24166666666667</v>
      </c>
      <c r="C152" s="53">
        <v>11</v>
      </c>
      <c r="D152" s="53">
        <v>8.7083333333333339</v>
      </c>
      <c r="E152" s="54"/>
      <c r="F152" s="54"/>
      <c r="G152" s="54"/>
      <c r="H152" s="54"/>
      <c r="I152" s="60">
        <f t="shared" si="5"/>
        <v>1.2474999999999994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140</v>
      </c>
      <c r="B153" s="53">
        <v>127.41250000000001</v>
      </c>
      <c r="C153" s="53">
        <v>12</v>
      </c>
      <c r="D153" s="53">
        <v>8.5416666666666679</v>
      </c>
      <c r="E153" s="54"/>
      <c r="F153" s="54"/>
      <c r="G153" s="54"/>
      <c r="H153" s="54"/>
      <c r="I153" s="60">
        <f t="shared" si="5"/>
        <v>1.1879166666666663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150</v>
      </c>
      <c r="B154" s="53">
        <v>130.21250000000001</v>
      </c>
      <c r="C154" s="53">
        <v>13</v>
      </c>
      <c r="D154" s="53">
        <v>130.21250000000001</v>
      </c>
      <c r="E154" s="54"/>
      <c r="F154" s="54"/>
      <c r="G154" s="54"/>
      <c r="H154" s="54"/>
      <c r="I154" s="60">
        <f t="shared" si="5"/>
        <v>1.1341666666666668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Chêne-liège</v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25</v>
      </c>
      <c r="B166" s="63">
        <v>47.39</v>
      </c>
      <c r="C166" s="63">
        <v>1</v>
      </c>
      <c r="D166" s="63">
        <v>9.52</v>
      </c>
      <c r="E166" s="54"/>
      <c r="F166" s="54"/>
      <c r="G166" s="54"/>
      <c r="H166" s="54">
        <v>1</v>
      </c>
      <c r="I166" s="52">
        <f>IFERROR(B166/A166,"")</f>
        <v>1.8956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40</v>
      </c>
      <c r="B167" s="63">
        <v>115.81</v>
      </c>
      <c r="C167" s="63">
        <v>2</v>
      </c>
      <c r="D167" s="63">
        <v>11.8</v>
      </c>
      <c r="E167" s="54"/>
      <c r="F167" s="54"/>
      <c r="G167" s="54"/>
      <c r="H167" s="54"/>
      <c r="I167" s="52">
        <f t="shared" ref="I167:I185" si="6">IF(A167&lt;&gt;0,(B167-(B166-D166))/(A167-A166),"")</f>
        <v>5.1959999999999997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55</v>
      </c>
      <c r="B168" s="63">
        <v>110.73</v>
      </c>
      <c r="C168" s="63">
        <v>3</v>
      </c>
      <c r="D168" s="63">
        <v>18.309999999999999</v>
      </c>
      <c r="E168" s="54"/>
      <c r="F168" s="54"/>
      <c r="G168" s="54"/>
      <c r="H168" s="54"/>
      <c r="I168" s="52">
        <f t="shared" si="6"/>
        <v>0.4479999999999999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70</v>
      </c>
      <c r="B169" s="63">
        <v>158.02000000000001</v>
      </c>
      <c r="C169" s="63">
        <v>4</v>
      </c>
      <c r="D169" s="63">
        <v>24.48</v>
      </c>
      <c r="E169" s="54"/>
      <c r="F169" s="54"/>
      <c r="G169" s="54"/>
      <c r="H169" s="54"/>
      <c r="I169" s="52">
        <f t="shared" si="6"/>
        <v>4.373333333333334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100</v>
      </c>
      <c r="B170" s="63">
        <v>267.73</v>
      </c>
      <c r="C170" s="63">
        <v>5</v>
      </c>
      <c r="D170" s="63">
        <v>38.25</v>
      </c>
      <c r="E170" s="54"/>
      <c r="F170" s="54"/>
      <c r="G170" s="54"/>
      <c r="H170" s="54"/>
      <c r="I170" s="52">
        <f t="shared" si="6"/>
        <v>4.4729999999999999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130</v>
      </c>
      <c r="B171" s="63">
        <v>364.06</v>
      </c>
      <c r="C171" s="63">
        <v>6</v>
      </c>
      <c r="D171" s="63">
        <v>49.83</v>
      </c>
      <c r="E171" s="54"/>
      <c r="F171" s="54"/>
      <c r="G171" s="54"/>
      <c r="H171" s="54"/>
      <c r="I171" s="52">
        <f t="shared" si="6"/>
        <v>4.4859999999999998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160</v>
      </c>
      <c r="B172" s="63">
        <v>436.27</v>
      </c>
      <c r="C172" s="63">
        <v>7</v>
      </c>
      <c r="D172" s="63">
        <v>58.34</v>
      </c>
      <c r="E172" s="54"/>
      <c r="F172" s="54"/>
      <c r="G172" s="54"/>
      <c r="H172" s="54"/>
      <c r="I172" s="52">
        <f t="shared" si="6"/>
        <v>4.0679999999999987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200</v>
      </c>
      <c r="B173" s="53">
        <v>510.38</v>
      </c>
      <c r="C173" s="53">
        <v>8</v>
      </c>
      <c r="D173" s="53">
        <f>B173</f>
        <v>510.38</v>
      </c>
      <c r="E173" s="54"/>
      <c r="F173" s="54"/>
      <c r="G173" s="54"/>
      <c r="H173" s="54"/>
      <c r="I173" s="52">
        <f t="shared" si="6"/>
        <v>3.3112500000000011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63"/>
      <c r="B174" s="291"/>
      <c r="C174" s="63"/>
      <c r="D174" s="291"/>
      <c r="E174" s="66"/>
      <c r="F174" s="66"/>
      <c r="G174" s="66"/>
      <c r="H174" s="66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63"/>
      <c r="B175" s="291"/>
      <c r="C175" s="63"/>
      <c r="D175" s="291"/>
      <c r="E175" s="66"/>
      <c r="F175" s="66"/>
      <c r="G175" s="66"/>
      <c r="H175" s="66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63"/>
      <c r="B176" s="291"/>
      <c r="C176" s="63"/>
      <c r="D176" s="291"/>
      <c r="E176" s="66"/>
      <c r="F176" s="66"/>
      <c r="G176" s="66"/>
      <c r="H176" s="66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63"/>
      <c r="B177" s="291"/>
      <c r="C177" s="63"/>
      <c r="D177" s="291"/>
      <c r="E177" s="66"/>
      <c r="F177" s="66"/>
      <c r="G177" s="66"/>
      <c r="H177" s="66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63"/>
      <c r="B178" s="291"/>
      <c r="C178" s="63"/>
      <c r="D178" s="291"/>
      <c r="E178" s="67"/>
      <c r="F178" s="67"/>
      <c r="G178" s="67"/>
      <c r="H178" s="67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63"/>
      <c r="B179" s="291"/>
      <c r="C179" s="63"/>
      <c r="D179" s="291"/>
      <c r="E179" s="57"/>
      <c r="F179" s="57"/>
      <c r="G179" s="57"/>
      <c r="H179" s="57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63"/>
      <c r="B180" s="292"/>
      <c r="C180" s="63"/>
      <c r="D180" s="292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292"/>
      <c r="C181" s="53"/>
      <c r="D181" s="292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292"/>
      <c r="C182" s="53"/>
      <c r="D182" s="292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292"/>
      <c r="C183" s="53"/>
      <c r="D183" s="292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292"/>
      <c r="C184" s="53"/>
      <c r="D184" s="292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Pin de Salzmann</v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29</v>
      </c>
      <c r="B192" s="63">
        <v>145</v>
      </c>
      <c r="C192" s="63">
        <v>1</v>
      </c>
      <c r="D192" s="63">
        <v>52</v>
      </c>
      <c r="E192" s="54"/>
      <c r="F192" s="54">
        <v>0.2</v>
      </c>
      <c r="G192" s="54">
        <v>0.4</v>
      </c>
      <c r="H192" s="66">
        <v>0.4</v>
      </c>
      <c r="I192" s="52">
        <f>IFERROR(B192/A192,"")</f>
        <v>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38</v>
      </c>
      <c r="B193" s="63">
        <v>208</v>
      </c>
      <c r="C193" s="63">
        <v>2</v>
      </c>
      <c r="D193" s="63">
        <v>73</v>
      </c>
      <c r="E193" s="66"/>
      <c r="F193" s="66"/>
      <c r="G193" s="66"/>
      <c r="H193" s="66"/>
      <c r="I193" s="52">
        <f t="shared" ref="I193:I211" si="7">IF(A193&lt;&gt;0,(B193-(B192-D192))/(A193-A192),"")</f>
        <v>12.777777777777779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49</v>
      </c>
      <c r="B194" s="63">
        <v>276</v>
      </c>
      <c r="C194" s="63">
        <v>3</v>
      </c>
      <c r="D194" s="63">
        <v>94</v>
      </c>
      <c r="E194" s="66"/>
      <c r="F194" s="66"/>
      <c r="G194" s="66"/>
      <c r="H194" s="66"/>
      <c r="I194" s="52">
        <f t="shared" si="7"/>
        <v>12.818181818181818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57</v>
      </c>
      <c r="B195" s="63">
        <v>308</v>
      </c>
      <c r="C195" s="63">
        <v>4</v>
      </c>
      <c r="D195" s="63">
        <v>98</v>
      </c>
      <c r="E195" s="66"/>
      <c r="F195" s="66"/>
      <c r="G195" s="66"/>
      <c r="H195" s="66"/>
      <c r="I195" s="52">
        <f t="shared" si="7"/>
        <v>15.75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67</v>
      </c>
      <c r="B196" s="63">
        <v>338</v>
      </c>
      <c r="C196" s="63">
        <v>5</v>
      </c>
      <c r="D196" s="63">
        <v>101</v>
      </c>
      <c r="E196" s="66"/>
      <c r="F196" s="66"/>
      <c r="G196" s="66"/>
      <c r="H196" s="66"/>
      <c r="I196" s="52">
        <f t="shared" si="7"/>
        <v>12.8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78</v>
      </c>
      <c r="B197" s="63">
        <v>366</v>
      </c>
      <c r="C197" s="63">
        <v>6</v>
      </c>
      <c r="D197" s="63">
        <v>100</v>
      </c>
      <c r="E197" s="66"/>
      <c r="F197" s="66"/>
      <c r="G197" s="66"/>
      <c r="H197" s="66"/>
      <c r="I197" s="52">
        <f t="shared" si="7"/>
        <v>11.727272727272727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8">
        <v>91</v>
      </c>
      <c r="B198" s="63">
        <v>394</v>
      </c>
      <c r="C198" s="63">
        <v>7</v>
      </c>
      <c r="D198" s="63">
        <f>B198</f>
        <v>394</v>
      </c>
      <c r="E198" s="66"/>
      <c r="F198" s="66"/>
      <c r="G198" s="66"/>
      <c r="H198" s="66"/>
      <c r="I198" s="52">
        <f t="shared" si="7"/>
        <v>9.8461538461538467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Erable champêtre</v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20</v>
      </c>
      <c r="B218" s="63">
        <v>18</v>
      </c>
      <c r="C218" s="63"/>
      <c r="D218" s="63"/>
      <c r="E218" s="54"/>
      <c r="F218" s="54"/>
      <c r="G218" s="54"/>
      <c r="H218" s="66"/>
      <c r="I218" s="56">
        <f>IFERROR(B218/A218,"")</f>
        <v>0.9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25</v>
      </c>
      <c r="B219" s="63">
        <f>53+3</f>
        <v>56</v>
      </c>
      <c r="C219" s="63"/>
      <c r="D219" s="63"/>
      <c r="E219" s="66"/>
      <c r="F219" s="66"/>
      <c r="G219" s="66"/>
      <c r="H219" s="66"/>
      <c r="I219" s="56">
        <f t="shared" ref="I219:I237" si="8">IF(A219&lt;&gt;0,(B219-(B218-D218))/(A219-A218),"")</f>
        <v>7.6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30</v>
      </c>
      <c r="B220" s="63">
        <f>76+3+14</f>
        <v>93</v>
      </c>
      <c r="C220" s="63">
        <v>1</v>
      </c>
      <c r="D220" s="63">
        <f>3+14+14</f>
        <v>31</v>
      </c>
      <c r="E220" s="66"/>
      <c r="F220" s="66"/>
      <c r="G220" s="66"/>
      <c r="H220" s="66">
        <v>1</v>
      </c>
      <c r="I220" s="56">
        <f t="shared" si="8"/>
        <v>7.4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35</v>
      </c>
      <c r="B221" s="63">
        <v>95</v>
      </c>
      <c r="C221" s="63"/>
      <c r="D221" s="63"/>
      <c r="E221" s="66"/>
      <c r="F221" s="66"/>
      <c r="G221" s="66"/>
      <c r="H221" s="66"/>
      <c r="I221" s="56">
        <f t="shared" si="8"/>
        <v>6.6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40</v>
      </c>
      <c r="B222" s="63">
        <f>109+14</f>
        <v>123</v>
      </c>
      <c r="C222" s="63">
        <v>2</v>
      </c>
      <c r="D222" s="63">
        <f>14+14</f>
        <v>28</v>
      </c>
      <c r="E222" s="66"/>
      <c r="F222" s="66"/>
      <c r="G222" s="66"/>
      <c r="H222" s="66"/>
      <c r="I222" s="56">
        <f t="shared" si="8"/>
        <v>5.6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45</v>
      </c>
      <c r="B223" s="63">
        <v>120</v>
      </c>
      <c r="C223" s="63"/>
      <c r="D223" s="63"/>
      <c r="E223" s="66"/>
      <c r="F223" s="66"/>
      <c r="G223" s="66"/>
      <c r="H223" s="66"/>
      <c r="I223" s="56">
        <f t="shared" si="8"/>
        <v>5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50</v>
      </c>
      <c r="B224" s="63">
        <f>127+14</f>
        <v>141</v>
      </c>
      <c r="C224" s="63">
        <v>3</v>
      </c>
      <c r="D224" s="63">
        <f>14+11</f>
        <v>25</v>
      </c>
      <c r="E224" s="66"/>
      <c r="F224" s="66"/>
      <c r="G224" s="66"/>
      <c r="H224" s="66"/>
      <c r="I224" s="56">
        <f t="shared" si="8"/>
        <v>4.2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>
        <v>55</v>
      </c>
      <c r="B225" s="58">
        <v>133</v>
      </c>
      <c r="C225" s="58"/>
      <c r="D225" s="58"/>
      <c r="E225" s="66"/>
      <c r="F225" s="66"/>
      <c r="G225" s="66"/>
      <c r="H225" s="66"/>
      <c r="I225" s="56">
        <f t="shared" si="8"/>
        <v>3.4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>
        <v>60</v>
      </c>
      <c r="B226" s="58">
        <v>149</v>
      </c>
      <c r="C226" s="58">
        <v>4</v>
      </c>
      <c r="D226" s="58">
        <v>16</v>
      </c>
      <c r="E226" s="66"/>
      <c r="F226" s="66"/>
      <c r="G226" s="66"/>
      <c r="H226" s="66"/>
      <c r="I226" s="56">
        <f t="shared" si="8"/>
        <v>3.2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>
        <v>65</v>
      </c>
      <c r="B227" s="58">
        <v>146</v>
      </c>
      <c r="C227" s="58"/>
      <c r="D227" s="58"/>
      <c r="E227" s="66"/>
      <c r="F227" s="66"/>
      <c r="G227" s="66"/>
      <c r="H227" s="66"/>
      <c r="I227" s="56">
        <f t="shared" si="8"/>
        <v>2.6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>
        <v>70</v>
      </c>
      <c r="B228" s="58">
        <v>157</v>
      </c>
      <c r="C228" s="58">
        <v>5</v>
      </c>
      <c r="D228" s="58">
        <v>11</v>
      </c>
      <c r="E228" s="66"/>
      <c r="F228" s="66"/>
      <c r="G228" s="66"/>
      <c r="H228" s="66"/>
      <c r="I228" s="56">
        <f t="shared" si="8"/>
        <v>2.2000000000000002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>
        <v>75</v>
      </c>
      <c r="B229" s="58">
        <v>155</v>
      </c>
      <c r="C229" s="58"/>
      <c r="D229" s="58"/>
      <c r="E229" s="66"/>
      <c r="F229" s="66"/>
      <c r="G229" s="66"/>
      <c r="H229" s="66"/>
      <c r="I229" s="56">
        <f t="shared" si="8"/>
        <v>1.8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>
        <v>80</v>
      </c>
      <c r="B230" s="58">
        <v>164</v>
      </c>
      <c r="C230" s="58">
        <v>6</v>
      </c>
      <c r="D230" s="58">
        <v>164</v>
      </c>
      <c r="E230" s="67"/>
      <c r="F230" s="67"/>
      <c r="G230" s="67"/>
      <c r="H230" s="67"/>
      <c r="I230" s="56">
        <f t="shared" si="8"/>
        <v>1.8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53"/>
      <c r="B231" s="53"/>
      <c r="C231" s="53"/>
      <c r="D231" s="53"/>
      <c r="E231" s="54"/>
      <c r="F231" s="54"/>
      <c r="G231" s="54"/>
      <c r="H231" s="54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4"/>
      <c r="F232" s="54"/>
      <c r="G232" s="54"/>
      <c r="H232" s="54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292"/>
      <c r="C233" s="53"/>
      <c r="D233" s="292"/>
      <c r="E233" s="54"/>
      <c r="F233" s="54"/>
      <c r="G233" s="54"/>
      <c r="H233" s="54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292"/>
      <c r="C234" s="53"/>
      <c r="D234" s="292"/>
      <c r="E234" s="54"/>
      <c r="F234" s="54"/>
      <c r="G234" s="54"/>
      <c r="H234" s="54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292"/>
      <c r="C235" s="53"/>
      <c r="D235" s="292"/>
      <c r="E235" s="54"/>
      <c r="F235" s="54"/>
      <c r="G235" s="54"/>
      <c r="H235" s="54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292"/>
      <c r="C236" s="53"/>
      <c r="D236" s="292"/>
      <c r="E236" s="54"/>
      <c r="F236" s="54"/>
      <c r="G236" s="54"/>
      <c r="H236" s="54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4"/>
      <c r="F237" s="54"/>
      <c r="G237" s="54"/>
      <c r="H237" s="54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Aulne à feuilles en cœur</v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15</v>
      </c>
      <c r="B244" s="63">
        <f>19+2</f>
        <v>21</v>
      </c>
      <c r="C244" s="63"/>
      <c r="D244" s="63"/>
      <c r="E244" s="54"/>
      <c r="F244" s="54"/>
      <c r="G244" s="54"/>
      <c r="H244" s="66"/>
      <c r="I244" s="56">
        <f>IFERROR(B244/A244,"")</f>
        <v>1.4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20</v>
      </c>
      <c r="B245" s="63">
        <f>47+2+5</f>
        <v>54</v>
      </c>
      <c r="C245" s="63"/>
      <c r="D245" s="63"/>
      <c r="E245" s="66"/>
      <c r="F245" s="66"/>
      <c r="G245" s="66"/>
      <c r="H245" s="66"/>
      <c r="I245" s="56">
        <f>IF(A245&lt;&gt;0,(B245-(B244-D244))/(A245-A244),"")</f>
        <v>6.6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25</v>
      </c>
      <c r="B246" s="63">
        <f>63+2+5+11</f>
        <v>81</v>
      </c>
      <c r="C246" s="63">
        <v>1</v>
      </c>
      <c r="D246" s="63">
        <f>2+5+11</f>
        <v>18</v>
      </c>
      <c r="E246" s="66"/>
      <c r="F246" s="66"/>
      <c r="G246" s="66"/>
      <c r="H246" s="66">
        <v>1</v>
      </c>
      <c r="I246" s="56">
        <f>IF(A246&lt;&gt;0,(B246-(B245-D245))/(A246-A245),"")</f>
        <v>5.4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30</v>
      </c>
      <c r="B247" s="63">
        <f>76+13</f>
        <v>89</v>
      </c>
      <c r="C247" s="63"/>
      <c r="D247" s="63"/>
      <c r="E247" s="66"/>
      <c r="F247" s="66"/>
      <c r="G247" s="66"/>
      <c r="H247" s="66"/>
      <c r="I247" s="56">
        <f t="shared" ref="I247:I263" si="9">IF(A247&lt;&gt;0,(B247-(B246-D246))/(A247-A246),"")</f>
        <v>5.2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35</v>
      </c>
      <c r="B248" s="63">
        <f>86+13+14</f>
        <v>113</v>
      </c>
      <c r="C248" s="63">
        <v>2</v>
      </c>
      <c r="D248" s="63">
        <f>13+14</f>
        <v>27</v>
      </c>
      <c r="E248" s="66"/>
      <c r="F248" s="66"/>
      <c r="G248" s="66"/>
      <c r="H248" s="66"/>
      <c r="I248" s="56">
        <f t="shared" si="9"/>
        <v>4.8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40</v>
      </c>
      <c r="B249" s="63">
        <f>95+15</f>
        <v>110</v>
      </c>
      <c r="C249" s="63"/>
      <c r="D249" s="63"/>
      <c r="E249" s="66"/>
      <c r="F249" s="66"/>
      <c r="G249" s="66"/>
      <c r="H249" s="66"/>
      <c r="I249" s="56">
        <f t="shared" si="9"/>
        <v>4.8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>
        <v>45</v>
      </c>
      <c r="B250" s="63">
        <f>103+15+15</f>
        <v>133</v>
      </c>
      <c r="C250" s="63">
        <v>3</v>
      </c>
      <c r="D250" s="63">
        <f>15+15</f>
        <v>30</v>
      </c>
      <c r="E250" s="66"/>
      <c r="F250" s="66"/>
      <c r="G250" s="66"/>
      <c r="H250" s="66"/>
      <c r="I250" s="56">
        <f t="shared" si="9"/>
        <v>4.5999999999999996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>
        <v>50</v>
      </c>
      <c r="B251" s="58">
        <f>109+15</f>
        <v>124</v>
      </c>
      <c r="C251" s="58"/>
      <c r="D251" s="58"/>
      <c r="E251" s="66"/>
      <c r="F251" s="66"/>
      <c r="G251" s="66"/>
      <c r="H251" s="66"/>
      <c r="I251" s="56">
        <f t="shared" si="9"/>
        <v>4.2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>
        <v>55</v>
      </c>
      <c r="B252" s="58">
        <f>114+15+14</f>
        <v>143</v>
      </c>
      <c r="C252" s="58">
        <v>4</v>
      </c>
      <c r="D252" s="58">
        <f>15+14</f>
        <v>29</v>
      </c>
      <c r="E252" s="66"/>
      <c r="F252" s="66"/>
      <c r="G252" s="66"/>
      <c r="H252" s="66"/>
      <c r="I252" s="56">
        <f t="shared" si="9"/>
        <v>3.8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>
        <v>60</v>
      </c>
      <c r="B253" s="58">
        <f>119+14</f>
        <v>133</v>
      </c>
      <c r="C253" s="58"/>
      <c r="D253" s="58"/>
      <c r="E253" s="66"/>
      <c r="F253" s="66"/>
      <c r="G253" s="66"/>
      <c r="H253" s="66"/>
      <c r="I253" s="56">
        <f t="shared" si="9"/>
        <v>3.8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>
        <v>65</v>
      </c>
      <c r="B254" s="58">
        <f>123+14+13</f>
        <v>150</v>
      </c>
      <c r="C254" s="58">
        <v>5</v>
      </c>
      <c r="D254" s="58">
        <f>14+13</f>
        <v>27</v>
      </c>
      <c r="E254" s="66"/>
      <c r="F254" s="66"/>
      <c r="G254" s="66"/>
      <c r="H254" s="66"/>
      <c r="I254" s="56">
        <f t="shared" si="9"/>
        <v>3.4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>
        <v>70</v>
      </c>
      <c r="B255" s="58">
        <f>127+12</f>
        <v>139</v>
      </c>
      <c r="C255" s="58"/>
      <c r="D255" s="58"/>
      <c r="E255" s="66"/>
      <c r="F255" s="66"/>
      <c r="G255" s="66"/>
      <c r="H255" s="66"/>
      <c r="I255" s="56">
        <f t="shared" si="9"/>
        <v>3.2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>
        <v>75</v>
      </c>
      <c r="B256" s="58">
        <f>130+12+11</f>
        <v>153</v>
      </c>
      <c r="C256" s="58">
        <v>6</v>
      </c>
      <c r="D256" s="58">
        <f>12+11</f>
        <v>23</v>
      </c>
      <c r="E256" s="67"/>
      <c r="F256" s="67"/>
      <c r="G256" s="67"/>
      <c r="H256" s="67"/>
      <c r="I256" s="56">
        <f t="shared" si="9"/>
        <v>2.8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>
        <v>80</v>
      </c>
      <c r="B257" s="63">
        <f>134+11</f>
        <v>145</v>
      </c>
      <c r="C257" s="94"/>
      <c r="D257" s="63"/>
      <c r="E257" s="57"/>
      <c r="F257" s="57"/>
      <c r="G257" s="57"/>
      <c r="H257" s="57"/>
      <c r="I257" s="56">
        <f t="shared" si="9"/>
        <v>3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>
        <v>85</v>
      </c>
      <c r="B258" s="53">
        <f>136+11+10</f>
        <v>157</v>
      </c>
      <c r="C258" s="53"/>
      <c r="D258" s="53"/>
      <c r="E258" s="57"/>
      <c r="F258" s="57"/>
      <c r="G258" s="57"/>
      <c r="H258" s="57"/>
      <c r="I258" s="56">
        <f t="shared" si="9"/>
        <v>2.4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>
        <v>90</v>
      </c>
      <c r="B259" s="53">
        <f>139+11+10+10</f>
        <v>170</v>
      </c>
      <c r="C259" s="53">
        <v>7</v>
      </c>
      <c r="D259" s="53">
        <f>B259</f>
        <v>170</v>
      </c>
      <c r="E259" s="57"/>
      <c r="F259" s="57"/>
      <c r="G259" s="57"/>
      <c r="H259" s="57"/>
      <c r="I259" s="56">
        <f t="shared" si="9"/>
        <v>2.6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>Micocoulier de Provence</v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>
        <v>20</v>
      </c>
      <c r="B270" s="53">
        <v>21</v>
      </c>
      <c r="C270" s="53"/>
      <c r="D270" s="53"/>
      <c r="E270" s="54"/>
      <c r="F270" s="54"/>
      <c r="G270" s="54"/>
      <c r="H270" s="54"/>
      <c r="I270" s="56">
        <f>IFERROR(B270/A270,"")</f>
        <v>1.05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>
        <v>25</v>
      </c>
      <c r="B271" s="53">
        <v>36</v>
      </c>
      <c r="C271" s="53"/>
      <c r="D271" s="53"/>
      <c r="E271" s="54"/>
      <c r="F271" s="54"/>
      <c r="G271" s="54"/>
      <c r="H271" s="54"/>
      <c r="I271" s="56">
        <f>IF(A271&lt;&gt;0,(B271-(B270-D270))/(A271-A270),"")</f>
        <v>3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>
        <v>30</v>
      </c>
      <c r="B272" s="53">
        <v>54</v>
      </c>
      <c r="C272" s="53">
        <v>1</v>
      </c>
      <c r="D272" s="53">
        <v>9</v>
      </c>
      <c r="E272" s="54"/>
      <c r="F272" s="54"/>
      <c r="G272" s="54"/>
      <c r="H272" s="54">
        <v>1</v>
      </c>
      <c r="I272" s="56">
        <f t="shared" ref="I272:I289" si="10">IF(A272&lt;&gt;0,(B272-(B271-D271))/(A272-A271),"")</f>
        <v>3.6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>
        <v>35</v>
      </c>
      <c r="B273" s="53">
        <v>63</v>
      </c>
      <c r="C273" s="53"/>
      <c r="D273" s="53"/>
      <c r="E273" s="54"/>
      <c r="F273" s="54"/>
      <c r="G273" s="54"/>
      <c r="H273" s="54"/>
      <c r="I273" s="56">
        <f t="shared" si="10"/>
        <v>3.6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>
        <v>40</v>
      </c>
      <c r="B274" s="53">
        <v>83</v>
      </c>
      <c r="C274" s="53">
        <v>2</v>
      </c>
      <c r="D274" s="53">
        <v>17</v>
      </c>
      <c r="E274" s="54"/>
      <c r="F274" s="54"/>
      <c r="G274" s="54"/>
      <c r="H274" s="54"/>
      <c r="I274" s="56">
        <f t="shared" si="10"/>
        <v>4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>
        <v>45</v>
      </c>
      <c r="B275" s="53">
        <v>85</v>
      </c>
      <c r="C275" s="53"/>
      <c r="D275" s="53"/>
      <c r="E275" s="54"/>
      <c r="F275" s="54"/>
      <c r="G275" s="54"/>
      <c r="H275" s="54"/>
      <c r="I275" s="56">
        <f t="shared" si="10"/>
        <v>3.8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>
        <v>50</v>
      </c>
      <c r="B276" s="53">
        <v>104</v>
      </c>
      <c r="C276" s="53">
        <v>3</v>
      </c>
      <c r="D276" s="53">
        <v>18</v>
      </c>
      <c r="E276" s="54"/>
      <c r="F276" s="54"/>
      <c r="G276" s="54"/>
      <c r="H276" s="54"/>
      <c r="I276" s="56">
        <f t="shared" si="10"/>
        <v>3.8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63">
        <v>55</v>
      </c>
      <c r="B277" s="291">
        <f>96+10</f>
        <v>106</v>
      </c>
      <c r="C277" s="63"/>
      <c r="D277" s="291"/>
      <c r="E277" s="66"/>
      <c r="F277" s="66"/>
      <c r="G277" s="66"/>
      <c r="H277" s="66"/>
      <c r="I277" s="56">
        <f t="shared" si="10"/>
        <v>4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63">
        <v>60</v>
      </c>
      <c r="B278" s="291">
        <f>105+10+10</f>
        <v>125</v>
      </c>
      <c r="C278" s="63">
        <v>4</v>
      </c>
      <c r="D278" s="291">
        <f>10+10</f>
        <v>20</v>
      </c>
      <c r="E278" s="66"/>
      <c r="F278" s="66"/>
      <c r="G278" s="66"/>
      <c r="H278" s="66"/>
      <c r="I278" s="56">
        <f t="shared" si="10"/>
        <v>3.8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63">
        <v>65</v>
      </c>
      <c r="B279" s="291">
        <f>114+10</f>
        <v>124</v>
      </c>
      <c r="C279" s="63"/>
      <c r="D279" s="291"/>
      <c r="E279" s="66"/>
      <c r="F279" s="66"/>
      <c r="G279" s="66"/>
      <c r="H279" s="66"/>
      <c r="I279" s="56">
        <f t="shared" si="10"/>
        <v>3.8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63">
        <v>70</v>
      </c>
      <c r="B280" s="291">
        <f>122+10+10</f>
        <v>142</v>
      </c>
      <c r="C280" s="63">
        <v>5</v>
      </c>
      <c r="D280" s="291">
        <f>10+10</f>
        <v>20</v>
      </c>
      <c r="E280" s="66"/>
      <c r="F280" s="66"/>
      <c r="G280" s="66"/>
      <c r="H280" s="66"/>
      <c r="I280" s="56">
        <f t="shared" si="10"/>
        <v>3.6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63">
        <v>75</v>
      </c>
      <c r="B281" s="291">
        <f>129+10</f>
        <v>139</v>
      </c>
      <c r="C281" s="63"/>
      <c r="D281" s="291"/>
      <c r="E281" s="66"/>
      <c r="F281" s="66"/>
      <c r="G281" s="66"/>
      <c r="H281" s="66"/>
      <c r="I281" s="56">
        <f t="shared" si="10"/>
        <v>3.4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63">
        <v>80</v>
      </c>
      <c r="B282" s="291">
        <f>137+10+9</f>
        <v>156</v>
      </c>
      <c r="C282" s="63">
        <v>6</v>
      </c>
      <c r="D282" s="291">
        <f>10+9</f>
        <v>19</v>
      </c>
      <c r="E282" s="67"/>
      <c r="F282" s="67"/>
      <c r="G282" s="67"/>
      <c r="H282" s="67"/>
      <c r="I282" s="56">
        <f t="shared" si="10"/>
        <v>3.4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63">
        <v>85</v>
      </c>
      <c r="B283" s="291">
        <f>143+9</f>
        <v>152</v>
      </c>
      <c r="C283" s="63"/>
      <c r="D283" s="291"/>
      <c r="E283" s="57"/>
      <c r="F283" s="57"/>
      <c r="G283" s="57"/>
      <c r="H283" s="57"/>
      <c r="I283" s="56">
        <f t="shared" si="10"/>
        <v>3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63">
        <v>90</v>
      </c>
      <c r="B284" s="292">
        <v>168</v>
      </c>
      <c r="C284" s="63">
        <v>7</v>
      </c>
      <c r="D284" s="292">
        <v>18</v>
      </c>
      <c r="E284" s="54"/>
      <c r="F284" s="54"/>
      <c r="G284" s="54"/>
      <c r="H284" s="54"/>
      <c r="I284" s="56">
        <f t="shared" si="10"/>
        <v>3.2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>
        <v>95</v>
      </c>
      <c r="B285" s="292">
        <v>164</v>
      </c>
      <c r="C285" s="53"/>
      <c r="D285" s="292"/>
      <c r="E285" s="54"/>
      <c r="F285" s="54"/>
      <c r="G285" s="54"/>
      <c r="H285" s="54"/>
      <c r="I285" s="56">
        <f t="shared" si="10"/>
        <v>2.8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>
        <v>100</v>
      </c>
      <c r="B286" s="292">
        <v>179</v>
      </c>
      <c r="C286" s="53">
        <v>8</v>
      </c>
      <c r="D286" s="292">
        <v>18</v>
      </c>
      <c r="E286" s="54"/>
      <c r="F286" s="54"/>
      <c r="G286" s="54"/>
      <c r="H286" s="54"/>
      <c r="I286" s="56">
        <f t="shared" si="10"/>
        <v>3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>
        <v>105</v>
      </c>
      <c r="B287" s="292">
        <v>175</v>
      </c>
      <c r="C287" s="53"/>
      <c r="D287" s="292"/>
      <c r="E287" s="54"/>
      <c r="F287" s="54"/>
      <c r="G287" s="54"/>
      <c r="H287" s="54"/>
      <c r="I287" s="56">
        <f t="shared" si="10"/>
        <v>2.8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>
        <v>110</v>
      </c>
      <c r="B288" s="292">
        <v>190</v>
      </c>
      <c r="C288" s="53">
        <v>9</v>
      </c>
      <c r="D288" s="292">
        <v>19</v>
      </c>
      <c r="E288" s="54"/>
      <c r="F288" s="54"/>
      <c r="G288" s="54"/>
      <c r="H288" s="54"/>
      <c r="I288" s="56">
        <f t="shared" si="10"/>
        <v>3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>
        <v>120</v>
      </c>
      <c r="B289" s="53">
        <v>201</v>
      </c>
      <c r="C289" s="53">
        <v>10</v>
      </c>
      <c r="D289" s="53">
        <v>201</v>
      </c>
      <c r="E289" s="54"/>
      <c r="F289" s="54"/>
      <c r="G289" s="54"/>
      <c r="H289" s="54"/>
      <c r="I289" s="56">
        <f t="shared" si="10"/>
        <v>3</v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1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Cormier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d'Alep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Cèdre de l'Atlas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Cyprès de Provence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Pin pignon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>Chêne-liège</v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>Pin de Salzmann</v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>Erable champêtre</v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>Aulne à feuilles en cœur</v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>Micocoulier de Provence</v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236.98575892380046</v>
      </c>
      <c r="T3" s="62">
        <f>IF('Données projet'!E9&gt;30,$R$33-$H$33,LOOKUP('Données projet'!$E$9,$A$3:$A$203,R3:R203)-LOOKUP('Données projet'!$E$9,$A$3:$A$203,$H$3:$H$203))</f>
        <v>145.77678223659774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140.04898296125504</v>
      </c>
      <c r="AO3" s="62">
        <f>IF('Données projet'!E10&gt;30,$AM$33-$H$33,LOOKUP('Données projet'!$E$10,$A$3:$A$203,AM3:AM203)-LOOKUP('Données projet'!$E$10,$A$3:$A$203,$H$3:$H$203))</f>
        <v>129.5395511270716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207.84100251878419</v>
      </c>
      <c r="BJ3" s="62">
        <f>IF('Données projet'!E11&gt;30,$BH$33-$H$33,LOOKUP('Données projet'!$E$11,$A$3:$A$203,BH3:BH203)-LOOKUP('Données projet'!$E$11,$A$3:$A$203,$H$3:$H$203))</f>
        <v>124.34917784241952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211.05980622218578</v>
      </c>
      <c r="CE3" s="62">
        <f>IF('Données projet'!E12&gt;30,$CC$33-$H$33,LOOKUP('Données projet'!$E$12,$A$3:$A$203,CC3:CC203)-LOOKUP('Données projet'!$E$12,$A$3:$A$203,$H$3:$H$203))</f>
        <v>168.57746894604855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191.79777926975839</v>
      </c>
      <c r="CZ3" s="62">
        <f>IF('Données projet'!E13&gt;30,$CX$33-$H$33,LOOKUP('Données projet'!$E$13,$A$3:$A$203,CX3:CX203)-LOOKUP('Données projet'!$E$13,$A$3:$A$203,$H$3:$H$203))</f>
        <v>156.66161375678712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541.0854688453461</v>
      </c>
      <c r="DU3" s="62">
        <f>IF('Données projet'!E14&gt;30,$DS$33-$H$33,LOOKUP('Données projet'!$E$14,$A$3:$A$203,DS3:DS203)-LOOKUP('Données projet'!$E$14,$A$3:$A$203,$H$3:$H$203))</f>
        <v>171.04847168584473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244.01698421598974</v>
      </c>
      <c r="EP3" s="62">
        <f>IF('Données projet'!E15&gt;30,$EN$33-$H$33,LOOKUP('Données projet'!$E$15,$A$3:$A$203,EN3:EN203)-LOOKUP('Données projet'!$E$15,$A$3:$A$203,$H$3:$H$203))</f>
        <v>156.96653202915024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175.08726167127026</v>
      </c>
      <c r="FK3" s="62">
        <f>IF('Données projet'!E16&gt;30,$FI$33-$H$33,LOOKUP('Données projet'!$E$16,$A$3:$A$203,FI3:FI203)-LOOKUP('Données projet'!$E$16,$A$3:$A$203,$H$3:$H$203))</f>
        <v>196.05343924817117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142.93037460866543</v>
      </c>
      <c r="GF3" s="62">
        <f>IF('Données projet'!E17&gt;30,$GD$33-$H$33,LOOKUP('Données projet'!$E$17,$A$3:$A$203,GD3:GD203)-LOOKUP('Données projet'!$E$17,$A$3:$A$203,$H$3:$H$203))</f>
        <v>146.18554498808049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256.66666666666669</v>
      </c>
      <c r="GZ3" s="62">
        <f ca="1">AVERAGE(OFFSET($GY$3,0,0,'Données projet'!$E$18+1,1))-AVERAGE(OFFSET($H$3,0,0,'Données projet'!$E$18+1,1))</f>
        <v>188.08607733149256</v>
      </c>
      <c r="HA3" s="62">
        <f>IF('Données projet'!E18&gt;30,$GY$33-$H$33,LOOKUP('Données projet'!$E$18,$A$3:$A$203,GY3:GY203)-LOOKUP('Données projet'!$E$18,$A$3:$A$203,$H$3:$H$203))</f>
        <v>119.95698016603842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0.29900000000000004</v>
      </c>
      <c r="D4" s="12">
        <f>IFERROR(EXP(-1.0587+0.8836*LN(C4)+0.284),0)</f>
        <v>0.15858245136084151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3.5322154140135136</v>
      </c>
      <c r="H4" s="70">
        <f t="shared" ref="H4:H67" si="1">(B4+E4+F4)*44/12+(C4+D4)*0.475*44/12</f>
        <v>257.46362276945348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1.05</v>
      </c>
      <c r="N4" s="14">
        <f>IF('Données projet'!$A$36&gt;35,N3+M4-V3,IF(A4&lt;'Données projet'!$A$36,$K$205^A4,IF(A4='Données projet'!$A$36,'Données projet'!$B$36,N3+M4-V3)))</f>
        <v>1.1644235083052243</v>
      </c>
      <c r="O4" s="14">
        <f>N4*VLOOKUP('Données projet'!$B$9,Paramètres!$A$1:$I$89,3,0)*VLOOKUP('Données projet'!$B$9,Paramètres!$A$1:$I$89,5,0)</f>
        <v>1.2533854643397435</v>
      </c>
      <c r="P4" s="14">
        <f>EXP(-1.0587+0.8836*LN(O4)+0.284)</f>
        <v>0.56262582787929238</v>
      </c>
      <c r="Q4" s="22">
        <f t="shared" ref="Q4:Q34" si="2">(O4+P4)*0.475*44/12</f>
        <v>3.1628863339481534</v>
      </c>
      <c r="R4" s="62">
        <f t="shared" si="0"/>
        <v>261.05177522283702</v>
      </c>
      <c r="S4" s="62">
        <f ca="1">AVERAGE(OFFSET($R$3,0,0,'Données projet'!$E$9+1,1))-AVERAGE(OFFSET($H$3,0,0,'Données projet'!$E$9+1,1))</f>
        <v>236.98575892380046</v>
      </c>
      <c r="T4" s="62">
        <f>$T$3</f>
        <v>145.77678223659774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1.4025641025641027</v>
      </c>
      <c r="AI4" s="14">
        <f>IF('Données projet'!$A$62&gt;35,AI3+AH4-AQ3,IF(A4&lt;'Données projet'!$A$62,$AF$205^A4,IF(A4='Données projet'!$A$62,'Données projet'!$B$62,AI3+AH4-AQ3)))</f>
        <v>1.2251829146849735</v>
      </c>
      <c r="AJ4" s="14">
        <f>AI4*VLOOKUP('Données projet'!$B$10,Paramètres!$A$1:$I$89,3,0)*VLOOKUP('Données projet'!$B$10,Paramètres!$A$1:$I$89,5,0)</f>
        <v>0.71673200509070967</v>
      </c>
      <c r="AK4" s="14">
        <f>EXP(-1.0587+0.8836*LN(AJ4)+0.284)</f>
        <v>0.34335654603330507</v>
      </c>
      <c r="AL4" s="22">
        <f t="shared" ref="AL4:AL67" si="4">(AJ4+AK4)*0.475*44/12</f>
        <v>1.8463208932076591</v>
      </c>
      <c r="AM4" s="62">
        <f t="shared" ref="AM4:AM67" si="5">AL4+(AD4+AE4)*44/12</f>
        <v>259.73520978209649</v>
      </c>
      <c r="AN4" s="62">
        <f ca="1">AVERAGE(OFFSET($AM$3,0,0,'Données projet'!$E$10+1,1))-AVERAGE(OFFSET($H$3,0,0,'Données projet'!$E$10+1,1))</f>
        <v>140.04898296125504</v>
      </c>
      <c r="AO4" s="62">
        <f>$AO$3</f>
        <v>129.5395511270716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3.4425641025641025</v>
      </c>
      <c r="BD4" s="13">
        <f>IF('Données projet'!$A$88&gt;35,BD3+BC4-BL3,IF(A4&lt;'Données projet'!$A$88,$BA$205^A4,IF(A4='Données projet'!$A$88,'Données projet'!$B$88,BD3+BC4-BL3)))</f>
        <v>1.1671681906248585</v>
      </c>
      <c r="BE4" s="14">
        <f>BD4*VLOOKUP('Données projet'!$B$11,Paramètres!$A$1:$I$89,3,0)*VLOOKUP('Données projet'!$B$11,Paramètres!$A$1:$I$89,5,0)</f>
        <v>0.54623471321243378</v>
      </c>
      <c r="BF4" s="14">
        <f>EXP(-1.0587+0.8836*LN(BE4)+0.284)</f>
        <v>0.27008496636632595</v>
      </c>
      <c r="BG4" s="22">
        <f t="shared" ref="BG4:BG67" si="7">(BE4+BF4)*0.475*44/12</f>
        <v>1.4217567752663396</v>
      </c>
      <c r="BH4" s="62">
        <f t="shared" ref="BH4:BH67" si="8">BG4+(AY4+AZ4)*44/12</f>
        <v>259.31064566415517</v>
      </c>
      <c r="BI4" s="62">
        <f ca="1">AVERAGE(OFFSET($BH$3,0,0,'Données projet'!$E$11+1,1))-AVERAGE(OFFSET($H$3,0,0,'Données projet'!$E$11+1,1))</f>
        <v>207.84100251878419</v>
      </c>
      <c r="BJ4" s="62">
        <f>$BJ$3</f>
        <v>124.34917784241952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4.0533333333333328</v>
      </c>
      <c r="BY4" s="13">
        <f>IF('Données projet'!$A$114&gt;35,BY3+BX4-CG3,IF(A4&lt;'Données projet'!$A$114,$BV$205^A4,IF(A4='Données projet'!$A$114,'Données projet'!$B$114,BY3+BX4-CG3)))</f>
        <v>1.3150034895347604</v>
      </c>
      <c r="BZ4" s="14">
        <f>BY4*VLOOKUP('Données projet'!$B$12,Paramètres!$A$1:$I$89,3,0)*VLOOKUP('Données projet'!$B$12,Paramètres!$A$1:$I$89,5,0)</f>
        <v>0.68380181455807543</v>
      </c>
      <c r="CA4" s="14">
        <f>EXP(-1.0587+0.8836*LN(BZ4)+0.284)</f>
        <v>0.32937939902629387</v>
      </c>
      <c r="CB4" s="22">
        <f t="shared" ref="CB4:CB67" si="10">(BZ4+CA4)*0.475*44/12</f>
        <v>1.764623946992776</v>
      </c>
      <c r="CC4" s="62">
        <f t="shared" ref="CC4:CC67" si="11">CB4+(BT4+BU4)*44/12</f>
        <v>259.65351283588166</v>
      </c>
      <c r="CD4" s="62">
        <f ca="1">AVERAGE(OFFSET($CC$3,0,0,'Données projet'!$E$12+1,1))-AVERAGE(OFFSET($H$3,0,0,'Données projet'!$E$12+1,1))</f>
        <v>211.05980622218578</v>
      </c>
      <c r="CE4" s="62">
        <f>$CE$3</f>
        <v>168.57746894604855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1.5341666666666667</v>
      </c>
      <c r="CT4" s="13">
        <f>IF('Données projet'!$A$140&gt;35,CT3+CS4-DB3,IF(A4&lt;'Données projet'!$A$140,$CQ$205^A4,IF(A4='Données projet'!$A$140,'Données projet'!$B$140,CT3+CS4-DB3)))</f>
        <v>1.3139754596796083</v>
      </c>
      <c r="CU4" s="18">
        <f>CT4*VLOOKUP('Données projet'!$B$13,Paramètres!$A$1:$I$89,3,0)*VLOOKUP('Données projet'!$B$13,Paramètres!$A$1:$I$89,5,0)</f>
        <v>1.5136997295509085</v>
      </c>
      <c r="CV4" s="14">
        <f>EXP(-1.0587+0.8836*LN(CU4)+0.284)</f>
        <v>0.66471453171137918</v>
      </c>
      <c r="CW4" s="22">
        <f t="shared" ref="CW4:CW67" si="13">(CU4+CV4)*0.475*44/12</f>
        <v>3.7940715050318166</v>
      </c>
      <c r="CX4" s="62">
        <f t="shared" ref="CX4:CX67" si="14">CW4+(CO4+CP4)*44/12</f>
        <v>261.68296039392067</v>
      </c>
      <c r="CY4" s="62">
        <f ca="1">AVERAGE(OFFSET($CX$3,0,0,'Données projet'!$E$13+1,1))-AVERAGE(OFFSET($H$3,0,0,'Données projet'!$E$13+1,1))</f>
        <v>191.79777926975839</v>
      </c>
      <c r="CZ4" s="62">
        <f>$CZ$3</f>
        <v>156.66161375678712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1.8956</v>
      </c>
      <c r="DO4" s="13">
        <f>IF('Données projet'!$A$166&gt;35,DO3+DN4-DW3,IF(A4&lt;'Données projet'!$A$166,$DL$205^A4,IF(A4='Données projet'!$A$166,'Données projet'!$B$166,DO3+DN4-DW3)))</f>
        <v>1.1668834180128584</v>
      </c>
      <c r="DP4" s="18">
        <f>DO4*VLOOKUP('Données projet'!$B$14,Paramètres!$A$1:$I$89,3,0)*VLOOKUP('Données projet'!$B$14,Paramètres!$A$1:$I$89,5,0)</f>
        <v>1.2742366924700415</v>
      </c>
      <c r="DQ4" s="14">
        <f>EXP(-1.0587+0.8836*LN(DP4)+0.284)</f>
        <v>0.57088819044976935</v>
      </c>
      <c r="DR4" s="22">
        <f t="shared" ref="DR4:DR67" si="16">(DP4+DQ4)*0.475*44/12</f>
        <v>3.2135925044186702</v>
      </c>
      <c r="DS4" s="62">
        <f t="shared" ref="DS4:DS67" si="17">DR4+(DJ4+DK4)*44/12</f>
        <v>261.10248139330753</v>
      </c>
      <c r="DT4" s="62">
        <f ca="1">AVERAGE(OFFSET($DS$3,0,0,'Données projet'!$E$14+1,1))-AVERAGE(OFFSET($H$3,0,0,'Données projet'!$E$14+1,1))</f>
        <v>541.0854688453461</v>
      </c>
      <c r="DU4" s="62">
        <f>$DU$3</f>
        <v>171.04847168584473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5</v>
      </c>
      <c r="EJ4" s="13">
        <f>IF('Données projet'!$A$192&gt;35,EJ3+EI4-ER3,IF(A4&lt;'Données projet'!$A$192,$EG$205^A4,IF(A4='Données projet'!$A$192,'Données projet'!$B$192,EJ3+EI4-ER3)))</f>
        <v>1.187216519917875</v>
      </c>
      <c r="EK4" s="18">
        <f>EJ4*VLOOKUP('Données projet'!$B$15,Paramètres!$A$1:$I$89,3,0)*VLOOKUP('Données projet'!$B$15,Paramètres!$A$1:$I$89,5,0)</f>
        <v>0.70995547891088928</v>
      </c>
      <c r="EL4" s="14">
        <f>EXP(-1.0587+0.8836*LN(EK4)+0.284)</f>
        <v>0.34048648509490226</v>
      </c>
      <c r="EM4" s="22">
        <f t="shared" ref="EM4:EM67" si="19">(EK4+EL4)*0.475*44/12</f>
        <v>1.8295197539767536</v>
      </c>
      <c r="EN4" s="62">
        <f t="shared" ref="EN4:EN67" si="20">EM4+(EE4+EF4)*44/12</f>
        <v>259.7184086428656</v>
      </c>
      <c r="EO4" s="62">
        <f ca="1">AVERAGE(OFFSET($EN$3,0,0,'Données projet'!$E$15+1,1))-AVERAGE(OFFSET($H$3,0,0,'Données projet'!$E$15+1,1))</f>
        <v>244.01698421598974</v>
      </c>
      <c r="EP4" s="62">
        <f>$EP$3</f>
        <v>156.96653202915024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0.9</v>
      </c>
      <c r="FE4" s="13">
        <f>IF('Données projet'!$A$218&gt;35,FE3+FD4-FM3,IF(A4&lt;'Données projet'!$A$218,$FB$205^A4,IF(A4='Données projet'!$A$218,'Données projet'!$B$218,FE3+FD4-FM3)))</f>
        <v>1.1554831727638066</v>
      </c>
      <c r="FF4" s="18">
        <f>FE4*VLOOKUP('Données projet'!$B$16,Paramètres!$A$1:$I$89,3,0)*VLOOKUP('Données projet'!$B$16,Paramètres!$A$1:$I$89,5,0)</f>
        <v>1.0094300997264616</v>
      </c>
      <c r="FG4" s="14">
        <f>EXP(-1.0587+0.8836*LN(FF4)+0.284)</f>
        <v>0.46467984937949935</v>
      </c>
      <c r="FH4" s="22">
        <f t="shared" ref="FH4:FH67" si="22">(FF4+FG4)*0.475*44/12</f>
        <v>2.5674081613595483</v>
      </c>
      <c r="FI4" s="62">
        <f t="shared" ref="FI4:FI67" si="23">FH4+(EZ4+FA4)*44/12</f>
        <v>260.45629705024839</v>
      </c>
      <c r="FJ4" s="62">
        <f ca="1">AVERAGE(OFFSET($FI$3,0,0,'Données projet'!$E$16+1,1))-AVERAGE(OFFSET($H$3,0,0,'Données projet'!$E$16+1,1))</f>
        <v>175.08726167127026</v>
      </c>
      <c r="FK4" s="62">
        <f>$FK$3</f>
        <v>196.05343924817117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1.4</v>
      </c>
      <c r="FZ4" s="13">
        <f>IF('Données projet'!$A$244&gt;35,FZ3+FY4-GH3,IF(A4&lt;'Données projet'!$A$244,$FW$205^A4,IF(A4='Données projet'!$A$244,'Données projet'!$B$244,FZ3+FY4-GH3)))</f>
        <v>1.2250334656419144</v>
      </c>
      <c r="GA4" s="18">
        <f>FZ4*VLOOKUP('Données projet'!$B$17,Paramètres!$A$1:$I$89,3,0)*VLOOKUP('Données projet'!$B$17,Paramètres!$A$1:$I$89,5,0)</f>
        <v>0.80264192668858236</v>
      </c>
      <c r="GB4" s="14">
        <f>EXP(-1.0587+0.8836*LN(GA4)+0.284)</f>
        <v>0.37947883989283621</v>
      </c>
      <c r="GC4" s="22">
        <f t="shared" ref="GC4:GC67" si="25">(GA4+GB4)*0.475*44/12</f>
        <v>2.0588603351293044</v>
      </c>
      <c r="GD4" s="62">
        <f t="shared" ref="GD4:GD67" si="26">GC4+(FU4+FV4)*44/12</f>
        <v>259.94774922401814</v>
      </c>
      <c r="GE4" s="62">
        <f ca="1">AVERAGE(OFFSET($GD$3,0,0,'Données projet'!$E$17+1,1))-AVERAGE(OFFSET($H$3,0,0,'Données projet'!$E$17+1,1))</f>
        <v>142.93037460866543</v>
      </c>
      <c r="GF4" s="62">
        <f>$GF$3</f>
        <v>146.18554498808049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1.05</v>
      </c>
      <c r="GU4" s="13">
        <f>IF('Données projet'!$A$270&gt;35,GU3+GT4-HC3,IF(A4&lt;'Données projet'!$A$270,$GR$205^A4,IF(A4='Données projet'!$A$270,'Données projet'!$B$270,GU3+GT4-HC3)))</f>
        <v>1.1644235083052243</v>
      </c>
      <c r="GV4" s="18">
        <f>GU4*VLOOKUP('Données projet'!$B$18,Paramètres!$A$1:$I$89,3,0)*VLOOKUP('Données projet'!$B$18,Paramètres!$A$1:$I$89,5,0)</f>
        <v>0.99907537012588266</v>
      </c>
      <c r="GW4" s="14">
        <f>EXP(-1.0587+0.8836*LN(GV4)+0.284)</f>
        <v>0.46046548331165077</v>
      </c>
      <c r="GX4" s="22">
        <f t="shared" ref="GX4:GX67" si="28">(GV4+GW4)*0.475*44/12</f>
        <v>2.5420336530703707</v>
      </c>
      <c r="GY4" s="62">
        <f t="shared" ref="GY4:GY67" si="29">GX4+(GP4+GQ4)*44/12</f>
        <v>260.43092254195921</v>
      </c>
      <c r="GZ4" s="62">
        <f ca="1">AVERAGE(OFFSET($GY$3,0,0,'Données projet'!$E$18+1,1))-AVERAGE(OFFSET($H$3,0,0,'Données projet'!$E$18+1,1))</f>
        <v>188.08607733149256</v>
      </c>
      <c r="HA4" s="62">
        <f>$HA$3</f>
        <v>119.95698016603842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5" s="12">
        <f t="shared" ref="D5:D68" si="32">IFERROR(EXP(-1.0587+0.8836*LN(C5)+0.284),0)</f>
        <v>0.29258040116091422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6.8746557282596896</v>
      </c>
      <c r="H5" s="70">
        <f t="shared" si="1"/>
        <v>258.21776086535527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1.05</v>
      </c>
      <c r="N5" s="14">
        <f>IF('Données projet'!$A$36&gt;35,N4+M5-V4,IF(A5&lt;'Données projet'!$A$36,$K$205^A5,IF(A5='Données projet'!$A$36,'Données projet'!$B$36,N4+M5-V4)))</f>
        <v>1.3558821066938469</v>
      </c>
      <c r="O5" s="14">
        <f>N5*VLOOKUP('Données projet'!$B$9,Paramètres!$A$1:$I$89,3,0)*VLOOKUP('Données projet'!$B$9,Paramètres!$A$1:$I$89,5,0)</f>
        <v>1.4594714996452569</v>
      </c>
      <c r="P5" s="14">
        <f t="shared" ref="P5:P68" si="33">EXP(-1.0587+0.8836*LN(O5)+0.284)</f>
        <v>0.64362856955591685</v>
      </c>
      <c r="Q5" s="22">
        <f t="shared" si="2"/>
        <v>3.6628992871920438</v>
      </c>
      <c r="R5" s="62">
        <f t="shared" si="0"/>
        <v>262.77401039830318</v>
      </c>
      <c r="S5" s="62">
        <f ca="1">AVERAGE(OFFSET($R$3,0,0,'Données projet'!$E$9+1,1))-AVERAGE(OFFSET($H$3,0,0,'Données projet'!$E$9+1,1))</f>
        <v>236.98575892380046</v>
      </c>
      <c r="T5" s="62">
        <f t="shared" ref="T5:T68" si="34">$T$3</f>
        <v>145.77678223659774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1.4025641025641027</v>
      </c>
      <c r="AI5" s="14">
        <f>IF('Données projet'!$A$62&gt;35,AI4+AH5-AQ4,IF(A5&lt;'Données projet'!$A$62,$AF$205^A5,IF(A5='Données projet'!$A$62,'Données projet'!$B$62,AI4+AH5-AQ4)))</f>
        <v>1.5010731744359671</v>
      </c>
      <c r="AJ5" s="14">
        <f>AI5*VLOOKUP('Données projet'!$B$10,Paramètres!$A$1:$I$89,3,0)*VLOOKUP('Données projet'!$B$10,Paramètres!$A$1:$I$89,5,0)</f>
        <v>0.87812780704504079</v>
      </c>
      <c r="AK5" s="14">
        <f t="shared" ref="AK5:AK68" si="35">EXP(-1.0587+0.8836*LN(AJ5)+0.284)</f>
        <v>0.41084657890202247</v>
      </c>
      <c r="AL5" s="22">
        <f t="shared" si="4"/>
        <v>2.2449637221911352</v>
      </c>
      <c r="AM5" s="62">
        <f t="shared" si="5"/>
        <v>261.35607483330227</v>
      </c>
      <c r="AN5" s="62">
        <f ca="1">AVERAGE(OFFSET($AM$3,0,0,'Données projet'!$E$10+1,1))-AVERAGE(OFFSET($H$3,0,0,'Données projet'!$E$10+1,1))</f>
        <v>140.04898296125504</v>
      </c>
      <c r="AO5" s="62">
        <f t="shared" ref="AO5:AO68" si="36">$AO$3</f>
        <v>129.5395511270716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3.4425641025641025</v>
      </c>
      <c r="BD5" s="13">
        <f>IF('Données projet'!$A$88&gt;35,BD4+BC5-BL4,IF(A5&lt;'Données projet'!$A$88,$BA$205^A5,IF(A5='Données projet'!$A$88,'Données projet'!$B$88,BD4+BC5-BL4)))</f>
        <v>1.3622815852065062</v>
      </c>
      <c r="BE5" s="14">
        <f>BD5*VLOOKUP('Données projet'!$B$11,Paramètres!$A$1:$I$89,3,0)*VLOOKUP('Données projet'!$B$11,Paramètres!$A$1:$I$89,5,0)</f>
        <v>0.63754778187664485</v>
      </c>
      <c r="BF5" s="14">
        <f t="shared" ref="BF5:BF68" si="37">EXP(-1.0587+0.8836*LN(BE5)+0.284)</f>
        <v>0.30961323785545058</v>
      </c>
      <c r="BG5" s="22">
        <f t="shared" si="7"/>
        <v>1.6496387760333995</v>
      </c>
      <c r="BH5" s="62">
        <f t="shared" si="8"/>
        <v>260.76074988714453</v>
      </c>
      <c r="BI5" s="62">
        <f ca="1">AVERAGE(OFFSET($BH$3,0,0,'Données projet'!$E$11+1,1))-AVERAGE(OFFSET($H$3,0,0,'Données projet'!$E$11+1,1))</f>
        <v>207.84100251878419</v>
      </c>
      <c r="BJ5" s="62">
        <f t="shared" ref="BJ5:BJ68" si="38">$BJ$3</f>
        <v>124.34917784241952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4.0533333333333328</v>
      </c>
      <c r="BY5" s="13">
        <f>IF('Données projet'!$A$114&gt;35,BY4+BX5-CG4,IF(A5&lt;'Données projet'!$A$114,$BV$205^A5,IF(A5='Données projet'!$A$114,'Données projet'!$B$114,BY4+BX5-CG4)))</f>
        <v>1.7292341774885969</v>
      </c>
      <c r="BZ5" s="14">
        <f>BY5*VLOOKUP('Données projet'!$B$12,Paramètres!$A$1:$I$89,3,0)*VLOOKUP('Données projet'!$B$12,Paramètres!$A$1:$I$89,5,0)</f>
        <v>0.89920177229407039</v>
      </c>
      <c r="CA5" s="14">
        <f t="shared" ref="CA5:CA68" si="39">EXP(-1.0587+0.8836*LN(BZ5)+0.284)</f>
        <v>0.41954663902790629</v>
      </c>
      <c r="CB5" s="22">
        <f t="shared" si="10"/>
        <v>2.296820149719109</v>
      </c>
      <c r="CC5" s="62">
        <f t="shared" si="11"/>
        <v>261.40793126083025</v>
      </c>
      <c r="CD5" s="62">
        <f ca="1">AVERAGE(OFFSET($CC$3,0,0,'Données projet'!$E$12+1,1))-AVERAGE(OFFSET($H$3,0,0,'Données projet'!$E$12+1,1))</f>
        <v>211.05980622218578</v>
      </c>
      <c r="CE5" s="62">
        <f t="shared" ref="CE5:CE68" si="40">$CE$3</f>
        <v>168.57746894604855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1.5341666666666667</v>
      </c>
      <c r="CT5" s="13">
        <f>IF('Données projet'!$A$140&gt;35,CT4+CS5-DB4,IF(A5&lt;'Données projet'!$A$140,$CQ$205^A5,IF(A5='Données projet'!$A$140,'Données projet'!$B$140,CT4+CS5-DB4)))</f>
        <v>1.726531508640238</v>
      </c>
      <c r="CU5" s="18">
        <f>CT5*VLOOKUP('Données projet'!$B$13,Paramètres!$A$1:$I$89,3,0)*VLOOKUP('Données projet'!$B$13,Paramètres!$A$1:$I$89,5,0)</f>
        <v>1.988964297953554</v>
      </c>
      <c r="CV5" s="14">
        <f t="shared" ref="CV5:CV68" si="41">EXP(-1.0587+0.8836*LN(CU5)+0.284)</f>
        <v>0.84609449833706862</v>
      </c>
      <c r="CW5" s="22">
        <f t="shared" si="13"/>
        <v>4.9377274035395011</v>
      </c>
      <c r="CX5" s="62">
        <f t="shared" si="14"/>
        <v>264.04883851465064</v>
      </c>
      <c r="CY5" s="62">
        <f ca="1">AVERAGE(OFFSET($CX$3,0,0,'Données projet'!$E$13+1,1))-AVERAGE(OFFSET($H$3,0,0,'Données projet'!$E$13+1,1))</f>
        <v>191.79777926975839</v>
      </c>
      <c r="CZ5" s="62">
        <f t="shared" ref="CZ5:CZ68" si="42">$CZ$3</f>
        <v>156.66161375678712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1.8956</v>
      </c>
      <c r="DO5" s="13">
        <f>IF('Données projet'!$A$166&gt;35,DO4+DN5-DW4,IF(A5&lt;'Données projet'!$A$166,$DL$205^A5,IF(A5='Données projet'!$A$166,'Données projet'!$B$166,DO4+DN5-DW4)))</f>
        <v>1.3616169112333714</v>
      </c>
      <c r="DP5" s="18">
        <f>DO5*VLOOKUP('Données projet'!$B$14,Paramètres!$A$1:$I$89,3,0)*VLOOKUP('Données projet'!$B$14,Paramètres!$A$1:$I$89,5,0)</f>
        <v>1.4868856670668413</v>
      </c>
      <c r="DQ5" s="14">
        <f t="shared" ref="DQ5:DQ68" si="43">EXP(-1.0587+0.8836*LN(DP5)+0.284)</f>
        <v>0.65429941228033484</v>
      </c>
      <c r="DR5" s="22">
        <f t="shared" si="16"/>
        <v>3.7292306798629986</v>
      </c>
      <c r="DS5" s="62">
        <f t="shared" si="17"/>
        <v>262.84034179097415</v>
      </c>
      <c r="DT5" s="62">
        <f ca="1">AVERAGE(OFFSET($DS$3,0,0,'Données projet'!$E$14+1,1))-AVERAGE(OFFSET($H$3,0,0,'Données projet'!$E$14+1,1))</f>
        <v>541.0854688453461</v>
      </c>
      <c r="DU5" s="62">
        <f t="shared" ref="DU5:DU68" si="44">$DU$3</f>
        <v>171.04847168584473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5</v>
      </c>
      <c r="EJ5" s="13">
        <f>IF('Données projet'!$A$192&gt;35,EJ4+EI5-ER4,IF(A5&lt;'Données projet'!$A$192,$EG$205^A5,IF(A5='Données projet'!$A$192,'Données projet'!$B$192,EJ4+EI5-ER4)))</f>
        <v>1.40948306516591</v>
      </c>
      <c r="EK5" s="18">
        <f>EJ5*VLOOKUP('Données projet'!$B$15,Paramètres!$A$1:$I$89,3,0)*VLOOKUP('Données projet'!$B$15,Paramètres!$A$1:$I$89,5,0)</f>
        <v>0.84287087296921426</v>
      </c>
      <c r="EL5" s="14">
        <f t="shared" ref="EL5:EL68" si="45">EXP(-1.0587+0.8836*LN(EK5)+0.284)</f>
        <v>0.3962365424077775</v>
      </c>
      <c r="EM5" s="22">
        <f t="shared" si="19"/>
        <v>2.1581120817815935</v>
      </c>
      <c r="EN5" s="62">
        <f t="shared" si="20"/>
        <v>261.26922319289275</v>
      </c>
      <c r="EO5" s="62">
        <f ca="1">AVERAGE(OFFSET($EN$3,0,0,'Données projet'!$E$15+1,1))-AVERAGE(OFFSET($H$3,0,0,'Données projet'!$E$15+1,1))</f>
        <v>244.01698421598974</v>
      </c>
      <c r="EP5" s="62">
        <f t="shared" ref="EP5:EP68" si="46">$EP$3</f>
        <v>156.96653202915024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0.9</v>
      </c>
      <c r="FE5" s="13">
        <f>IF('Données projet'!$A$218&gt;35,FE4+FD5-FM4,IF(A5&lt;'Données projet'!$A$218,$FB$205^A5,IF(A5='Données projet'!$A$218,'Données projet'!$B$218,FE4+FD5-FM4)))</f>
        <v>1.335141362540313</v>
      </c>
      <c r="FF5" s="18">
        <f>FE5*VLOOKUP('Données projet'!$B$16,Paramètres!$A$1:$I$89,3,0)*VLOOKUP('Données projet'!$B$16,Paramètres!$A$1:$I$89,5,0)</f>
        <v>1.1663794943152175</v>
      </c>
      <c r="FG5" s="14">
        <f t="shared" ref="FG5:FG68" si="47">EXP(-1.0587+0.8836*LN(FF5)+0.284)</f>
        <v>0.52797307958445927</v>
      </c>
      <c r="FH5" s="22">
        <f t="shared" si="22"/>
        <v>2.9509973995419365</v>
      </c>
      <c r="FI5" s="62">
        <f t="shared" si="23"/>
        <v>262.0621085106531</v>
      </c>
      <c r="FJ5" s="62">
        <f ca="1">AVERAGE(OFFSET($FI$3,0,0,'Données projet'!$E$16+1,1))-AVERAGE(OFFSET($H$3,0,0,'Données projet'!$E$16+1,1))</f>
        <v>175.08726167127026</v>
      </c>
      <c r="FK5" s="62">
        <f t="shared" ref="FK5:FK68" si="48">$FK$3</f>
        <v>196.05343924817117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1.4</v>
      </c>
      <c r="FZ5" s="13">
        <f>IF('Données projet'!$A$244&gt;35,FZ4+FY5-GH4,IF(A5&lt;'Données projet'!$A$244,$FW$205^A5,IF(A5='Données projet'!$A$244,'Données projet'!$B$244,FZ4+FY5-GH4)))</f>
        <v>1.5007069919426395</v>
      </c>
      <c r="GA5" s="18">
        <f>FZ5*VLOOKUP('Données projet'!$B$17,Paramètres!$A$1:$I$89,3,0)*VLOOKUP('Données projet'!$B$17,Paramètres!$A$1:$I$89,5,0)</f>
        <v>0.98326322112081743</v>
      </c>
      <c r="GB5" s="14">
        <f t="shared" ref="GB5:GB68" si="49">EXP(-1.0587+0.8836*LN(GA5)+0.284)</f>
        <v>0.45402011617769178</v>
      </c>
      <c r="GC5" s="22">
        <f t="shared" si="25"/>
        <v>2.5032684791282365</v>
      </c>
      <c r="GD5" s="62">
        <f t="shared" si="26"/>
        <v>261.61437959023937</v>
      </c>
      <c r="GE5" s="62">
        <f ca="1">AVERAGE(OFFSET($GD$3,0,0,'Données projet'!$E$17+1,1))-AVERAGE(OFFSET($H$3,0,0,'Données projet'!$E$17+1,1))</f>
        <v>142.93037460866543</v>
      </c>
      <c r="GF5" s="62">
        <f t="shared" ref="GF5:GF68" si="50">$GF$3</f>
        <v>146.18554498808049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1.05</v>
      </c>
      <c r="GU5" s="13">
        <f>IF('Données projet'!$A$270&gt;35,GU4+GT5-HC4,IF(A5&lt;'Données projet'!$A$270,$GR$205^A5,IF(A5='Données projet'!$A$270,'Données projet'!$B$270,GU4+GT5-HC4)))</f>
        <v>1.3558821066938469</v>
      </c>
      <c r="GV5" s="18">
        <f>GU5*VLOOKUP('Données projet'!$B$18,Paramètres!$A$1:$I$89,3,0)*VLOOKUP('Données projet'!$B$18,Paramètres!$A$1:$I$89,5,0)</f>
        <v>1.1633468475433208</v>
      </c>
      <c r="GW5" s="14">
        <f t="shared" ref="GW5:GW68" si="51">EXP(-1.0587+0.8836*LN(GV5)+0.284)</f>
        <v>0.52675992758962997</v>
      </c>
      <c r="GX5" s="22">
        <f t="shared" si="28"/>
        <v>2.9436026333565555</v>
      </c>
      <c r="GY5" s="62">
        <f t="shared" si="29"/>
        <v>262.05471374446768</v>
      </c>
      <c r="GZ5" s="62">
        <f ca="1">AVERAGE(OFFSET($GY$3,0,0,'Données projet'!$E$18+1,1))-AVERAGE(OFFSET($H$3,0,0,'Données projet'!$E$18+1,1))</f>
        <v>188.08607733149256</v>
      </c>
      <c r="HA5" s="62">
        <f t="shared" ref="HA5:HA68" si="52">$HA$3</f>
        <v>119.95698016603842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0.89700000000000013</v>
      </c>
      <c r="D6" s="12">
        <f t="shared" si="32"/>
        <v>0.41863879102163881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10.155808211395108</v>
      </c>
      <c r="H6" s="70">
        <f t="shared" si="1"/>
        <v>258.95807089436272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1.05</v>
      </c>
      <c r="N6" s="14">
        <f>IF('Données projet'!$A$36&gt;35,N5+M6-V5,IF(A6&lt;'Données projet'!$A$36,$K$205^A6,IF(A6='Données projet'!$A$36,'Données projet'!$B$36,N5+M6-V5)))</f>
        <v>1.5788209995247278</v>
      </c>
      <c r="O6" s="14">
        <f>N6*VLOOKUP('Données projet'!$B$9,Paramètres!$A$1:$I$89,3,0)*VLOOKUP('Données projet'!$B$9,Paramètres!$A$1:$I$89,5,0)</f>
        <v>1.6994429238884168</v>
      </c>
      <c r="P6" s="14">
        <f t="shared" si="33"/>
        <v>0.73629349208879868</v>
      </c>
      <c r="Q6" s="22">
        <f t="shared" si="2"/>
        <v>4.2422409244936503</v>
      </c>
      <c r="R6" s="62">
        <f t="shared" si="0"/>
        <v>264.57557425782699</v>
      </c>
      <c r="S6" s="62">
        <f ca="1">AVERAGE(OFFSET($R$3,0,0,'Données projet'!$E$9+1,1))-AVERAGE(OFFSET($H$3,0,0,'Données projet'!$E$9+1,1))</f>
        <v>236.98575892380046</v>
      </c>
      <c r="T6" s="62">
        <f t="shared" si="34"/>
        <v>145.77678223659774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1.4025641025641027</v>
      </c>
      <c r="AI6" s="14">
        <f>IF('Données projet'!$A$62&gt;35,AI5+AH6-AQ5,IF(A6&lt;'Données projet'!$A$62,$AF$205^A6,IF(A6='Données projet'!$A$62,'Données projet'!$B$62,AI5+AH6-AQ5)))</f>
        <v>1.839089207010884</v>
      </c>
      <c r="AJ6" s="14">
        <f>AI6*VLOOKUP('Données projet'!$B$10,Paramètres!$A$1:$I$89,3,0)*VLOOKUP('Données projet'!$B$10,Paramètres!$A$1:$I$89,5,0)</f>
        <v>1.0758671861013671</v>
      </c>
      <c r="AK6" s="14">
        <f t="shared" si="35"/>
        <v>0.49160242711412572</v>
      </c>
      <c r="AL6" s="22">
        <f t="shared" si="4"/>
        <v>2.7300095763503163</v>
      </c>
      <c r="AM6" s="62">
        <f t="shared" si="5"/>
        <v>263.06334290968363</v>
      </c>
      <c r="AN6" s="62">
        <f ca="1">AVERAGE(OFFSET($AM$3,0,0,'Données projet'!$E$10+1,1))-AVERAGE(OFFSET($H$3,0,0,'Données projet'!$E$10+1,1))</f>
        <v>140.04898296125504</v>
      </c>
      <c r="AO6" s="62">
        <f t="shared" si="36"/>
        <v>129.5395511270716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3.4425641025641025</v>
      </c>
      <c r="BD6" s="13">
        <f>IF('Données projet'!$A$88&gt;35,BD5+BC6-BL5,IF(A6&lt;'Données projet'!$A$88,$BA$205^A6,IF(A6='Données projet'!$A$88,'Données projet'!$B$88,BD5+BC6-BL5)))</f>
        <v>1.590011732927042</v>
      </c>
      <c r="BE6" s="14">
        <f>BD6*VLOOKUP('Données projet'!$B$11,Paramètres!$A$1:$I$89,3,0)*VLOOKUP('Données projet'!$B$11,Paramètres!$A$1:$I$89,5,0)</f>
        <v>0.7441254910098557</v>
      </c>
      <c r="BF6" s="14">
        <f t="shared" si="37"/>
        <v>0.35492666750402163</v>
      </c>
      <c r="BG6" s="22">
        <f t="shared" si="7"/>
        <v>1.9141825094116696</v>
      </c>
      <c r="BH6" s="62">
        <f t="shared" si="8"/>
        <v>262.24751584274497</v>
      </c>
      <c r="BI6" s="62">
        <f ca="1">AVERAGE(OFFSET($BH$3,0,0,'Données projet'!$E$11+1,1))-AVERAGE(OFFSET($H$3,0,0,'Données projet'!$E$11+1,1))</f>
        <v>207.84100251878419</v>
      </c>
      <c r="BJ6" s="62">
        <f t="shared" si="38"/>
        <v>124.34917784241952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4.0533333333333328</v>
      </c>
      <c r="BY6" s="13">
        <f>IF('Données projet'!$A$114&gt;35,BY5+BX6-CG5,IF(A6&lt;'Données projet'!$A$114,$BV$205^A6,IF(A6='Données projet'!$A$114,'Données projet'!$B$114,BY5+BX6-CG5)))</f>
        <v>2.2739489776202761</v>
      </c>
      <c r="BZ6" s="14">
        <f>BY6*VLOOKUP('Données projet'!$B$12,Paramètres!$A$1:$I$89,3,0)*VLOOKUP('Données projet'!$B$12,Paramètres!$A$1:$I$89,5,0)</f>
        <v>1.1824534683625436</v>
      </c>
      <c r="CA6" s="14">
        <f t="shared" si="39"/>
        <v>0.53439705956097427</v>
      </c>
      <c r="CB6" s="22">
        <f t="shared" si="10"/>
        <v>2.9901813361334599</v>
      </c>
      <c r="CC6" s="62">
        <f t="shared" si="11"/>
        <v>263.32351466946676</v>
      </c>
      <c r="CD6" s="62">
        <f ca="1">AVERAGE(OFFSET($CC$3,0,0,'Données projet'!$E$12+1,1))-AVERAGE(OFFSET($H$3,0,0,'Données projet'!$E$12+1,1))</f>
        <v>211.05980622218578</v>
      </c>
      <c r="CE6" s="62">
        <f t="shared" si="40"/>
        <v>168.57746894604855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1.5341666666666667</v>
      </c>
      <c r="CT6" s="13">
        <f>IF('Données projet'!$A$140&gt;35,CT5+CS6-DB5,IF(A6&lt;'Données projet'!$A$140,$CQ$205^A6,IF(A6='Données projet'!$A$140,'Données projet'!$B$140,CT5+CS6-DB5)))</f>
        <v>2.2686200327168842</v>
      </c>
      <c r="CU6" s="18">
        <f>CT6*VLOOKUP('Données projet'!$B$13,Paramètres!$A$1:$I$89,3,0)*VLOOKUP('Données projet'!$B$13,Paramètres!$A$1:$I$89,5,0)</f>
        <v>2.6134502776898505</v>
      </c>
      <c r="CV6" s="14">
        <f t="shared" si="41"/>
        <v>1.0769674288196409</v>
      </c>
      <c r="CW6" s="22">
        <f t="shared" si="13"/>
        <v>6.4274775055040303</v>
      </c>
      <c r="CX6" s="62">
        <f t="shared" si="14"/>
        <v>266.76081083883736</v>
      </c>
      <c r="CY6" s="62">
        <f ca="1">AVERAGE(OFFSET($CX$3,0,0,'Données projet'!$E$13+1,1))-AVERAGE(OFFSET($H$3,0,0,'Données projet'!$E$13+1,1))</f>
        <v>191.79777926975839</v>
      </c>
      <c r="CZ6" s="62">
        <f t="shared" si="42"/>
        <v>156.66161375678712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1.8956</v>
      </c>
      <c r="DO6" s="13">
        <f>IF('Données projet'!$A$166&gt;35,DO5+DN6-DW5,IF(A6&lt;'Données projet'!$A$166,$DL$205^A6,IF(A6='Données projet'!$A$166,'Données projet'!$B$166,DO5+DN6-DW5)))</f>
        <v>1.5888481954041072</v>
      </c>
      <c r="DP6" s="18">
        <f>DO6*VLOOKUP('Données projet'!$B$14,Paramètres!$A$1:$I$89,3,0)*VLOOKUP('Données projet'!$B$14,Paramètres!$A$1:$I$89,5,0)</f>
        <v>1.7350222293812849</v>
      </c>
      <c r="DQ6" s="14">
        <f t="shared" si="43"/>
        <v>0.7498976648529212</v>
      </c>
      <c r="DR6" s="22">
        <f t="shared" si="16"/>
        <v>4.3279021491245757</v>
      </c>
      <c r="DS6" s="62">
        <f t="shared" si="17"/>
        <v>264.66123548245787</v>
      </c>
      <c r="DT6" s="62">
        <f ca="1">AVERAGE(OFFSET($DS$3,0,0,'Données projet'!$E$14+1,1))-AVERAGE(OFFSET($H$3,0,0,'Données projet'!$E$14+1,1))</f>
        <v>541.0854688453461</v>
      </c>
      <c r="DU6" s="62">
        <f t="shared" si="44"/>
        <v>171.04847168584473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5</v>
      </c>
      <c r="EJ6" s="13">
        <f>IF('Données projet'!$A$192&gt;35,EJ5+EI6-ER5,IF(A6&lt;'Données projet'!$A$192,$EG$205^A6,IF(A6='Données projet'!$A$192,'Données projet'!$B$192,EJ5+EI6-ER5)))</f>
        <v>1.6733615795094512</v>
      </c>
      <c r="EK6" s="18">
        <f>EJ6*VLOOKUP('Données projet'!$B$15,Paramètres!$A$1:$I$89,3,0)*VLOOKUP('Données projet'!$B$15,Paramètres!$A$1:$I$89,5,0)</f>
        <v>1.0006702245466519</v>
      </c>
      <c r="EL6" s="14">
        <f t="shared" si="45"/>
        <v>0.4611149176611507</v>
      </c>
      <c r="EM6" s="22">
        <f t="shared" si="19"/>
        <v>2.5459424560119226</v>
      </c>
      <c r="EN6" s="62">
        <f t="shared" si="20"/>
        <v>262.87927578934523</v>
      </c>
      <c r="EO6" s="62">
        <f ca="1">AVERAGE(OFFSET($EN$3,0,0,'Données projet'!$E$15+1,1))-AVERAGE(OFFSET($H$3,0,0,'Données projet'!$E$15+1,1))</f>
        <v>244.01698421598974</v>
      </c>
      <c r="EP6" s="62">
        <f t="shared" si="46"/>
        <v>156.96653202915024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0.9</v>
      </c>
      <c r="FE6" s="13">
        <f>IF('Données projet'!$A$218&gt;35,FE5+FD6-FM5,IF(A6&lt;'Données projet'!$A$218,$FB$205^A6,IF(A6='Données projet'!$A$218,'Données projet'!$B$218,FE5+FD6-FM5)))</f>
        <v>1.5427333776762726</v>
      </c>
      <c r="FF6" s="18">
        <f>FE6*VLOOKUP('Données projet'!$B$16,Paramètres!$A$1:$I$89,3,0)*VLOOKUP('Données projet'!$B$16,Paramètres!$A$1:$I$89,5,0)</f>
        <v>1.3477318787379919</v>
      </c>
      <c r="FG6" s="14">
        <f t="shared" si="47"/>
        <v>0.59988737006377257</v>
      </c>
      <c r="FH6" s="22">
        <f t="shared" si="22"/>
        <v>3.3921035249964064</v>
      </c>
      <c r="FI6" s="62">
        <f t="shared" si="23"/>
        <v>263.72543685832972</v>
      </c>
      <c r="FJ6" s="62">
        <f ca="1">AVERAGE(OFFSET($FI$3,0,0,'Données projet'!$E$16+1,1))-AVERAGE(OFFSET($H$3,0,0,'Données projet'!$E$16+1,1))</f>
        <v>175.08726167127026</v>
      </c>
      <c r="FK6" s="62">
        <f t="shared" si="48"/>
        <v>196.05343924817117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1.4</v>
      </c>
      <c r="FZ6" s="13">
        <f>IF('Données projet'!$A$244&gt;35,FZ5+FY6-GH5,IF(A6&lt;'Données projet'!$A$244,$FW$205^A6,IF(A6='Données projet'!$A$244,'Données projet'!$B$244,FZ5+FY6-GH5)))</f>
        <v>1.838416287252544</v>
      </c>
      <c r="GA6" s="18">
        <f>FZ6*VLOOKUP('Données projet'!$B$17,Paramètres!$A$1:$I$89,3,0)*VLOOKUP('Données projet'!$B$17,Paramètres!$A$1:$I$89,5,0)</f>
        <v>1.2045303514078667</v>
      </c>
      <c r="GB6" s="14">
        <f t="shared" si="49"/>
        <v>0.54320358403176439</v>
      </c>
      <c r="GC6" s="22">
        <f t="shared" si="25"/>
        <v>3.0439699375573572</v>
      </c>
      <c r="GD6" s="62">
        <f t="shared" si="26"/>
        <v>263.37730327089065</v>
      </c>
      <c r="GE6" s="62">
        <f ca="1">AVERAGE(OFFSET($GD$3,0,0,'Données projet'!$E$17+1,1))-AVERAGE(OFFSET($H$3,0,0,'Données projet'!$E$17+1,1))</f>
        <v>142.93037460866543</v>
      </c>
      <c r="GF6" s="62">
        <f t="shared" si="50"/>
        <v>146.18554498808049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1.05</v>
      </c>
      <c r="GU6" s="13">
        <f>IF('Données projet'!$A$270&gt;35,GU5+GT6-HC5,IF(A6&lt;'Données projet'!$A$270,$GR$205^A6,IF(A6='Données projet'!$A$270,'Données projet'!$B$270,GU5+GT6-HC5)))</f>
        <v>1.5788209995247278</v>
      </c>
      <c r="GV6" s="18">
        <f>GU6*VLOOKUP('Données projet'!$B$18,Paramètres!$A$1:$I$89,3,0)*VLOOKUP('Données projet'!$B$18,Paramètres!$A$1:$I$89,5,0)</f>
        <v>1.3546284175922165</v>
      </c>
      <c r="GW6" s="14">
        <f t="shared" si="51"/>
        <v>0.60259895990169532</v>
      </c>
      <c r="GX6" s="22">
        <f t="shared" si="28"/>
        <v>3.4088376824685631</v>
      </c>
      <c r="GY6" s="62">
        <f t="shared" si="29"/>
        <v>263.74217101580189</v>
      </c>
      <c r="GZ6" s="62">
        <f ca="1">AVERAGE(OFFSET($GY$3,0,0,'Données projet'!$E$18+1,1))-AVERAGE(OFFSET($H$3,0,0,'Données projet'!$E$18+1,1))</f>
        <v>188.08607733149256</v>
      </c>
      <c r="HA6" s="62">
        <f t="shared" si="52"/>
        <v>119.95698016603842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7" s="12">
        <f t="shared" si="32"/>
        <v>0.53980305140256757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13.399181449423331</v>
      </c>
      <c r="H7" s="70">
        <f t="shared" si="1"/>
        <v>259.6898569811928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1.05</v>
      </c>
      <c r="N7" s="14">
        <f>IF('Données projet'!$A$36&gt;35,N6+M7-V6,IF(A7&lt;'Données projet'!$A$36,$K$205^A7,IF(A7='Données projet'!$A$36,'Données projet'!$B$36,N6+M7-V6)))</f>
        <v>1.8384162872525445</v>
      </c>
      <c r="O7" s="14">
        <f>N7*VLOOKUP('Données projet'!$B$9,Paramètres!$A$1:$I$89,3,0)*VLOOKUP('Données projet'!$B$9,Paramètres!$A$1:$I$89,5,0)</f>
        <v>1.9788712915986386</v>
      </c>
      <c r="P7" s="14">
        <f t="shared" si="33"/>
        <v>0.84229963077364478</v>
      </c>
      <c r="Q7" s="22">
        <f t="shared" si="2"/>
        <v>4.9135393564650593</v>
      </c>
      <c r="R7" s="62">
        <f t="shared" si="0"/>
        <v>266.46909491202058</v>
      </c>
      <c r="S7" s="62">
        <f ca="1">AVERAGE(OFFSET($R$3,0,0,'Données projet'!$E$9+1,1))-AVERAGE(OFFSET($H$3,0,0,'Données projet'!$E$9+1,1))</f>
        <v>236.98575892380046</v>
      </c>
      <c r="T7" s="62">
        <f t="shared" si="34"/>
        <v>145.77678223659774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1.4025641025641027</v>
      </c>
      <c r="AI7" s="14">
        <f>IF('Données projet'!$A$62&gt;35,AI6+AH7-AQ6,IF(A7&lt;'Données projet'!$A$62,$AF$205^A7,IF(A7='Données projet'!$A$62,'Données projet'!$B$62,AI6+AH7-AQ6)))</f>
        <v>2.2532206750112715</v>
      </c>
      <c r="AJ7" s="14">
        <f>AI7*VLOOKUP('Données projet'!$B$10,Paramètres!$A$1:$I$89,3,0)*VLOOKUP('Données projet'!$B$10,Paramètres!$A$1:$I$89,5,0)</f>
        <v>1.3181340948815938</v>
      </c>
      <c r="AK7" s="14">
        <f t="shared" si="35"/>
        <v>0.58823161431784188</v>
      </c>
      <c r="AL7" s="22">
        <f t="shared" si="4"/>
        <v>3.3202536101890168</v>
      </c>
      <c r="AM7" s="62">
        <f t="shared" si="5"/>
        <v>264.87580916574456</v>
      </c>
      <c r="AN7" s="62">
        <f ca="1">AVERAGE(OFFSET($AM$3,0,0,'Données projet'!$E$10+1,1))-AVERAGE(OFFSET($H$3,0,0,'Données projet'!$E$10+1,1))</f>
        <v>140.04898296125504</v>
      </c>
      <c r="AO7" s="62">
        <f t="shared" si="36"/>
        <v>129.5395511270716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3.4425641025641025</v>
      </c>
      <c r="BD7" s="13">
        <f>IF('Données projet'!$A$88&gt;35,BD6+BC7-BL6,IF(A7&lt;'Données projet'!$A$88,$BA$205^A7,IF(A7='Données projet'!$A$88,'Données projet'!$B$88,BD6+BC7-BL6)))</f>
        <v>1.8558111173927514</v>
      </c>
      <c r="BE7" s="14">
        <f>BD7*VLOOKUP('Données projet'!$B$11,Paramètres!$A$1:$I$89,3,0)*VLOOKUP('Données projet'!$B$11,Paramètres!$A$1:$I$89,5,0)</f>
        <v>0.86851960293980757</v>
      </c>
      <c r="BF7" s="14">
        <f t="shared" si="37"/>
        <v>0.40687194183965542</v>
      </c>
      <c r="BG7" s="22">
        <f t="shared" si="7"/>
        <v>2.2213069404908978</v>
      </c>
      <c r="BH7" s="62">
        <f t="shared" si="8"/>
        <v>263.77686249604642</v>
      </c>
      <c r="BI7" s="62">
        <f ca="1">AVERAGE(OFFSET($BH$3,0,0,'Données projet'!$E$11+1,1))-AVERAGE(OFFSET($H$3,0,0,'Données projet'!$E$11+1,1))</f>
        <v>207.84100251878419</v>
      </c>
      <c r="BJ7" s="62">
        <f t="shared" si="38"/>
        <v>124.34917784241952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4.0533333333333328</v>
      </c>
      <c r="BY7" s="13">
        <f>IF('Données projet'!$A$114&gt;35,BY6+BX7-CG6,IF(A7&lt;'Données projet'!$A$114,$BV$205^A7,IF(A7='Données projet'!$A$114,'Données projet'!$B$114,BY6+BX7-CG6)))</f>
        <v>2.9902508405946642</v>
      </c>
      <c r="BZ7" s="14">
        <f>BY7*VLOOKUP('Données projet'!$B$12,Paramètres!$A$1:$I$89,3,0)*VLOOKUP('Données projet'!$B$12,Paramètres!$A$1:$I$89,5,0)</f>
        <v>1.5549304371092254</v>
      </c>
      <c r="CA7" s="14">
        <f t="shared" si="39"/>
        <v>0.68068765353265059</v>
      </c>
      <c r="CB7" s="22">
        <f t="shared" si="10"/>
        <v>3.8937015078679331</v>
      </c>
      <c r="CC7" s="62">
        <f t="shared" si="11"/>
        <v>265.44925706342349</v>
      </c>
      <c r="CD7" s="62">
        <f ca="1">AVERAGE(OFFSET($CC$3,0,0,'Données projet'!$E$12+1,1))-AVERAGE(OFFSET($H$3,0,0,'Données projet'!$E$12+1,1))</f>
        <v>211.05980622218578</v>
      </c>
      <c r="CE7" s="62">
        <f t="shared" si="40"/>
        <v>168.57746894604855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1.5341666666666667</v>
      </c>
      <c r="CT7" s="13">
        <f>IF('Données projet'!$A$140&gt;35,CT6+CS7-DB6,IF(A7&lt;'Données projet'!$A$140,$CQ$205^A7,IF(A7='Données projet'!$A$140,'Données projet'!$B$140,CT6+CS7-DB6)))</f>
        <v>2.9809110503275362</v>
      </c>
      <c r="CU7" s="18">
        <f>CT7*VLOOKUP('Données projet'!$B$13,Paramètres!$A$1:$I$89,3,0)*VLOOKUP('Données projet'!$B$13,Paramètres!$A$1:$I$89,5,0)</f>
        <v>3.4340095299773217</v>
      </c>
      <c r="CV7" s="14">
        <f t="shared" si="41"/>
        <v>1.3708384170066097</v>
      </c>
      <c r="CW7" s="22">
        <f t="shared" si="13"/>
        <v>8.3684435076636809</v>
      </c>
      <c r="CX7" s="62">
        <f t="shared" si="14"/>
        <v>269.92399906321924</v>
      </c>
      <c r="CY7" s="62">
        <f ca="1">AVERAGE(OFFSET($CX$3,0,0,'Données projet'!$E$13+1,1))-AVERAGE(OFFSET($H$3,0,0,'Données projet'!$E$13+1,1))</f>
        <v>191.79777926975839</v>
      </c>
      <c r="CZ7" s="62">
        <f t="shared" si="42"/>
        <v>156.66161375678712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1.8956</v>
      </c>
      <c r="DO7" s="13">
        <f>IF('Données projet'!$A$166&gt;35,DO6+DN7-DW6,IF(A7&lt;'Données projet'!$A$166,$DL$205^A7,IF(A7='Données projet'!$A$166,'Données projet'!$B$166,DO6+DN7-DW6)))</f>
        <v>1.8540006129567068</v>
      </c>
      <c r="DP7" s="18">
        <f>DO7*VLOOKUP('Données projet'!$B$14,Paramètres!$A$1:$I$89,3,0)*VLOOKUP('Données projet'!$B$14,Paramètres!$A$1:$I$89,5,0)</f>
        <v>2.0245686693487239</v>
      </c>
      <c r="DQ7" s="14">
        <f t="shared" si="43"/>
        <v>0.85946356850910099</v>
      </c>
      <c r="DR7" s="22">
        <f t="shared" si="16"/>
        <v>5.0230228142690452</v>
      </c>
      <c r="DS7" s="62">
        <f t="shared" si="17"/>
        <v>266.57857836982458</v>
      </c>
      <c r="DT7" s="62">
        <f ca="1">AVERAGE(OFFSET($DS$3,0,0,'Données projet'!$E$14+1,1))-AVERAGE(OFFSET($H$3,0,0,'Données projet'!$E$14+1,1))</f>
        <v>541.0854688453461</v>
      </c>
      <c r="DU7" s="62">
        <f t="shared" si="44"/>
        <v>171.04847168584473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5</v>
      </c>
      <c r="EJ7" s="13">
        <f>IF('Données projet'!$A$192&gt;35,EJ6+EI7-ER6,IF(A7&lt;'Données projet'!$A$192,$EG$205^A7,IF(A7='Données projet'!$A$192,'Données projet'!$B$192,EJ6+EI7-ER6)))</f>
        <v>1.986642510989489</v>
      </c>
      <c r="EK7" s="18">
        <f>EJ7*VLOOKUP('Données projet'!$B$15,Paramètres!$A$1:$I$89,3,0)*VLOOKUP('Données projet'!$B$15,Paramètres!$A$1:$I$89,5,0)</f>
        <v>1.1880122215717144</v>
      </c>
      <c r="EL7" s="14">
        <f t="shared" si="45"/>
        <v>0.53661624946956477</v>
      </c>
      <c r="EM7" s="22">
        <f t="shared" si="19"/>
        <v>3.0037279203968943</v>
      </c>
      <c r="EN7" s="62">
        <f t="shared" si="20"/>
        <v>264.55928347595244</v>
      </c>
      <c r="EO7" s="62">
        <f ca="1">AVERAGE(OFFSET($EN$3,0,0,'Données projet'!$E$15+1,1))-AVERAGE(OFFSET($H$3,0,0,'Données projet'!$E$15+1,1))</f>
        <v>244.01698421598974</v>
      </c>
      <c r="EP7" s="62">
        <f t="shared" si="46"/>
        <v>156.96653202915024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0.9</v>
      </c>
      <c r="FE7" s="13">
        <f>IF('Données projet'!$A$218&gt;35,FE6+FD7-FM6,IF(A7&lt;'Données projet'!$A$218,$FB$205^A7,IF(A7='Données projet'!$A$218,'Données projet'!$B$218,FE6+FD7-FM6)))</f>
        <v>1.7826024579660036</v>
      </c>
      <c r="FF7" s="18">
        <f>FE7*VLOOKUP('Données projet'!$B$16,Paramètres!$A$1:$I$89,3,0)*VLOOKUP('Données projet'!$B$16,Paramètres!$A$1:$I$89,5,0)</f>
        <v>1.5572815072791011</v>
      </c>
      <c r="FG7" s="14">
        <f t="shared" si="47"/>
        <v>0.68159698037116012</v>
      </c>
      <c r="FH7" s="22">
        <f t="shared" si="22"/>
        <v>3.8993800326575379</v>
      </c>
      <c r="FI7" s="62">
        <f t="shared" si="23"/>
        <v>265.45493558821306</v>
      </c>
      <c r="FJ7" s="62">
        <f ca="1">AVERAGE(OFFSET($FI$3,0,0,'Données projet'!$E$16+1,1))-AVERAGE(OFFSET($H$3,0,0,'Données projet'!$E$16+1,1))</f>
        <v>175.08726167127026</v>
      </c>
      <c r="FK7" s="62">
        <f t="shared" si="48"/>
        <v>196.05343924817117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1.4</v>
      </c>
      <c r="FZ7" s="13">
        <f>IF('Données projet'!$A$244&gt;35,FZ6+FY7-GH6,IF(A7&lt;'Données projet'!$A$244,$FW$205^A7,IF(A7='Données projet'!$A$244,'Données projet'!$B$244,FZ6+FY7-GH6)))</f>
        <v>2.2521214756655255</v>
      </c>
      <c r="GA7" s="18">
        <f>FZ7*VLOOKUP('Données projet'!$B$17,Paramètres!$A$1:$I$89,3,0)*VLOOKUP('Données projet'!$B$17,Paramètres!$A$1:$I$89,5,0)</f>
        <v>1.4755899908560521</v>
      </c>
      <c r="GB7" s="14">
        <f t="shared" si="49"/>
        <v>0.64990541870499707</v>
      </c>
      <c r="GC7" s="22">
        <f t="shared" si="25"/>
        <v>3.7019045049854937</v>
      </c>
      <c r="GD7" s="62">
        <f t="shared" si="26"/>
        <v>265.25746006054106</v>
      </c>
      <c r="GE7" s="62">
        <f ca="1">AVERAGE(OFFSET($GD$3,0,0,'Données projet'!$E$17+1,1))-AVERAGE(OFFSET($H$3,0,0,'Données projet'!$E$17+1,1))</f>
        <v>142.93037460866543</v>
      </c>
      <c r="GF7" s="62">
        <f t="shared" si="50"/>
        <v>146.18554498808049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1.05</v>
      </c>
      <c r="GU7" s="13">
        <f>IF('Données projet'!$A$270&gt;35,GU6+GT7-HC6,IF(A7&lt;'Données projet'!$A$270,$GR$205^A7,IF(A7='Données projet'!$A$270,'Données projet'!$B$270,GU6+GT7-HC6)))</f>
        <v>1.8384162872525445</v>
      </c>
      <c r="GV7" s="18">
        <f>GU7*VLOOKUP('Données projet'!$B$18,Paramètres!$A$1:$I$89,3,0)*VLOOKUP('Données projet'!$B$18,Paramètres!$A$1:$I$89,5,0)</f>
        <v>1.5773611744626834</v>
      </c>
      <c r="GW7" s="14">
        <f t="shared" si="51"/>
        <v>0.68935674005463887</v>
      </c>
      <c r="GX7" s="22">
        <f t="shared" si="28"/>
        <v>3.947867034451003</v>
      </c>
      <c r="GY7" s="62">
        <f t="shared" si="29"/>
        <v>265.50342259000655</v>
      </c>
      <c r="GZ7" s="62">
        <f ca="1">AVERAGE(OFFSET($GY$3,0,0,'Données projet'!$E$18+1,1))-AVERAGE(OFFSET($H$3,0,0,'Données projet'!$E$18+1,1))</f>
        <v>188.08607733149256</v>
      </c>
      <c r="HA7" s="62">
        <f t="shared" si="52"/>
        <v>119.95698016603842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1.4950000000000001</v>
      </c>
      <c r="D8" s="12">
        <f t="shared" si="32"/>
        <v>0.65745347122378173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16.61543030418358</v>
      </c>
      <c r="H8" s="70">
        <f t="shared" si="1"/>
        <v>260.4155231290481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1.05</v>
      </c>
      <c r="N8" s="14">
        <f>IF('Données projet'!$A$36&gt;35,N7+M8-V7,IF(A8&lt;'Données projet'!$A$36,$K$205^A8,IF(A8='Données projet'!$A$36,'Données projet'!$B$36,N7+M8-V7)))</f>
        <v>2.1406951429280729</v>
      </c>
      <c r="O8" s="14">
        <f>N8*VLOOKUP('Données projet'!$B$9,Paramètres!$A$1:$I$89,3,0)*VLOOKUP('Données projet'!$B$9,Paramètres!$A$1:$I$89,5,0)</f>
        <v>2.3042442518477775</v>
      </c>
      <c r="P8" s="14">
        <f t="shared" si="33"/>
        <v>0.96356775609780188</v>
      </c>
      <c r="Q8" s="22">
        <f t="shared" si="2"/>
        <v>5.6914392471718847</v>
      </c>
      <c r="R8" s="62">
        <f t="shared" si="0"/>
        <v>268.46921702494967</v>
      </c>
      <c r="S8" s="62">
        <f ca="1">AVERAGE(OFFSET($R$3,0,0,'Données projet'!$E$9+1,1))-AVERAGE(OFFSET($H$3,0,0,'Données projet'!$E$9+1,1))</f>
        <v>236.98575892380046</v>
      </c>
      <c r="T8" s="62">
        <f t="shared" si="34"/>
        <v>145.77678223659774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1.4025641025641027</v>
      </c>
      <c r="AI8" s="14">
        <f>IF('Données projet'!$A$62&gt;35,AI7+AH8-AQ7,IF(A8&lt;'Données projet'!$A$62,$AF$205^A8,IF(A8='Données projet'!$A$62,'Données projet'!$B$62,AI7+AH8-AQ7)))</f>
        <v>2.7606074740387534</v>
      </c>
      <c r="AJ8" s="14">
        <f>AI8*VLOOKUP('Données projet'!$B$10,Paramètres!$A$1:$I$89,3,0)*VLOOKUP('Données projet'!$B$10,Paramètres!$A$1:$I$89,5,0)</f>
        <v>1.6149553723126708</v>
      </c>
      <c r="AK8" s="14">
        <f t="shared" si="35"/>
        <v>0.70385419802381588</v>
      </c>
      <c r="AL8" s="22">
        <f t="shared" si="4"/>
        <v>4.0385933350027141</v>
      </c>
      <c r="AM8" s="62">
        <f t="shared" si="5"/>
        <v>266.81637111278047</v>
      </c>
      <c r="AN8" s="62">
        <f ca="1">AVERAGE(OFFSET($AM$3,0,0,'Données projet'!$E$10+1,1))-AVERAGE(OFFSET($H$3,0,0,'Données projet'!$E$10+1,1))</f>
        <v>140.04898296125504</v>
      </c>
      <c r="AO8" s="62">
        <f t="shared" si="36"/>
        <v>129.5395511270716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3.4425641025641025</v>
      </c>
      <c r="BD8" s="13">
        <f>IF('Données projet'!$A$88&gt;35,BD7+BC8-BL7,IF(A8&lt;'Données projet'!$A$88,$BA$205^A8,IF(A8='Données projet'!$A$88,'Données projet'!$B$88,BD7+BC8-BL7)))</f>
        <v>2.1660437040287945</v>
      </c>
      <c r="BE8" s="14">
        <f>BD8*VLOOKUP('Données projet'!$B$11,Paramètres!$A$1:$I$89,3,0)*VLOOKUP('Données projet'!$B$11,Paramètres!$A$1:$I$89,5,0)</f>
        <v>1.0137084534854759</v>
      </c>
      <c r="BF8" s="14">
        <f t="shared" si="37"/>
        <v>0.46641966415357117</v>
      </c>
      <c r="BG8" s="22">
        <f t="shared" si="7"/>
        <v>2.5778898048880068</v>
      </c>
      <c r="BH8" s="62">
        <f t="shared" si="8"/>
        <v>265.35566758266577</v>
      </c>
      <c r="BI8" s="62">
        <f ca="1">AVERAGE(OFFSET($BH$3,0,0,'Données projet'!$E$11+1,1))-AVERAGE(OFFSET($H$3,0,0,'Données projet'!$E$11+1,1))</f>
        <v>207.84100251878419</v>
      </c>
      <c r="BJ8" s="62">
        <f t="shared" si="38"/>
        <v>124.34917784241952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4.0533333333333328</v>
      </c>
      <c r="BY8" s="13">
        <f>IF('Données projet'!$A$114&gt;35,BY7+BX8-CG7,IF(A8&lt;'Données projet'!$A$114,$BV$205^A8,IF(A8='Données projet'!$A$114,'Données projet'!$B$114,BY7+BX8-CG7)))</f>
        <v>3.932190289966234</v>
      </c>
      <c r="BZ8" s="14">
        <f>BY8*VLOOKUP('Données projet'!$B$12,Paramètres!$A$1:$I$89,3,0)*VLOOKUP('Données projet'!$B$12,Paramètres!$A$1:$I$89,5,0)</f>
        <v>2.0447389507824418</v>
      </c>
      <c r="CA8" s="14">
        <f t="shared" si="39"/>
        <v>0.86702513305823981</v>
      </c>
      <c r="CB8" s="22">
        <f t="shared" si="10"/>
        <v>5.0713224460225206</v>
      </c>
      <c r="CC8" s="62">
        <f t="shared" si="11"/>
        <v>267.84910022380029</v>
      </c>
      <c r="CD8" s="62">
        <f ca="1">AVERAGE(OFFSET($CC$3,0,0,'Données projet'!$E$12+1,1))-AVERAGE(OFFSET($H$3,0,0,'Données projet'!$E$12+1,1))</f>
        <v>211.05980622218578</v>
      </c>
      <c r="CE8" s="62">
        <f t="shared" si="40"/>
        <v>168.57746894604855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1.5341666666666667</v>
      </c>
      <c r="CT8" s="13">
        <f>IF('Données projet'!$A$140&gt;35,CT7+CS8-DB7,IF(A8&lt;'Données projet'!$A$140,$CQ$205^A8,IF(A8='Données projet'!$A$140,'Données projet'!$B$140,CT7+CS8-DB7)))</f>
        <v>3.9168439676181483</v>
      </c>
      <c r="CU8" s="18">
        <f>CT8*VLOOKUP('Données projet'!$B$13,Paramètres!$A$1:$I$89,3,0)*VLOOKUP('Données projet'!$B$13,Paramètres!$A$1:$I$89,5,0)</f>
        <v>4.5122042506961062</v>
      </c>
      <c r="CV8" s="14">
        <f t="shared" si="41"/>
        <v>1.7448976777327356</v>
      </c>
      <c r="CW8" s="22">
        <f t="shared" si="13"/>
        <v>10.897785858680232</v>
      </c>
      <c r="CX8" s="62">
        <f t="shared" si="14"/>
        <v>273.67556363645798</v>
      </c>
      <c r="CY8" s="62">
        <f ca="1">AVERAGE(OFFSET($CX$3,0,0,'Données projet'!$E$13+1,1))-AVERAGE(OFFSET($H$3,0,0,'Données projet'!$E$13+1,1))</f>
        <v>191.79777926975839</v>
      </c>
      <c r="CZ8" s="62">
        <f t="shared" si="42"/>
        <v>156.66161375678712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1.8956</v>
      </c>
      <c r="DO8" s="13">
        <f>IF('Données projet'!$A$166&gt;35,DO7+DN8-DW7,IF(A8&lt;'Données projet'!$A$166,$DL$205^A8,IF(A8='Données projet'!$A$166,'Données projet'!$B$166,DO7+DN8-DW7)))</f>
        <v>2.1634025722448569</v>
      </c>
      <c r="DP8" s="18">
        <f>DO8*VLOOKUP('Données projet'!$B$14,Paramètres!$A$1:$I$89,3,0)*VLOOKUP('Données projet'!$B$14,Paramètres!$A$1:$I$89,5,0)</f>
        <v>2.3624356088913836</v>
      </c>
      <c r="DQ8" s="14">
        <f t="shared" si="43"/>
        <v>0.98503790612453268</v>
      </c>
      <c r="DR8" s="22">
        <f t="shared" si="16"/>
        <v>5.83018303865272</v>
      </c>
      <c r="DS8" s="62">
        <f t="shared" si="17"/>
        <v>268.60796081643048</v>
      </c>
      <c r="DT8" s="62">
        <f ca="1">AVERAGE(OFFSET($DS$3,0,0,'Données projet'!$E$14+1,1))-AVERAGE(OFFSET($H$3,0,0,'Données projet'!$E$14+1,1))</f>
        <v>541.0854688453461</v>
      </c>
      <c r="DU8" s="62">
        <f t="shared" si="44"/>
        <v>171.04847168584473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5</v>
      </c>
      <c r="EJ8" s="13">
        <f>IF('Données projet'!$A$192&gt;35,EJ7+EI8-ER7,IF(A8&lt;'Données projet'!$A$192,$EG$205^A8,IF(A8='Données projet'!$A$192,'Données projet'!$B$192,EJ7+EI8-ER7)))</f>
        <v>2.3585748082178499</v>
      </c>
      <c r="EK8" s="18">
        <f>EJ8*VLOOKUP('Données projet'!$B$15,Paramètres!$A$1:$I$89,3,0)*VLOOKUP('Données projet'!$B$15,Paramètres!$A$1:$I$89,5,0)</f>
        <v>1.4104277353142742</v>
      </c>
      <c r="EL8" s="14">
        <f t="shared" si="45"/>
        <v>0.62447990330771908</v>
      </c>
      <c r="EM8" s="22">
        <f t="shared" si="19"/>
        <v>3.5441308039333044</v>
      </c>
      <c r="EN8" s="62">
        <f t="shared" si="20"/>
        <v>266.32190858171106</v>
      </c>
      <c r="EO8" s="62">
        <f ca="1">AVERAGE(OFFSET($EN$3,0,0,'Données projet'!$E$15+1,1))-AVERAGE(OFFSET($H$3,0,0,'Données projet'!$E$15+1,1))</f>
        <v>244.01698421598974</v>
      </c>
      <c r="EP8" s="62">
        <f t="shared" si="46"/>
        <v>156.96653202915024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0.9</v>
      </c>
      <c r="FE8" s="13">
        <f>IF('Données projet'!$A$218&gt;35,FE7+FD8-FM7,IF(A8&lt;'Données projet'!$A$218,$FB$205^A8,IF(A8='Données projet'!$A$218,'Données projet'!$B$218,FE7+FD8-FM7)))</f>
        <v>2.0597671439071181</v>
      </c>
      <c r="FF8" s="18">
        <f>FE8*VLOOKUP('Données projet'!$B$16,Paramètres!$A$1:$I$89,3,0)*VLOOKUP('Données projet'!$B$16,Paramètres!$A$1:$I$89,5,0)</f>
        <v>1.7994125769172586</v>
      </c>
      <c r="FG8" s="14">
        <f t="shared" si="47"/>
        <v>0.77443611390200762</v>
      </c>
      <c r="FH8" s="22">
        <f t="shared" si="22"/>
        <v>4.4827864698435551</v>
      </c>
      <c r="FI8" s="62">
        <f t="shared" si="23"/>
        <v>267.26056424762135</v>
      </c>
      <c r="FJ8" s="62">
        <f ca="1">AVERAGE(OFFSET($FI$3,0,0,'Données projet'!$E$16+1,1))-AVERAGE(OFFSET($H$3,0,0,'Données projet'!$E$16+1,1))</f>
        <v>175.08726167127026</v>
      </c>
      <c r="FK8" s="62">
        <f t="shared" si="48"/>
        <v>196.05343924817117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1.4</v>
      </c>
      <c r="FZ8" s="13">
        <f>IF('Données projet'!$A$244&gt;35,FZ7+FY8-GH7,IF(A8&lt;'Données projet'!$A$244,$FW$205^A8,IF(A8='Données projet'!$A$244,'Données projet'!$B$244,FZ7+FY8-GH7)))</f>
        <v>2.7589241763811212</v>
      </c>
      <c r="GA8" s="18">
        <f>FZ8*VLOOKUP('Données projet'!$B$17,Paramètres!$A$1:$I$89,3,0)*VLOOKUP('Données projet'!$B$17,Paramètres!$A$1:$I$89,5,0)</f>
        <v>1.8076471203649105</v>
      </c>
      <c r="GB8" s="14">
        <f t="shared" si="49"/>
        <v>0.77756676442955608</v>
      </c>
      <c r="GC8" s="22">
        <f t="shared" si="25"/>
        <v>4.5025808493503625</v>
      </c>
      <c r="GD8" s="62">
        <f t="shared" si="26"/>
        <v>267.28035862712812</v>
      </c>
      <c r="GE8" s="62">
        <f ca="1">AVERAGE(OFFSET($GD$3,0,0,'Données projet'!$E$17+1,1))-AVERAGE(OFFSET($H$3,0,0,'Données projet'!$E$17+1,1))</f>
        <v>142.93037460866543</v>
      </c>
      <c r="GF8" s="62">
        <f t="shared" si="50"/>
        <v>146.18554498808049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1.05</v>
      </c>
      <c r="GU8" s="13">
        <f>IF('Données projet'!$A$270&gt;35,GU7+GT8-HC7,IF(A8&lt;'Données projet'!$A$270,$GR$205^A8,IF(A8='Données projet'!$A$270,'Données projet'!$B$270,GU7+GT8-HC7)))</f>
        <v>2.1406951429280729</v>
      </c>
      <c r="GV8" s="18">
        <f>GU8*VLOOKUP('Données projet'!$B$18,Paramètres!$A$1:$I$89,3,0)*VLOOKUP('Données projet'!$B$18,Paramètres!$A$1:$I$89,5,0)</f>
        <v>1.8367164326322867</v>
      </c>
      <c r="GW8" s="14">
        <f t="shared" si="51"/>
        <v>0.78860526930926433</v>
      </c>
      <c r="GX8" s="22">
        <f t="shared" si="28"/>
        <v>4.5724352975482017</v>
      </c>
      <c r="GY8" s="62">
        <f t="shared" si="29"/>
        <v>267.350213075326</v>
      </c>
      <c r="GZ8" s="62">
        <f ca="1">AVERAGE(OFFSET($GY$3,0,0,'Données projet'!$E$18+1,1))-AVERAGE(OFFSET($H$3,0,0,'Données projet'!$E$18+1,1))</f>
        <v>188.08607733149256</v>
      </c>
      <c r="HA8" s="62">
        <f t="shared" si="52"/>
        <v>119.95698016603842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</v>
      </c>
      <c r="D9" s="12">
        <f t="shared" si="32"/>
        <v>0.77237742491396733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19.810632753721851</v>
      </c>
      <c r="H9" s="70">
        <f t="shared" si="1"/>
        <v>261.13644068172516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1.05</v>
      </c>
      <c r="N9" s="14">
        <f>IF('Données projet'!$A$36&gt;35,N8+M9-V8,IF(A9&lt;'Données projet'!$A$36,$K$205^A9,IF(A9='Données projet'!$A$36,'Données projet'!$B$36,N8+M9-V8)))</f>
        <v>2.4926757485402602</v>
      </c>
      <c r="O9" s="14">
        <f>N9*VLOOKUP('Données projet'!$B$9,Paramètres!$A$1:$I$89,3,0)*VLOOKUP('Données projet'!$B$9,Paramètres!$A$1:$I$89,5,0)</f>
        <v>2.6831161757287361</v>
      </c>
      <c r="P9" s="14">
        <f t="shared" si="33"/>
        <v>1.1022951770008116</v>
      </c>
      <c r="Q9" s="22">
        <f t="shared" si="2"/>
        <v>6.5929247726706288</v>
      </c>
      <c r="R9" s="62">
        <f t="shared" si="0"/>
        <v>270.59292477267064</v>
      </c>
      <c r="S9" s="62">
        <f ca="1">AVERAGE(OFFSET($R$3,0,0,'Données projet'!$E$9+1,1))-AVERAGE(OFFSET($H$3,0,0,'Données projet'!$E$9+1,1))</f>
        <v>236.98575892380046</v>
      </c>
      <c r="T9" s="62">
        <f t="shared" si="34"/>
        <v>145.77678223659774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1.4025641025641027</v>
      </c>
      <c r="AI9" s="14">
        <f>IF('Données projet'!$A$62&gt;35,AI8+AH9-AQ8,IF(A9&lt;'Données projet'!$A$62,$AF$205^A9,IF(A9='Données projet'!$A$62,'Données projet'!$B$62,AI8+AH9-AQ8)))</f>
        <v>3.3822491113439219</v>
      </c>
      <c r="AJ9" s="14">
        <f>AI9*VLOOKUP('Données projet'!$B$10,Paramètres!$A$1:$I$89,3,0)*VLOOKUP('Données projet'!$B$10,Paramètres!$A$1:$I$89,5,0)</f>
        <v>1.9786157301361944</v>
      </c>
      <c r="AK9" s="14">
        <f t="shared" si="35"/>
        <v>0.84220351306732277</v>
      </c>
      <c r="AL9" s="22">
        <f t="shared" si="4"/>
        <v>4.9129268485794588</v>
      </c>
      <c r="AM9" s="62">
        <f t="shared" si="5"/>
        <v>268.91292684857945</v>
      </c>
      <c r="AN9" s="62">
        <f ca="1">AVERAGE(OFFSET($AM$3,0,0,'Données projet'!$E$10+1,1))-AVERAGE(OFFSET($H$3,0,0,'Données projet'!$E$10+1,1))</f>
        <v>140.04898296125504</v>
      </c>
      <c r="AO9" s="62">
        <f t="shared" si="36"/>
        <v>129.5395511270716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3.4425641025641025</v>
      </c>
      <c r="BD9" s="13">
        <f>IF('Données projet'!$A$88&gt;35,BD8+BC9-BL8,IF(A9&lt;'Données projet'!$A$88,$BA$205^A9,IF(A9='Données projet'!$A$88,'Données projet'!$B$88,BD8+BC9-BL8)))</f>
        <v>2.5281373108456551</v>
      </c>
      <c r="BE9" s="14">
        <f>BD9*VLOOKUP('Données projet'!$B$11,Paramètres!$A$1:$I$89,3,0)*VLOOKUP('Données projet'!$B$11,Paramètres!$A$1:$I$89,5,0)</f>
        <v>1.1831682614757666</v>
      </c>
      <c r="BF9" s="14">
        <f t="shared" si="37"/>
        <v>0.53468249033221249</v>
      </c>
      <c r="BG9" s="22">
        <f t="shared" si="7"/>
        <v>2.9919233927322302</v>
      </c>
      <c r="BH9" s="62">
        <f t="shared" si="8"/>
        <v>266.99192339273225</v>
      </c>
      <c r="BI9" s="62">
        <f ca="1">AVERAGE(OFFSET($BH$3,0,0,'Données projet'!$E$11+1,1))-AVERAGE(OFFSET($H$3,0,0,'Données projet'!$E$11+1,1))</f>
        <v>207.84100251878419</v>
      </c>
      <c r="BJ9" s="62">
        <f t="shared" si="38"/>
        <v>124.34917784241952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4.0533333333333328</v>
      </c>
      <c r="BY9" s="13">
        <f>IF('Données projet'!$A$114&gt;35,BY8+BX9-CG8,IF(A9&lt;'Données projet'!$A$114,$BV$205^A9,IF(A9='Données projet'!$A$114,'Données projet'!$B$114,BY8+BX9-CG8)))</f>
        <v>5.1708439528202996</v>
      </c>
      <c r="BZ9" s="14">
        <f>BY9*VLOOKUP('Données projet'!$B$12,Paramètres!$A$1:$I$89,3,0)*VLOOKUP('Données projet'!$B$12,Paramètres!$A$1:$I$89,5,0)</f>
        <v>2.6888388554665559</v>
      </c>
      <c r="CA9" s="14">
        <f t="shared" si="39"/>
        <v>1.1043722880138884</v>
      </c>
      <c r="CB9" s="22">
        <f t="shared" si="10"/>
        <v>6.6065094082284403</v>
      </c>
      <c r="CC9" s="62">
        <f t="shared" si="11"/>
        <v>270.60650940822842</v>
      </c>
      <c r="CD9" s="62">
        <f ca="1">AVERAGE(OFFSET($CC$3,0,0,'Données projet'!$E$12+1,1))-AVERAGE(OFFSET($H$3,0,0,'Données projet'!$E$12+1,1))</f>
        <v>211.05980622218578</v>
      </c>
      <c r="CE9" s="62">
        <f t="shared" si="40"/>
        <v>168.57746894604855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1.5341666666666667</v>
      </c>
      <c r="CT9" s="13">
        <f>IF('Données projet'!$A$140&gt;35,CT8+CS9-DB8,IF(A9&lt;'Données projet'!$A$140,$CQ$205^A9,IF(A9='Données projet'!$A$140,'Données projet'!$B$140,CT8+CS9-DB8)))</f>
        <v>5.1466368528443578</v>
      </c>
      <c r="CU9" s="18">
        <f>CT9*VLOOKUP('Données projet'!$B$13,Paramètres!$A$1:$I$89,3,0)*VLOOKUP('Données projet'!$B$13,Paramètres!$A$1:$I$89,5,0)</f>
        <v>5.9289256544766999</v>
      </c>
      <c r="CV9" s="14">
        <f t="shared" si="41"/>
        <v>2.2210261019715896</v>
      </c>
      <c r="CW9" s="22">
        <f t="shared" si="13"/>
        <v>14.194499309147433</v>
      </c>
      <c r="CX9" s="62">
        <f t="shared" si="14"/>
        <v>278.19449930914743</v>
      </c>
      <c r="CY9" s="62">
        <f ca="1">AVERAGE(OFFSET($CX$3,0,0,'Données projet'!$E$13+1,1))-AVERAGE(OFFSET($H$3,0,0,'Données projet'!$E$13+1,1))</f>
        <v>191.79777926975839</v>
      </c>
      <c r="CZ9" s="62">
        <f t="shared" si="42"/>
        <v>156.66161375678712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1.8956</v>
      </c>
      <c r="DO9" s="13">
        <f>IF('Données projet'!$A$166&gt;35,DO8+DN9-DW8,IF(A9&lt;'Données projet'!$A$166,$DL$205^A9,IF(A9='Données projet'!$A$166,'Données projet'!$B$166,DO8+DN9-DW8)))</f>
        <v>2.5244385880388882</v>
      </c>
      <c r="DP9" s="18">
        <f>DO9*VLOOKUP('Données projet'!$B$14,Paramètres!$A$1:$I$89,3,0)*VLOOKUP('Données projet'!$B$14,Paramètres!$A$1:$I$89,5,0)</f>
        <v>2.7566869381384658</v>
      </c>
      <c r="DQ9" s="14">
        <f t="shared" si="43"/>
        <v>1.1289596348864077</v>
      </c>
      <c r="DR9" s="22">
        <f t="shared" si="16"/>
        <v>6.7675011146849871</v>
      </c>
      <c r="DS9" s="62">
        <f t="shared" si="17"/>
        <v>270.76750111468499</v>
      </c>
      <c r="DT9" s="62">
        <f ca="1">AVERAGE(OFFSET($DS$3,0,0,'Données projet'!$E$14+1,1))-AVERAGE(OFFSET($H$3,0,0,'Données projet'!$E$14+1,1))</f>
        <v>541.0854688453461</v>
      </c>
      <c r="DU9" s="62">
        <f t="shared" si="44"/>
        <v>171.04847168584473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5</v>
      </c>
      <c r="EJ9" s="13">
        <f>IF('Données projet'!$A$192&gt;35,EJ8+EI9-ER8,IF(A9&lt;'Données projet'!$A$192,$EG$205^A9,IF(A9='Données projet'!$A$192,'Données projet'!$B$192,EJ8+EI9-ER8)))</f>
        <v>2.8001389757783652</v>
      </c>
      <c r="EK9" s="18">
        <f>EJ9*VLOOKUP('Données projet'!$B$15,Paramètres!$A$1:$I$89,3,0)*VLOOKUP('Données projet'!$B$15,Paramètres!$A$1:$I$89,5,0)</f>
        <v>1.6744831075154625</v>
      </c>
      <c r="EL9" s="14">
        <f t="shared" si="45"/>
        <v>0.72673004222421789</v>
      </c>
      <c r="EM9" s="22">
        <f t="shared" si="19"/>
        <v>4.1821129024632766</v>
      </c>
      <c r="EN9" s="62">
        <f t="shared" si="20"/>
        <v>268.1821129024633</v>
      </c>
      <c r="EO9" s="62">
        <f ca="1">AVERAGE(OFFSET($EN$3,0,0,'Données projet'!$E$15+1,1))-AVERAGE(OFFSET($H$3,0,0,'Données projet'!$E$15+1,1))</f>
        <v>244.01698421598974</v>
      </c>
      <c r="EP9" s="62">
        <f t="shared" si="46"/>
        <v>156.96653202915024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0.9</v>
      </c>
      <c r="FE9" s="13">
        <f>IF('Données projet'!$A$218&gt;35,FE8+FD9-FM8,IF(A9&lt;'Données projet'!$A$218,$FB$205^A9,IF(A9='Données projet'!$A$218,'Données projet'!$B$218,FE8+FD9-FM8)))</f>
        <v>2.3800262745964411</v>
      </c>
      <c r="FF9" s="18">
        <f>FE9*VLOOKUP('Données projet'!$B$16,Paramètres!$A$1:$I$89,3,0)*VLOOKUP('Données projet'!$B$16,Paramètres!$A$1:$I$89,5,0)</f>
        <v>2.0791909534874513</v>
      </c>
      <c r="FG9" s="14">
        <f t="shared" si="47"/>
        <v>0.87992070356451979</v>
      </c>
      <c r="FH9" s="22">
        <f t="shared" si="22"/>
        <v>5.1537861360321822</v>
      </c>
      <c r="FI9" s="62">
        <f t="shared" si="23"/>
        <v>269.15378613603218</v>
      </c>
      <c r="FJ9" s="62">
        <f ca="1">AVERAGE(OFFSET($FI$3,0,0,'Données projet'!$E$16+1,1))-AVERAGE(OFFSET($H$3,0,0,'Données projet'!$E$16+1,1))</f>
        <v>175.08726167127026</v>
      </c>
      <c r="FK9" s="62">
        <f t="shared" si="48"/>
        <v>196.05343924817117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1.4</v>
      </c>
      <c r="FZ9" s="13">
        <f>IF('Données projet'!$A$244&gt;35,FZ8+FY9-GH8,IF(A9&lt;'Données projet'!$A$244,$FW$205^A9,IF(A9='Données projet'!$A$244,'Données projet'!$B$244,FZ8+FY9-GH8)))</f>
        <v>3.3797744452354288</v>
      </c>
      <c r="GA9" s="18">
        <f>FZ9*VLOOKUP('Données projet'!$B$17,Paramètres!$A$1:$I$89,3,0)*VLOOKUP('Données projet'!$B$17,Paramètres!$A$1:$I$89,5,0)</f>
        <v>2.2144282165182529</v>
      </c>
      <c r="GB9" s="14">
        <f t="shared" si="49"/>
        <v>0.93030471164588235</v>
      </c>
      <c r="GC9" s="22">
        <f t="shared" si="25"/>
        <v>5.4770765165525352</v>
      </c>
      <c r="GD9" s="62">
        <f t="shared" si="26"/>
        <v>269.47707651655253</v>
      </c>
      <c r="GE9" s="62">
        <f ca="1">AVERAGE(OFFSET($GD$3,0,0,'Données projet'!$E$17+1,1))-AVERAGE(OFFSET($H$3,0,0,'Données projet'!$E$17+1,1))</f>
        <v>142.93037460866543</v>
      </c>
      <c r="GF9" s="62">
        <f t="shared" si="50"/>
        <v>146.18554498808049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1.05</v>
      </c>
      <c r="GU9" s="13">
        <f>IF('Données projet'!$A$270&gt;35,GU8+GT9-HC8,IF(A9&lt;'Données projet'!$A$270,$GR$205^A9,IF(A9='Données projet'!$A$270,'Données projet'!$B$270,GU8+GT9-HC8)))</f>
        <v>2.4926757485402602</v>
      </c>
      <c r="GV9" s="18">
        <f>GU9*VLOOKUP('Données projet'!$B$18,Paramètres!$A$1:$I$89,3,0)*VLOOKUP('Données projet'!$B$18,Paramètres!$A$1:$I$89,5,0)</f>
        <v>2.1387157922475435</v>
      </c>
      <c r="GW9" s="14">
        <f t="shared" si="51"/>
        <v>0.90214287414241456</v>
      </c>
      <c r="GX9" s="22">
        <f t="shared" si="28"/>
        <v>5.2961621772958436</v>
      </c>
      <c r="GY9" s="62">
        <f t="shared" si="29"/>
        <v>269.29616217729586</v>
      </c>
      <c r="GZ9" s="62">
        <f ca="1">AVERAGE(OFFSET($GY$3,0,0,'Données projet'!$E$18+1,1))-AVERAGE(OFFSET($H$3,0,0,'Données projet'!$E$18+1,1))</f>
        <v>188.08607733149256</v>
      </c>
      <c r="HA9" s="62">
        <f t="shared" si="52"/>
        <v>119.95698016603842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2.093</v>
      </c>
      <c r="D10" s="12">
        <f t="shared" si="32"/>
        <v>0.88508250232302244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22.988707035475965</v>
      </c>
      <c r="H10" s="70">
        <f t="shared" si="1"/>
        <v>261.85349369154596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1.05</v>
      </c>
      <c r="N10" s="14">
        <f>IF('Données projet'!$A$36&gt;35,N9+M10-V9,IF(A10&lt;'Données projet'!$A$36,$K$205^A10,IF(A10='Données projet'!$A$36,'Données projet'!$B$36,N9+M10-V9)))</f>
        <v>2.9025302401826014</v>
      </c>
      <c r="O10" s="14">
        <f>N10*VLOOKUP('Données projet'!$B$9,Paramètres!$A$1:$I$89,3,0)*VLOOKUP('Données projet'!$B$9,Paramètres!$A$1:$I$89,5,0)</f>
        <v>3.1242835505325521</v>
      </c>
      <c r="P10" s="14">
        <f t="shared" si="33"/>
        <v>1.2609955548532519</v>
      </c>
      <c r="Q10" s="22">
        <f t="shared" si="2"/>
        <v>7.6376944418802752</v>
      </c>
      <c r="R10" s="62">
        <f t="shared" si="0"/>
        <v>272.85991666410251</v>
      </c>
      <c r="S10" s="62">
        <f ca="1">AVERAGE(OFFSET($R$3,0,0,'Données projet'!$E$9+1,1))-AVERAGE(OFFSET($H$3,0,0,'Données projet'!$E$9+1,1))</f>
        <v>236.98575892380046</v>
      </c>
      <c r="T10" s="62">
        <f t="shared" si="34"/>
        <v>145.77678223659774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1.4025641025641027</v>
      </c>
      <c r="AI10" s="14">
        <f>IF('Données projet'!$A$62&gt;35,AI9+AH10-AQ9,IF(A10&lt;'Données projet'!$A$62,$AF$205^A10,IF(A10='Données projet'!$A$62,'Données projet'!$B$62,AI9+AH10-AQ9)))</f>
        <v>4.1438738244270077</v>
      </c>
      <c r="AJ10" s="14">
        <f>AI10*VLOOKUP('Données projet'!$B$10,Paramètres!$A$1:$I$89,3,0)*VLOOKUP('Données projet'!$B$10,Paramètres!$A$1:$I$89,5,0)</f>
        <v>2.4241661872897997</v>
      </c>
      <c r="AK10" s="14">
        <f t="shared" si="35"/>
        <v>1.007746717167324</v>
      </c>
      <c r="AL10" s="22">
        <f t="shared" si="4"/>
        <v>5.977248308596157</v>
      </c>
      <c r="AM10" s="62">
        <f t="shared" si="5"/>
        <v>271.19947053081836</v>
      </c>
      <c r="AN10" s="62">
        <f ca="1">AVERAGE(OFFSET($AM$3,0,0,'Données projet'!$E$10+1,1))-AVERAGE(OFFSET($H$3,0,0,'Données projet'!$E$10+1,1))</f>
        <v>140.04898296125504</v>
      </c>
      <c r="AO10" s="62">
        <f t="shared" si="36"/>
        <v>129.5395511270716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3.4425641025641025</v>
      </c>
      <c r="BD10" s="13">
        <f>IF('Données projet'!$A$88&gt;35,BD9+BC10-BL9,IF(A10&lt;'Données projet'!$A$88,$BA$205^A10,IF(A10='Données projet'!$A$88,'Données projet'!$B$88,BD9+BC10-BL9)))</f>
        <v>2.9507614507509188</v>
      </c>
      <c r="BE10" s="14">
        <f>BD10*VLOOKUP('Données projet'!$B$11,Paramètres!$A$1:$I$89,3,0)*VLOOKUP('Données projet'!$B$11,Paramètres!$A$1:$I$89,5,0)</f>
        <v>1.38095635895143</v>
      </c>
      <c r="BF10" s="14">
        <f t="shared" si="37"/>
        <v>0.61293591895758326</v>
      </c>
      <c r="BG10" s="22">
        <f t="shared" si="7"/>
        <v>3.472695717358198</v>
      </c>
      <c r="BH10" s="62">
        <f t="shared" si="8"/>
        <v>268.69491793958042</v>
      </c>
      <c r="BI10" s="62">
        <f ca="1">AVERAGE(OFFSET($BH$3,0,0,'Données projet'!$E$11+1,1))-AVERAGE(OFFSET($H$3,0,0,'Données projet'!$E$11+1,1))</f>
        <v>207.84100251878419</v>
      </c>
      <c r="BJ10" s="62">
        <f t="shared" si="38"/>
        <v>124.34917784241952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4.0533333333333328</v>
      </c>
      <c r="BY10" s="13">
        <f>IF('Données projet'!$A$114&gt;35,BY9+BX10-CG9,IF(A10&lt;'Données projet'!$A$114,$BV$205^A10,IF(A10='Données projet'!$A$114,'Données projet'!$B$114,BY9+BX10-CG9)))</f>
        <v>6.7996778417984078</v>
      </c>
      <c r="BZ10" s="14">
        <f>BY10*VLOOKUP('Données projet'!$B$12,Paramètres!$A$1:$I$89,3,0)*VLOOKUP('Données projet'!$B$12,Paramètres!$A$1:$I$89,5,0)</f>
        <v>3.5358324777351724</v>
      </c>
      <c r="CA10" s="14">
        <f t="shared" si="39"/>
        <v>1.4066929596735296</v>
      </c>
      <c r="CB10" s="22">
        <f t="shared" si="10"/>
        <v>8.6082318034868219</v>
      </c>
      <c r="CC10" s="62">
        <f t="shared" si="11"/>
        <v>273.83045402570906</v>
      </c>
      <c r="CD10" s="62">
        <f ca="1">AVERAGE(OFFSET($CC$3,0,0,'Données projet'!$E$12+1,1))-AVERAGE(OFFSET($H$3,0,0,'Données projet'!$E$12+1,1))</f>
        <v>211.05980622218578</v>
      </c>
      <c r="CE10" s="62">
        <f t="shared" si="40"/>
        <v>168.57746894604855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1.5341666666666667</v>
      </c>
      <c r="CT10" s="13">
        <f>IF('Données projet'!$A$140&gt;35,CT9+CS10-DB9,IF(A10&lt;'Données projet'!$A$140,$CQ$205^A10,IF(A10='Données projet'!$A$140,'Données projet'!$B$140,CT9+CS10-DB9)))</f>
        <v>6.7625545245201764</v>
      </c>
      <c r="CU10" s="18">
        <f>CT10*VLOOKUP('Données projet'!$B$13,Paramètres!$A$1:$I$89,3,0)*VLOOKUP('Données projet'!$B$13,Paramètres!$A$1:$I$89,5,0)</f>
        <v>7.7904628122472417</v>
      </c>
      <c r="CV10" s="14">
        <f t="shared" si="41"/>
        <v>2.8270751967810739</v>
      </c>
      <c r="CW10" s="22">
        <f t="shared" si="13"/>
        <v>18.492212032390984</v>
      </c>
      <c r="CX10" s="62">
        <f t="shared" si="14"/>
        <v>283.7144342546132</v>
      </c>
      <c r="CY10" s="62">
        <f ca="1">AVERAGE(OFFSET($CX$3,0,0,'Données projet'!$E$13+1,1))-AVERAGE(OFFSET($H$3,0,0,'Données projet'!$E$13+1,1))</f>
        <v>191.79777926975839</v>
      </c>
      <c r="CZ10" s="62">
        <f t="shared" si="42"/>
        <v>156.66161375678712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1.8956</v>
      </c>
      <c r="DO10" s="13">
        <f>IF('Données projet'!$A$166&gt;35,DO9+DN10-DW9,IF(A10&lt;'Données projet'!$A$166,$DL$205^A10,IF(A10='Données projet'!$A$166,'Données projet'!$B$166,DO9+DN10-DW9)))</f>
        <v>2.9457255281743722</v>
      </c>
      <c r="DP10" s="18">
        <f>DO10*VLOOKUP('Données projet'!$B$14,Paramètres!$A$1:$I$89,3,0)*VLOOKUP('Données projet'!$B$14,Paramètres!$A$1:$I$89,5,0)</f>
        <v>3.2167322767664146</v>
      </c>
      <c r="DQ10" s="14">
        <f t="shared" si="43"/>
        <v>1.2939094518883594</v>
      </c>
      <c r="DR10" s="22">
        <f t="shared" si="16"/>
        <v>7.8560343440737306</v>
      </c>
      <c r="DS10" s="62">
        <f t="shared" si="17"/>
        <v>273.07825656629598</v>
      </c>
      <c r="DT10" s="62">
        <f ca="1">AVERAGE(OFFSET($DS$3,0,0,'Données projet'!$E$14+1,1))-AVERAGE(OFFSET($H$3,0,0,'Données projet'!$E$14+1,1))</f>
        <v>541.0854688453461</v>
      </c>
      <c r="DU10" s="62">
        <f t="shared" si="44"/>
        <v>171.04847168584473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5</v>
      </c>
      <c r="EJ10" s="13">
        <f>IF('Données projet'!$A$192&gt;35,EJ9+EI10-ER9,IF(A10&lt;'Données projet'!$A$192,$EG$205^A10,IF(A10='Données projet'!$A$192,'Données projet'!$B$192,EJ9+EI10-ER9)))</f>
        <v>3.3243712501099933</v>
      </c>
      <c r="EK10" s="18">
        <f>EJ10*VLOOKUP('Données projet'!$B$15,Paramètres!$A$1:$I$89,3,0)*VLOOKUP('Données projet'!$B$15,Paramètres!$A$1:$I$89,5,0)</f>
        <v>1.9879740075657761</v>
      </c>
      <c r="EL10" s="14">
        <f t="shared" si="45"/>
        <v>0.84572225859279326</v>
      </c>
      <c r="EM10" s="22">
        <f t="shared" si="19"/>
        <v>4.9353543302261746</v>
      </c>
      <c r="EN10" s="62">
        <f t="shared" si="20"/>
        <v>270.1575765524484</v>
      </c>
      <c r="EO10" s="62">
        <f ca="1">AVERAGE(OFFSET($EN$3,0,0,'Données projet'!$E$15+1,1))-AVERAGE(OFFSET($H$3,0,0,'Données projet'!$E$15+1,1))</f>
        <v>244.01698421598974</v>
      </c>
      <c r="EP10" s="62">
        <f t="shared" si="46"/>
        <v>156.96653202915024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0.9</v>
      </c>
      <c r="FE10" s="13">
        <f>IF('Données projet'!$A$218&gt;35,FE9+FD10-FM9,IF(A10&lt;'Données projet'!$A$218,$FB$205^A10,IF(A10='Données projet'!$A$218,'Données projet'!$B$218,FE9+FD10-FM9)))</f>
        <v>2.7500803110319185</v>
      </c>
      <c r="FF10" s="18">
        <f>FE10*VLOOKUP('Données projet'!$B$16,Paramètres!$A$1:$I$89,3,0)*VLOOKUP('Données projet'!$B$16,Paramètres!$A$1:$I$89,5,0)</f>
        <v>2.4024701597174842</v>
      </c>
      <c r="FG10" s="14">
        <f t="shared" si="47"/>
        <v>0.9997731648390682</v>
      </c>
      <c r="FH10" s="22">
        <f t="shared" si="22"/>
        <v>5.9255737902693291</v>
      </c>
      <c r="FI10" s="62">
        <f t="shared" si="23"/>
        <v>271.14779601249154</v>
      </c>
      <c r="FJ10" s="62">
        <f ca="1">AVERAGE(OFFSET($FI$3,0,0,'Données projet'!$E$16+1,1))-AVERAGE(OFFSET($H$3,0,0,'Données projet'!$E$16+1,1))</f>
        <v>175.08726167127026</v>
      </c>
      <c r="FK10" s="62">
        <f t="shared" si="48"/>
        <v>196.05343924817117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1.4</v>
      </c>
      <c r="FZ10" s="13">
        <f>IF('Données projet'!$A$244&gt;35,FZ9+FY10-GH9,IF(A10&lt;'Données projet'!$A$244,$FW$205^A10,IF(A10='Données projet'!$A$244,'Données projet'!$B$244,FZ9+FY10-GH9)))</f>
        <v>4.1403368017347359</v>
      </c>
      <c r="GA10" s="18">
        <f>FZ10*VLOOKUP('Données projet'!$B$17,Paramètres!$A$1:$I$89,3,0)*VLOOKUP('Données projet'!$B$17,Paramètres!$A$1:$I$89,5,0)</f>
        <v>2.7127486724965988</v>
      </c>
      <c r="GB10" s="14">
        <f t="shared" si="49"/>
        <v>1.1130450735577131</v>
      </c>
      <c r="GC10" s="22">
        <f t="shared" si="25"/>
        <v>6.6632574410445926</v>
      </c>
      <c r="GD10" s="62">
        <f t="shared" si="26"/>
        <v>271.88547966326684</v>
      </c>
      <c r="GE10" s="62">
        <f ca="1">AVERAGE(OFFSET($GD$3,0,0,'Données projet'!$E$17+1,1))-AVERAGE(OFFSET($H$3,0,0,'Données projet'!$E$17+1,1))</f>
        <v>142.93037460866543</v>
      </c>
      <c r="GF10" s="62">
        <f t="shared" si="50"/>
        <v>146.18554498808049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1.05</v>
      </c>
      <c r="GU10" s="13">
        <f>IF('Données projet'!$A$270&gt;35,GU9+GT10-HC9,IF(A10&lt;'Données projet'!$A$270,$GR$205^A10,IF(A10='Données projet'!$A$270,'Données projet'!$B$270,GU9+GT10-HC9)))</f>
        <v>2.9025302401826014</v>
      </c>
      <c r="GV10" s="18">
        <f>GU10*VLOOKUP('Données projet'!$B$18,Paramètres!$A$1:$I$89,3,0)*VLOOKUP('Données projet'!$B$18,Paramètres!$A$1:$I$89,5,0)</f>
        <v>2.4903709460766725</v>
      </c>
      <c r="GW10" s="14">
        <f t="shared" si="51"/>
        <v>1.032026790892222</v>
      </c>
      <c r="GX10" s="22">
        <f t="shared" si="28"/>
        <v>6.1348427252208246</v>
      </c>
      <c r="GY10" s="62">
        <f t="shared" si="29"/>
        <v>271.35706494744306</v>
      </c>
      <c r="GZ10" s="62">
        <f ca="1">AVERAGE(OFFSET($GY$3,0,0,'Données projet'!$E$18+1,1))-AVERAGE(OFFSET($H$3,0,0,'Données projet'!$E$18+1,1))</f>
        <v>188.08607733149256</v>
      </c>
      <c r="HA10" s="62">
        <f t="shared" si="52"/>
        <v>119.95698016603842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2.3919999999999999</v>
      </c>
      <c r="D11" s="12">
        <f t="shared" si="32"/>
        <v>0.99592225982103633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26.152382356513261</v>
      </c>
      <c r="H11" s="70">
        <f t="shared" si="1"/>
        <v>262.56729793585498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1.05</v>
      </c>
      <c r="N11" s="14">
        <f>IF('Données projet'!$A$36&gt;35,N10+M11-V10,IF(A11&lt;'Données projet'!$A$36,$K$205^A11,IF(A11='Données projet'!$A$36,'Données projet'!$B$36,N10+M11-V10)))</f>
        <v>3.3797744452354301</v>
      </c>
      <c r="O11" s="14">
        <f>N11*VLOOKUP('Données projet'!$B$9,Paramètres!$A$1:$I$89,3,0)*VLOOKUP('Données projet'!$B$9,Paramètres!$A$1:$I$89,5,0)</f>
        <v>3.6379892128514166</v>
      </c>
      <c r="P11" s="14">
        <f t="shared" si="33"/>
        <v>1.4425444495603463</v>
      </c>
      <c r="Q11" s="22">
        <f t="shared" si="2"/>
        <v>8.8485961287004873</v>
      </c>
      <c r="R11" s="62">
        <f t="shared" si="0"/>
        <v>275.29304057314494</v>
      </c>
      <c r="S11" s="62">
        <f ca="1">AVERAGE(OFFSET($R$3,0,0,'Données projet'!$E$9+1,1))-AVERAGE(OFFSET($H$3,0,0,'Données projet'!$E$9+1,1))</f>
        <v>236.98575892380046</v>
      </c>
      <c r="T11" s="62">
        <f t="shared" si="34"/>
        <v>145.77678223659774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1.4025641025641027</v>
      </c>
      <c r="AI11" s="14">
        <f>IF('Données projet'!$A$62&gt;35,AI10+AH11-AQ10,IF(A11&lt;'Données projet'!$A$62,$AF$205^A11,IF(A11='Données projet'!$A$62,'Données projet'!$B$62,AI10+AH11-AQ10)))</f>
        <v>5.07700341029825</v>
      </c>
      <c r="AJ11" s="14">
        <f>AI11*VLOOKUP('Données projet'!$B$10,Paramètres!$A$1:$I$89,3,0)*VLOOKUP('Données projet'!$B$10,Paramètres!$A$1:$I$89,5,0)</f>
        <v>2.9700469950244766</v>
      </c>
      <c r="AK11" s="14">
        <f t="shared" si="35"/>
        <v>1.2058290308750339</v>
      </c>
      <c r="AL11" s="22">
        <f t="shared" si="4"/>
        <v>7.272984078441648</v>
      </c>
      <c r="AM11" s="62">
        <f t="shared" si="5"/>
        <v>273.71742852288611</v>
      </c>
      <c r="AN11" s="62">
        <f ca="1">AVERAGE(OFFSET($AM$3,0,0,'Données projet'!$E$10+1,1))-AVERAGE(OFFSET($H$3,0,0,'Données projet'!$E$10+1,1))</f>
        <v>140.04898296125504</v>
      </c>
      <c r="AO11" s="62">
        <f t="shared" si="36"/>
        <v>129.5395511270716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3.4425641025641025</v>
      </c>
      <c r="BD11" s="13">
        <f>IF('Données projet'!$A$88&gt;35,BD10+BC11-BL10,IF(A11&lt;'Données projet'!$A$88,$BA$205^A11,IF(A11='Données projet'!$A$88,'Données projet'!$B$88,BD10+BC11-BL10)))</f>
        <v>3.4440349034385327</v>
      </c>
      <c r="BE11" s="14">
        <f>BD11*VLOOKUP('Données projet'!$B$11,Paramètres!$A$1:$I$89,3,0)*VLOOKUP('Données projet'!$B$11,Paramètres!$A$1:$I$89,5,0)</f>
        <v>1.6118083348092334</v>
      </c>
      <c r="BF11" s="14">
        <f t="shared" si="37"/>
        <v>0.70264212414165761</v>
      </c>
      <c r="BG11" s="22">
        <f t="shared" si="7"/>
        <v>4.0310012160061346</v>
      </c>
      <c r="BH11" s="62">
        <f t="shared" si="8"/>
        <v>270.47544566045059</v>
      </c>
      <c r="BI11" s="62">
        <f ca="1">AVERAGE(OFFSET($BH$3,0,0,'Données projet'!$E$11+1,1))-AVERAGE(OFFSET($H$3,0,0,'Données projet'!$E$11+1,1))</f>
        <v>207.84100251878419</v>
      </c>
      <c r="BJ11" s="62">
        <f t="shared" si="38"/>
        <v>124.34917784241952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4.0533333333333328</v>
      </c>
      <c r="BY11" s="13">
        <f>IF('Données projet'!$A$114&gt;35,BY10+BX11-CG10,IF(A11&lt;'Données projet'!$A$114,$BV$205^A11,IF(A11='Données projet'!$A$114,'Données projet'!$B$114,BY10+BX11-CG10)))</f>
        <v>8.9416000896770953</v>
      </c>
      <c r="BZ11" s="14">
        <f>BY11*VLOOKUP('Données projet'!$B$12,Paramètres!$A$1:$I$89,3,0)*VLOOKUP('Données projet'!$B$12,Paramètres!$A$1:$I$89,5,0)</f>
        <v>4.6496320466320897</v>
      </c>
      <c r="CA11" s="14">
        <f t="shared" si="39"/>
        <v>1.7917735751534802</v>
      </c>
      <c r="CB11" s="22">
        <f t="shared" si="10"/>
        <v>11.218781457943201</v>
      </c>
      <c r="CC11" s="62">
        <f t="shared" si="11"/>
        <v>277.66322590238764</v>
      </c>
      <c r="CD11" s="62">
        <f ca="1">AVERAGE(OFFSET($CC$3,0,0,'Données projet'!$E$12+1,1))-AVERAGE(OFFSET($H$3,0,0,'Données projet'!$E$12+1,1))</f>
        <v>211.05980622218578</v>
      </c>
      <c r="CE11" s="62">
        <f t="shared" si="40"/>
        <v>168.57746894604855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1.5341666666666667</v>
      </c>
      <c r="CT11" s="13">
        <f>IF('Données projet'!$A$140&gt;35,CT10+CS11-DB10,IF(A11&lt;'Données projet'!$A$140,$CQ$205^A11,IF(A11='Données projet'!$A$140,'Données projet'!$B$140,CT10+CS11-DB10)))</f>
        <v>8.8858306899648145</v>
      </c>
      <c r="CU11" s="18">
        <f>CT11*VLOOKUP('Données projet'!$B$13,Paramètres!$A$1:$I$89,3,0)*VLOOKUP('Données projet'!$B$13,Paramètres!$A$1:$I$89,5,0)</f>
        <v>10.236476954839466</v>
      </c>
      <c r="CV11" s="14">
        <f t="shared" si="41"/>
        <v>3.5984962811377996</v>
      </c>
      <c r="CW11" s="22">
        <f t="shared" si="13"/>
        <v>24.095911719327074</v>
      </c>
      <c r="CX11" s="62">
        <f t="shared" si="14"/>
        <v>290.54035616377155</v>
      </c>
      <c r="CY11" s="62">
        <f ca="1">AVERAGE(OFFSET($CX$3,0,0,'Données projet'!$E$13+1,1))-AVERAGE(OFFSET($H$3,0,0,'Données projet'!$E$13+1,1))</f>
        <v>191.79777926975839</v>
      </c>
      <c r="CZ11" s="62">
        <f t="shared" si="42"/>
        <v>156.66161375678712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1.8956</v>
      </c>
      <c r="DO11" s="13">
        <f>IF('Données projet'!$A$166&gt;35,DO10+DN11-DW10,IF(A11&lt;'Données projet'!$A$166,$DL$205^A11,IF(A11='Données projet'!$A$166,'Données projet'!$B$166,DO10+DN11-DW10)))</f>
        <v>3.4373182728438447</v>
      </c>
      <c r="DP11" s="18">
        <f>DO11*VLOOKUP('Données projet'!$B$14,Paramètres!$A$1:$I$89,3,0)*VLOOKUP('Données projet'!$B$14,Paramètres!$A$1:$I$89,5,0)</f>
        <v>3.7535515539454782</v>
      </c>
      <c r="DQ11" s="14">
        <f t="shared" si="43"/>
        <v>1.4829597249989253</v>
      </c>
      <c r="DR11" s="22">
        <f t="shared" si="16"/>
        <v>9.1202571441615028</v>
      </c>
      <c r="DS11" s="62">
        <f t="shared" si="17"/>
        <v>275.56470158860594</v>
      </c>
      <c r="DT11" s="62">
        <f ca="1">AVERAGE(OFFSET($DS$3,0,0,'Données projet'!$E$14+1,1))-AVERAGE(OFFSET($H$3,0,0,'Données projet'!$E$14+1,1))</f>
        <v>541.0854688453461</v>
      </c>
      <c r="DU11" s="62">
        <f t="shared" si="44"/>
        <v>171.04847168584473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5</v>
      </c>
      <c r="EJ11" s="13">
        <f>IF('Données projet'!$A$192&gt;35,EJ10+EI11-ER10,IF(A11&lt;'Données projet'!$A$192,$EG$205^A11,IF(A11='Données projet'!$A$192,'Données projet'!$B$192,EJ10+EI11-ER10)))</f>
        <v>3.9467484664706216</v>
      </c>
      <c r="EK11" s="18">
        <f>EJ11*VLOOKUP('Données projet'!$B$15,Paramètres!$A$1:$I$89,3,0)*VLOOKUP('Données projet'!$B$15,Paramètres!$A$1:$I$89,5,0)</f>
        <v>2.3601555829494321</v>
      </c>
      <c r="EL11" s="14">
        <f t="shared" si="45"/>
        <v>0.98419784118216058</v>
      </c>
      <c r="EM11" s="22">
        <f t="shared" si="19"/>
        <v>5.8247488803625238</v>
      </c>
      <c r="EN11" s="62">
        <f t="shared" si="20"/>
        <v>272.26919332480696</v>
      </c>
      <c r="EO11" s="62">
        <f ca="1">AVERAGE(OFFSET($EN$3,0,0,'Données projet'!$E$15+1,1))-AVERAGE(OFFSET($H$3,0,0,'Données projet'!$E$15+1,1))</f>
        <v>244.01698421598974</v>
      </c>
      <c r="EP11" s="62">
        <f t="shared" si="46"/>
        <v>156.96653202915024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0.9</v>
      </c>
      <c r="FE11" s="13">
        <f>IF('Données projet'!$A$218&gt;35,FE10+FD11-FM10,IF(A11&lt;'Données projet'!$A$218,$FB$205^A11,IF(A11='Données projet'!$A$218,'Données projet'!$B$218,FE10+FD11-FM10)))</f>
        <v>3.1776715231464374</v>
      </c>
      <c r="FF11" s="18">
        <f>FE11*VLOOKUP('Données projet'!$B$16,Paramètres!$A$1:$I$89,3,0)*VLOOKUP('Données projet'!$B$16,Paramètres!$A$1:$I$89,5,0)</f>
        <v>2.7760138426207281</v>
      </c>
      <c r="FG11" s="14">
        <f t="shared" si="47"/>
        <v>1.135950520408497</v>
      </c>
      <c r="FH11" s="22">
        <f t="shared" si="22"/>
        <v>6.8133379322758998</v>
      </c>
      <c r="FI11" s="62">
        <f t="shared" si="23"/>
        <v>273.25778237672034</v>
      </c>
      <c r="FJ11" s="62">
        <f ca="1">AVERAGE(OFFSET($FI$3,0,0,'Données projet'!$E$16+1,1))-AVERAGE(OFFSET($H$3,0,0,'Données projet'!$E$16+1,1))</f>
        <v>175.08726167127026</v>
      </c>
      <c r="FK11" s="62">
        <f t="shared" si="48"/>
        <v>196.05343924817117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1.4</v>
      </c>
      <c r="FZ11" s="13">
        <f>IF('Données projet'!$A$244&gt;35,FZ10+FY11-GH10,IF(A11&lt;'Données projet'!$A$244,$FW$205^A11,IF(A11='Données projet'!$A$244,'Données projet'!$B$244,FZ10+FY11-GH10)))</f>
        <v>5.0720511411538638</v>
      </c>
      <c r="GA11" s="18">
        <f>FZ11*VLOOKUP('Données projet'!$B$17,Paramètres!$A$1:$I$89,3,0)*VLOOKUP('Données projet'!$B$17,Paramètres!$A$1:$I$89,5,0)</f>
        <v>3.3232079076840115</v>
      </c>
      <c r="GB11" s="14">
        <f t="shared" si="49"/>
        <v>1.3316812440724981</v>
      </c>
      <c r="GC11" s="22">
        <f t="shared" si="25"/>
        <v>8.1072652726425876</v>
      </c>
      <c r="GD11" s="62">
        <f t="shared" si="26"/>
        <v>274.55170971708702</v>
      </c>
      <c r="GE11" s="62">
        <f ca="1">AVERAGE(OFFSET($GD$3,0,0,'Données projet'!$E$17+1,1))-AVERAGE(OFFSET($H$3,0,0,'Données projet'!$E$17+1,1))</f>
        <v>142.93037460866543</v>
      </c>
      <c r="GF11" s="62">
        <f t="shared" si="50"/>
        <v>146.18554498808049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1.05</v>
      </c>
      <c r="GU11" s="13">
        <f>IF('Données projet'!$A$270&gt;35,GU10+GT11-HC10,IF(A11&lt;'Données projet'!$A$270,$GR$205^A11,IF(A11='Données projet'!$A$270,'Données projet'!$B$270,GU10+GT11-HC10)))</f>
        <v>3.3797744452354301</v>
      </c>
      <c r="GV11" s="18">
        <f>GU11*VLOOKUP('Données projet'!$B$18,Paramètres!$A$1:$I$89,3,0)*VLOOKUP('Données projet'!$B$18,Paramètres!$A$1:$I$89,5,0)</f>
        <v>2.8998464740119996</v>
      </c>
      <c r="GW11" s="14">
        <f t="shared" si="51"/>
        <v>1.1806104417016787</v>
      </c>
      <c r="GX11" s="22">
        <f t="shared" si="28"/>
        <v>7.1067957948679883</v>
      </c>
      <c r="GY11" s="62">
        <f t="shared" si="29"/>
        <v>273.55124023931245</v>
      </c>
      <c r="GZ11" s="62">
        <f ca="1">AVERAGE(OFFSET($GY$3,0,0,'Données projet'!$E$18+1,1))-AVERAGE(OFFSET($H$3,0,0,'Données projet'!$E$18+1,1))</f>
        <v>188.08607733149256</v>
      </c>
      <c r="HA11" s="62">
        <f t="shared" si="52"/>
        <v>119.95698016603842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2.6909999999999998</v>
      </c>
      <c r="D12" s="12">
        <f t="shared" si="32"/>
        <v>1.1051565658376226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29.30366471874656</v>
      </c>
      <c r="H12" s="70">
        <f t="shared" si="1"/>
        <v>263.27830601883386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1.05</v>
      </c>
      <c r="N12" s="14">
        <f>IF('Données projet'!$A$36&gt;35,N11+M12-V11,IF(A12&lt;'Données projet'!$A$36,$K$205^A12,IF(A12='Données projet'!$A$36,'Données projet'!$B$36,N11+M12-V11)))</f>
        <v>3.9354888168013828</v>
      </c>
      <c r="O12" s="14">
        <f>N12*VLOOKUP('Données projet'!$B$9,Paramètres!$A$1:$I$89,3,0)*VLOOKUP('Données projet'!$B$9,Paramètres!$A$1:$I$89,5,0)</f>
        <v>4.2361601624050085</v>
      </c>
      <c r="P12" s="14">
        <f t="shared" si="33"/>
        <v>1.6502314230596411</v>
      </c>
      <c r="Q12" s="22">
        <f t="shared" si="2"/>
        <v>10.252132011350932</v>
      </c>
      <c r="R12" s="62">
        <f t="shared" si="0"/>
        <v>277.91879867801759</v>
      </c>
      <c r="S12" s="62">
        <f ca="1">AVERAGE(OFFSET($R$3,0,0,'Données projet'!$E$9+1,1))-AVERAGE(OFFSET($H$3,0,0,'Données projet'!$E$9+1,1))</f>
        <v>236.98575892380046</v>
      </c>
      <c r="T12" s="62">
        <f t="shared" si="34"/>
        <v>145.77678223659774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1.4025641025641027</v>
      </c>
      <c r="AI12" s="14">
        <f>IF('Données projet'!$A$62&gt;35,AI11+AH12-AQ11,IF(A12&lt;'Données projet'!$A$62,$AF$205^A12,IF(A12='Données projet'!$A$62,'Données projet'!$B$62,AI11+AH12-AQ11)))</f>
        <v>6.2202578360947607</v>
      </c>
      <c r="AJ12" s="14">
        <f>AI12*VLOOKUP('Données projet'!$B$10,Paramètres!$A$1:$I$89,3,0)*VLOOKUP('Données projet'!$B$10,Paramètres!$A$1:$I$89,5,0)</f>
        <v>3.6388508341154351</v>
      </c>
      <c r="AK12" s="14">
        <f t="shared" si="35"/>
        <v>1.4428463292722393</v>
      </c>
      <c r="AL12" s="22">
        <f t="shared" si="4"/>
        <v>8.8506225595668653</v>
      </c>
      <c r="AM12" s="62">
        <f t="shared" si="5"/>
        <v>276.51728922623357</v>
      </c>
      <c r="AN12" s="62">
        <f ca="1">AVERAGE(OFFSET($AM$3,0,0,'Données projet'!$E$10+1,1))-AVERAGE(OFFSET($H$3,0,0,'Données projet'!$E$10+1,1))</f>
        <v>140.04898296125504</v>
      </c>
      <c r="AO12" s="62">
        <f t="shared" si="36"/>
        <v>129.5395511270716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3.4425641025641025</v>
      </c>
      <c r="BD12" s="13">
        <f>IF('Données projet'!$A$88&gt;35,BD11+BC12-BL11,IF(A12&lt;'Données projet'!$A$88,$BA$205^A12,IF(A12='Données projet'!$A$88,'Données projet'!$B$88,BD11+BC12-BL11)))</f>
        <v>4.0197679866952116</v>
      </c>
      <c r="BE12" s="14">
        <f>BD12*VLOOKUP('Données projet'!$B$11,Paramètres!$A$1:$I$89,3,0)*VLOOKUP('Données projet'!$B$11,Paramètres!$A$1:$I$89,5,0)</f>
        <v>1.881251417773359</v>
      </c>
      <c r="BF12" s="14">
        <f t="shared" si="37"/>
        <v>0.80547727641405575</v>
      </c>
      <c r="BG12" s="22">
        <f t="shared" si="7"/>
        <v>4.6793858090430804</v>
      </c>
      <c r="BH12" s="62">
        <f t="shared" si="8"/>
        <v>272.34605247570977</v>
      </c>
      <c r="BI12" s="62">
        <f ca="1">AVERAGE(OFFSET($BH$3,0,0,'Données projet'!$E$11+1,1))-AVERAGE(OFFSET($H$3,0,0,'Données projet'!$E$11+1,1))</f>
        <v>207.84100251878419</v>
      </c>
      <c r="BJ12" s="62">
        <f t="shared" si="38"/>
        <v>124.34917784241952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4.0533333333333328</v>
      </c>
      <c r="BY12" s="13">
        <f>IF('Données projet'!$A$114&gt;35,BY11+BX12-CG11,IF(A12&lt;'Données projet'!$A$114,$BV$205^A12,IF(A12='Données projet'!$A$114,'Données projet'!$B$114,BY11+BX12-CG11)))</f>
        <v>11.758235319949707</v>
      </c>
      <c r="BZ12" s="14">
        <f>BY12*VLOOKUP('Données projet'!$B$12,Paramètres!$A$1:$I$89,3,0)*VLOOKUP('Données projet'!$B$12,Paramètres!$A$1:$I$89,5,0)</f>
        <v>6.1142823663738488</v>
      </c>
      <c r="CA12" s="14">
        <f t="shared" si="39"/>
        <v>2.2822695759872</v>
      </c>
      <c r="CB12" s="22">
        <f t="shared" si="10"/>
        <v>14.623994632945491</v>
      </c>
      <c r="CC12" s="62">
        <f t="shared" si="11"/>
        <v>282.29066129961217</v>
      </c>
      <c r="CD12" s="62">
        <f ca="1">AVERAGE(OFFSET($CC$3,0,0,'Données projet'!$E$12+1,1))-AVERAGE(OFFSET($H$3,0,0,'Données projet'!$E$12+1,1))</f>
        <v>211.05980622218578</v>
      </c>
      <c r="CE12" s="62">
        <f t="shared" si="40"/>
        <v>168.57746894604855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1.5341666666666667</v>
      </c>
      <c r="CT12" s="13">
        <f>IF('Données projet'!$A$140&gt;35,CT11+CS12-DB11,IF(A12&lt;'Données projet'!$A$140,$CQ$205^A12,IF(A12='Données projet'!$A$140,'Données projet'!$B$140,CT11+CS12-DB11)))</f>
        <v>11.675763465481689</v>
      </c>
      <c r="CU12" s="18">
        <f>CT12*VLOOKUP('Données projet'!$B$13,Paramètres!$A$1:$I$89,3,0)*VLOOKUP('Données projet'!$B$13,Paramètres!$A$1:$I$89,5,0)</f>
        <v>13.450479512234905</v>
      </c>
      <c r="CV12" s="14">
        <f t="shared" si="41"/>
        <v>4.5804142387533915</v>
      </c>
      <c r="CW12" s="22">
        <f t="shared" si="13"/>
        <v>31.403806616304621</v>
      </c>
      <c r="CX12" s="62">
        <f t="shared" si="14"/>
        <v>299.07047328297131</v>
      </c>
      <c r="CY12" s="62">
        <f ca="1">AVERAGE(OFFSET($CX$3,0,0,'Données projet'!$E$13+1,1))-AVERAGE(OFFSET($H$3,0,0,'Données projet'!$E$13+1,1))</f>
        <v>191.79777926975839</v>
      </c>
      <c r="CZ12" s="62">
        <f t="shared" si="42"/>
        <v>156.66161375678712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1.8956</v>
      </c>
      <c r="DO12" s="13">
        <f>IF('Données projet'!$A$166&gt;35,DO11+DN12-DW11,IF(A12&lt;'Données projet'!$A$166,$DL$205^A12,IF(A12='Données projet'!$A$166,'Données projet'!$B$166,DO11+DN12-DW11)))</f>
        <v>4.0109496950140811</v>
      </c>
      <c r="DP12" s="18">
        <f>DO12*VLOOKUP('Données projet'!$B$14,Paramètres!$A$1:$I$89,3,0)*VLOOKUP('Données projet'!$B$14,Paramètres!$A$1:$I$89,5,0)</f>
        <v>4.3799570669553765</v>
      </c>
      <c r="DQ12" s="14">
        <f t="shared" si="43"/>
        <v>1.6996317190197294</v>
      </c>
      <c r="DR12" s="22">
        <f t="shared" si="16"/>
        <v>10.588617135573308</v>
      </c>
      <c r="DS12" s="62">
        <f t="shared" si="17"/>
        <v>278.25528380224</v>
      </c>
      <c r="DT12" s="62">
        <f ca="1">AVERAGE(OFFSET($DS$3,0,0,'Données projet'!$E$14+1,1))-AVERAGE(OFFSET($H$3,0,0,'Données projet'!$E$14+1,1))</f>
        <v>541.0854688453461</v>
      </c>
      <c r="DU12" s="62">
        <f t="shared" si="44"/>
        <v>171.04847168584473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5</v>
      </c>
      <c r="EJ12" s="13">
        <f>IF('Données projet'!$A$192&gt;35,EJ11+EI12-ER11,IF(A12&lt;'Données projet'!$A$192,$EG$205^A12,IF(A12='Données projet'!$A$192,'Données projet'!$B$192,EJ11+EI12-ER11)))</f>
        <v>4.6856449793544614</v>
      </c>
      <c r="EK12" s="18">
        <f>EJ12*VLOOKUP('Données projet'!$B$15,Paramètres!$A$1:$I$89,3,0)*VLOOKUP('Données projet'!$B$15,Paramètres!$A$1:$I$89,5,0)</f>
        <v>2.8020156976539679</v>
      </c>
      <c r="EL12" s="14">
        <f t="shared" si="45"/>
        <v>1.1453469277246706</v>
      </c>
      <c r="EM12" s="22">
        <f t="shared" si="19"/>
        <v>6.8749899058677952</v>
      </c>
      <c r="EN12" s="62">
        <f t="shared" si="20"/>
        <v>274.54165657253446</v>
      </c>
      <c r="EO12" s="62">
        <f ca="1">AVERAGE(OFFSET($EN$3,0,0,'Données projet'!$E$15+1,1))-AVERAGE(OFFSET($H$3,0,0,'Données projet'!$E$15+1,1))</f>
        <v>244.01698421598974</v>
      </c>
      <c r="EP12" s="62">
        <f t="shared" si="46"/>
        <v>156.96653202915024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0.9</v>
      </c>
      <c r="FE12" s="13">
        <f>IF('Données projet'!$A$218&gt;35,FE11+FD12-FM11,IF(A12&lt;'Données projet'!$A$218,$FB$205^A12,IF(A12='Données projet'!$A$218,'Données projet'!$B$218,FE11+FD12-FM11)))</f>
        <v>3.6717459735664435</v>
      </c>
      <c r="FF12" s="18">
        <f>FE12*VLOOKUP('Données projet'!$B$16,Paramètres!$A$1:$I$89,3,0)*VLOOKUP('Données projet'!$B$16,Paramètres!$A$1:$I$89,5,0)</f>
        <v>3.2076372825076458</v>
      </c>
      <c r="FG12" s="14">
        <f t="shared" si="47"/>
        <v>1.290676355595167</v>
      </c>
      <c r="FH12" s="22">
        <f t="shared" si="22"/>
        <v>7.834562919695732</v>
      </c>
      <c r="FI12" s="62">
        <f t="shared" si="23"/>
        <v>275.5012295863624</v>
      </c>
      <c r="FJ12" s="62">
        <f ca="1">AVERAGE(OFFSET($FI$3,0,0,'Données projet'!$E$16+1,1))-AVERAGE(OFFSET($H$3,0,0,'Données projet'!$E$16+1,1))</f>
        <v>175.08726167127026</v>
      </c>
      <c r="FK12" s="62">
        <f t="shared" si="48"/>
        <v>196.05343924817117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1.4</v>
      </c>
      <c r="FZ12" s="13">
        <f>IF('Données projet'!$A$244&gt;35,FZ11+FY12-GH11,IF(A12&lt;'Données projet'!$A$244,$FW$205^A12,IF(A12='Données projet'!$A$244,'Données projet'!$B$244,FZ11+FY12-GH11)))</f>
        <v>6.2134323873607444</v>
      </c>
      <c r="GA12" s="18">
        <f>FZ12*VLOOKUP('Données projet'!$B$17,Paramètres!$A$1:$I$89,3,0)*VLOOKUP('Données projet'!$B$17,Paramètres!$A$1:$I$89,5,0)</f>
        <v>4.07104090019876</v>
      </c>
      <c r="GB12" s="14">
        <f t="shared" si="49"/>
        <v>1.5932642603107703</v>
      </c>
      <c r="GC12" s="22">
        <f t="shared" si="25"/>
        <v>9.8653314878874312</v>
      </c>
      <c r="GD12" s="62">
        <f t="shared" si="26"/>
        <v>277.53199815455412</v>
      </c>
      <c r="GE12" s="62">
        <f ca="1">AVERAGE(OFFSET($GD$3,0,0,'Données projet'!$E$17+1,1))-AVERAGE(OFFSET($H$3,0,0,'Données projet'!$E$17+1,1))</f>
        <v>142.93037460866543</v>
      </c>
      <c r="GF12" s="62">
        <f t="shared" si="50"/>
        <v>146.18554498808049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1.05</v>
      </c>
      <c r="GU12" s="13">
        <f>IF('Données projet'!$A$270&gt;35,GU11+GT12-HC11,IF(A12&lt;'Données projet'!$A$270,$GR$205^A12,IF(A12='Données projet'!$A$270,'Données projet'!$B$270,GU11+GT12-HC11)))</f>
        <v>3.9354888168013828</v>
      </c>
      <c r="GV12" s="18">
        <f>GU12*VLOOKUP('Données projet'!$B$18,Paramètres!$A$1:$I$89,3,0)*VLOOKUP('Données projet'!$B$18,Paramètres!$A$1:$I$89,5,0)</f>
        <v>3.3766494048155864</v>
      </c>
      <c r="GW12" s="14">
        <f t="shared" si="51"/>
        <v>1.3505860771792664</v>
      </c>
      <c r="GX12" s="22">
        <f t="shared" si="28"/>
        <v>8.233268464474369</v>
      </c>
      <c r="GY12" s="62">
        <f t="shared" si="29"/>
        <v>275.89993513114104</v>
      </c>
      <c r="GZ12" s="62">
        <f ca="1">AVERAGE(OFFSET($GY$3,0,0,'Données projet'!$E$18+1,1))-AVERAGE(OFFSET($H$3,0,0,'Données projet'!$E$18+1,1))</f>
        <v>188.08607733149256</v>
      </c>
      <c r="HA12" s="62">
        <f t="shared" si="52"/>
        <v>119.95698016603842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2.9899999999999998</v>
      </c>
      <c r="D13" s="12">
        <f t="shared" si="32"/>
        <v>1.2129841524368585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32.444088194249439</v>
      </c>
      <c r="H13" s="70">
        <f t="shared" si="1"/>
        <v>263.98686406549422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1.05</v>
      </c>
      <c r="N13" s="14">
        <f>IF('Données projet'!$A$36&gt;35,N12+M13-V12,IF(A13&lt;'Données projet'!$A$36,$K$205^A13,IF(A13='Données projet'!$A$36,'Données projet'!$B$36,N12+M13-V12)))</f>
        <v>4.5825756949558425</v>
      </c>
      <c r="O13" s="14">
        <f>N13*VLOOKUP('Données projet'!$B$9,Paramètres!$A$1:$I$89,3,0)*VLOOKUP('Données projet'!$B$9,Paramètres!$A$1:$I$89,5,0)</f>
        <v>4.9326844780504686</v>
      </c>
      <c r="P13" s="14">
        <f t="shared" si="33"/>
        <v>1.8878196442982629</v>
      </c>
      <c r="Q13" s="22">
        <f t="shared" si="2"/>
        <v>11.879044679757373</v>
      </c>
      <c r="R13" s="62">
        <f t="shared" si="0"/>
        <v>280.76793356864624</v>
      </c>
      <c r="S13" s="62">
        <f ca="1">AVERAGE(OFFSET($R$3,0,0,'Données projet'!$E$9+1,1))-AVERAGE(OFFSET($H$3,0,0,'Données projet'!$E$9+1,1))</f>
        <v>236.98575892380046</v>
      </c>
      <c r="T13" s="62">
        <f t="shared" si="34"/>
        <v>145.77678223659774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1.4025641025641027</v>
      </c>
      <c r="AI13" s="14">
        <f>IF('Données projet'!$A$62&gt;35,AI12+AH13-AQ12,IF(A13&lt;'Données projet'!$A$62,$AF$205^A13,IF(A13='Données projet'!$A$62,'Données projet'!$B$62,AI12+AH13-AQ12)))</f>
        <v>7.6209536257186246</v>
      </c>
      <c r="AJ13" s="14">
        <f>AI13*VLOOKUP('Données projet'!$B$10,Paramètres!$A$1:$I$89,3,0)*VLOOKUP('Données projet'!$B$10,Paramètres!$A$1:$I$89,5,0)</f>
        <v>4.4582578710453955</v>
      </c>
      <c r="AK13" s="14">
        <f t="shared" si="35"/>
        <v>1.7264516582285898</v>
      </c>
      <c r="AL13" s="22">
        <f t="shared" si="4"/>
        <v>10.771702430152191</v>
      </c>
      <c r="AM13" s="62">
        <f t="shared" si="5"/>
        <v>279.66059131904103</v>
      </c>
      <c r="AN13" s="62">
        <f ca="1">AVERAGE(OFFSET($AM$3,0,0,'Données projet'!$E$10+1,1))-AVERAGE(OFFSET($H$3,0,0,'Données projet'!$E$10+1,1))</f>
        <v>140.04898296125504</v>
      </c>
      <c r="AO13" s="62">
        <f t="shared" si="36"/>
        <v>129.5395511270716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3.4425641025641025</v>
      </c>
      <c r="BD13" s="13">
        <f>IF('Données projet'!$A$88&gt;35,BD12+BC13-BL12,IF(A13&lt;'Données projet'!$A$88,$BA$205^A13,IF(A13='Données projet'!$A$88,'Données projet'!$B$88,BD12+BC13-BL12)))</f>
        <v>4.6917453277627805</v>
      </c>
      <c r="BE13" s="14">
        <f>BD13*VLOOKUP('Données projet'!$B$11,Paramètres!$A$1:$I$89,3,0)*VLOOKUP('Données projet'!$B$11,Paramètres!$A$1:$I$89,5,0)</f>
        <v>2.1957368133929811</v>
      </c>
      <c r="BF13" s="14">
        <f t="shared" si="37"/>
        <v>0.9233628621568436</v>
      </c>
      <c r="BG13" s="22">
        <f t="shared" si="7"/>
        <v>5.432431934915944</v>
      </c>
      <c r="BH13" s="62">
        <f t="shared" si="8"/>
        <v>274.3213208238048</v>
      </c>
      <c r="BI13" s="62">
        <f ca="1">AVERAGE(OFFSET($BH$3,0,0,'Données projet'!$E$11+1,1))-AVERAGE(OFFSET($H$3,0,0,'Données projet'!$E$11+1,1))</f>
        <v>207.84100251878419</v>
      </c>
      <c r="BJ13" s="62">
        <f t="shared" si="38"/>
        <v>124.34917784241952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4.0533333333333328</v>
      </c>
      <c r="BY13" s="13">
        <f>IF('Données projet'!$A$114&gt;35,BY12+BX13-CG12,IF(A13&lt;'Données projet'!$A$114,$BV$205^A13,IF(A13='Données projet'!$A$114,'Données projet'!$B$114,BY12+BX13-CG12)))</f>
        <v>15.462120476504737</v>
      </c>
      <c r="BZ13" s="14">
        <f>BY13*VLOOKUP('Données projet'!$B$12,Paramètres!$A$1:$I$89,3,0)*VLOOKUP('Données projet'!$B$12,Paramètres!$A$1:$I$89,5,0)</f>
        <v>8.0403026477824628</v>
      </c>
      <c r="CA13" s="14">
        <f t="shared" si="39"/>
        <v>2.9070383053453721</v>
      </c>
      <c r="CB13" s="22">
        <f t="shared" si="10"/>
        <v>19.066618826697646</v>
      </c>
      <c r="CC13" s="62">
        <f t="shared" si="11"/>
        <v>287.95550771558652</v>
      </c>
      <c r="CD13" s="62">
        <f ca="1">AVERAGE(OFFSET($CC$3,0,0,'Données projet'!$E$12+1,1))-AVERAGE(OFFSET($H$3,0,0,'Données projet'!$E$12+1,1))</f>
        <v>211.05980622218578</v>
      </c>
      <c r="CE13" s="62">
        <f t="shared" si="40"/>
        <v>168.57746894604855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15.341666666666667</v>
      </c>
      <c r="CR13" s="13">
        <f>VLOOKUP(A13,'Données projet'!$A$139:$I$159,9,0)</f>
        <v>1.5341666666666667</v>
      </c>
      <c r="CS13" s="13">
        <f t="array" ref="CS13">INDEX(CR:CR,MIN(IF(ISNUMBER(CR13:CR209),ROW(CR13:CR209),"")))</f>
        <v>1.5341666666666667</v>
      </c>
      <c r="CT13" s="13">
        <f>IF('Données projet'!$A$140&gt;35,CT12+CS13-DB12,IF(A13&lt;'Données projet'!$A$140,$CQ$205^A13,IF(A13='Données projet'!$A$140,'Données projet'!$B$140,CT12+CS13-DB12)))</f>
        <v>15.341666666666667</v>
      </c>
      <c r="CU13" s="18">
        <f>CT13*VLOOKUP('Données projet'!$B$13,Paramètres!$A$1:$I$89,3,0)*VLOOKUP('Données projet'!$B$13,Paramètres!$A$1:$I$89,5,0)</f>
        <v>17.6736</v>
      </c>
      <c r="CV13" s="14">
        <f t="shared" si="41"/>
        <v>5.8302671336764922</v>
      </c>
      <c r="CW13" s="22">
        <f t="shared" si="13"/>
        <v>40.935901924486565</v>
      </c>
      <c r="CX13" s="62">
        <f t="shared" si="14"/>
        <v>309.82479081337544</v>
      </c>
      <c r="CY13" s="62">
        <f ca="1">AVERAGE(OFFSET($CX$3,0,0,'Données projet'!$E$13+1,1))-AVERAGE(OFFSET($H$3,0,0,'Données projet'!$E$13+1,1))</f>
        <v>191.79777926975839</v>
      </c>
      <c r="CZ13" s="62">
        <f t="shared" si="42"/>
        <v>156.66161375678712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1.8956</v>
      </c>
      <c r="DO13" s="13">
        <f>IF('Données projet'!$A$166&gt;35,DO12+DN13-DW12,IF(A13&lt;'Données projet'!$A$166,$DL$205^A13,IF(A13='Données projet'!$A$166,'Données projet'!$B$166,DO12+DN13-DW12)))</f>
        <v>4.6803106895956628</v>
      </c>
      <c r="DP13" s="18">
        <f>DO13*VLOOKUP('Données projet'!$B$14,Paramètres!$A$1:$I$89,3,0)*VLOOKUP('Données projet'!$B$14,Paramètres!$A$1:$I$89,5,0)</f>
        <v>5.1108992730384637</v>
      </c>
      <c r="DQ13" s="14">
        <f t="shared" si="43"/>
        <v>1.9479611830321648</v>
      </c>
      <c r="DR13" s="22">
        <f t="shared" si="16"/>
        <v>12.294181960989675</v>
      </c>
      <c r="DS13" s="62">
        <f t="shared" si="17"/>
        <v>281.1830708498785</v>
      </c>
      <c r="DT13" s="62">
        <f ca="1">AVERAGE(OFFSET($DS$3,0,0,'Données projet'!$E$14+1,1))-AVERAGE(OFFSET($H$3,0,0,'Données projet'!$E$14+1,1))</f>
        <v>541.0854688453461</v>
      </c>
      <c r="DU13" s="62">
        <f t="shared" si="44"/>
        <v>171.04847168584473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5</v>
      </c>
      <c r="EJ13" s="13">
        <f>IF('Données projet'!$A$192&gt;35,EJ12+EI13-ER12,IF(A13&lt;'Données projet'!$A$192,$EG$205^A13,IF(A13='Données projet'!$A$192,'Données projet'!$B$192,EJ12+EI13-ER12)))</f>
        <v>5.5628751259598666</v>
      </c>
      <c r="EK13" s="18">
        <f>EJ13*VLOOKUP('Données projet'!$B$15,Paramètres!$A$1:$I$89,3,0)*VLOOKUP('Données projet'!$B$15,Paramètres!$A$1:$I$89,5,0)</f>
        <v>3.3265993253240005</v>
      </c>
      <c r="EL13" s="14">
        <f t="shared" si="45"/>
        <v>1.3328819978640285</v>
      </c>
      <c r="EM13" s="22">
        <f t="shared" si="19"/>
        <v>8.1152633045524833</v>
      </c>
      <c r="EN13" s="62">
        <f t="shared" si="20"/>
        <v>277.00415219344131</v>
      </c>
      <c r="EO13" s="62">
        <f ca="1">AVERAGE(OFFSET($EN$3,0,0,'Données projet'!$E$15+1,1))-AVERAGE(OFFSET($H$3,0,0,'Données projet'!$E$15+1,1))</f>
        <v>244.01698421598974</v>
      </c>
      <c r="EP13" s="62">
        <f t="shared" si="46"/>
        <v>156.96653202915024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0.9</v>
      </c>
      <c r="FE13" s="13">
        <f>IF('Données projet'!$A$218&gt;35,FE12+FD13-FM12,IF(A13&lt;'Données projet'!$A$218,$FB$205^A13,IF(A13='Données projet'!$A$218,'Données projet'!$B$218,FE12+FD13-FM12)))</f>
        <v>4.2426406871192865</v>
      </c>
      <c r="FF13" s="18">
        <f>FE13*VLOOKUP('Données projet'!$B$16,Paramètres!$A$1:$I$89,3,0)*VLOOKUP('Données projet'!$B$16,Paramètres!$A$1:$I$89,5,0)</f>
        <v>3.7063709042674091</v>
      </c>
      <c r="FG13" s="14">
        <f t="shared" si="47"/>
        <v>1.4664771263922398</v>
      </c>
      <c r="FH13" s="22">
        <f t="shared" si="22"/>
        <v>9.0093769867322209</v>
      </c>
      <c r="FI13" s="62">
        <f t="shared" si="23"/>
        <v>277.89826587562106</v>
      </c>
      <c r="FJ13" s="62">
        <f ca="1">AVERAGE(OFFSET($FI$3,0,0,'Données projet'!$E$16+1,1))-AVERAGE(OFFSET($H$3,0,0,'Données projet'!$E$16+1,1))</f>
        <v>175.08726167127026</v>
      </c>
      <c r="FK13" s="62">
        <f t="shared" si="48"/>
        <v>196.05343924817117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1.4</v>
      </c>
      <c r="FZ13" s="13">
        <f>IF('Données projet'!$A$244&gt;35,FZ12+FY13-GH12,IF(A13&lt;'Données projet'!$A$244,$FW$205^A13,IF(A13='Données projet'!$A$244,'Données projet'!$B$244,FZ12+FY13-GH12)))</f>
        <v>7.6116626110202468</v>
      </c>
      <c r="GA13" s="18">
        <f>FZ13*VLOOKUP('Données projet'!$B$17,Paramètres!$A$1:$I$89,3,0)*VLOOKUP('Données projet'!$B$17,Paramètres!$A$1:$I$89,5,0)</f>
        <v>4.9871613427404657</v>
      </c>
      <c r="GB13" s="14">
        <f t="shared" si="49"/>
        <v>1.9062301992183248</v>
      </c>
      <c r="GC13" s="22">
        <f t="shared" si="25"/>
        <v>12.005990268911559</v>
      </c>
      <c r="GD13" s="62">
        <f t="shared" si="26"/>
        <v>280.8948791578004</v>
      </c>
      <c r="GE13" s="62">
        <f ca="1">AVERAGE(OFFSET($GD$3,0,0,'Données projet'!$E$17+1,1))-AVERAGE(OFFSET($H$3,0,0,'Données projet'!$E$17+1,1))</f>
        <v>142.93037460866543</v>
      </c>
      <c r="GF13" s="62">
        <f t="shared" si="50"/>
        <v>146.18554498808049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1.05</v>
      </c>
      <c r="GU13" s="13">
        <f>IF('Données projet'!$A$270&gt;35,GU12+GT13-HC12,IF(A13&lt;'Données projet'!$A$270,$GR$205^A13,IF(A13='Données projet'!$A$270,'Données projet'!$B$270,GU12+GT13-HC12)))</f>
        <v>4.5825756949558425</v>
      </c>
      <c r="GV13" s="18">
        <f>GU13*VLOOKUP('Données projet'!$B$18,Paramètres!$A$1:$I$89,3,0)*VLOOKUP('Données projet'!$B$18,Paramètres!$A$1:$I$89,5,0)</f>
        <v>3.9318499462721133</v>
      </c>
      <c r="GW13" s="14">
        <f t="shared" si="51"/>
        <v>1.5450335584372166</v>
      </c>
      <c r="GX13" s="22">
        <f t="shared" si="28"/>
        <v>9.538905437368749</v>
      </c>
      <c r="GY13" s="62">
        <f t="shared" si="29"/>
        <v>278.42779432625758</v>
      </c>
      <c r="GZ13" s="62">
        <f ca="1">AVERAGE(OFFSET($GY$3,0,0,'Données projet'!$E$18+1,1))-AVERAGE(OFFSET($H$3,0,0,'Données projet'!$E$18+1,1))</f>
        <v>188.08607733149256</v>
      </c>
      <c r="HA13" s="62">
        <f t="shared" si="52"/>
        <v>119.95698016603842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3.2889999999999997</v>
      </c>
      <c r="D14" s="12">
        <f t="shared" si="32"/>
        <v>1.3195617052513258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35.574862286150591</v>
      </c>
      <c r="H14" s="70">
        <f t="shared" si="1"/>
        <v>264.69324496997939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1.05</v>
      </c>
      <c r="N14" s="14">
        <f>IF('Données projet'!$A$36&gt;35,N13+M14-V13,IF(A14&lt;'Données projet'!$A$36,$K$205^A14,IF(A14='Données projet'!$A$36,'Données projet'!$B$36,N13+M14-V13)))</f>
        <v>5.3360588677947343</v>
      </c>
      <c r="O14" s="14">
        <f>N14*VLOOKUP('Données projet'!$B$9,Paramètres!$A$1:$I$89,3,0)*VLOOKUP('Données projet'!$B$9,Paramètres!$A$1:$I$89,5,0)</f>
        <v>5.7437337652942517</v>
      </c>
      <c r="P14" s="14">
        <f t="shared" si="33"/>
        <v>2.1596140756978057</v>
      </c>
      <c r="Q14" s="22">
        <f t="shared" si="2"/>
        <v>13.764997489727833</v>
      </c>
      <c r="R14" s="62">
        <f t="shared" si="0"/>
        <v>283.87610860083896</v>
      </c>
      <c r="S14" s="62">
        <f ca="1">AVERAGE(OFFSET($R$3,0,0,'Données projet'!$E$9+1,1))-AVERAGE(OFFSET($H$3,0,0,'Données projet'!$E$9+1,1))</f>
        <v>236.98575892380046</v>
      </c>
      <c r="T14" s="62">
        <f t="shared" si="34"/>
        <v>145.77678223659774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1.4025641025641027</v>
      </c>
      <c r="AI14" s="14">
        <f>IF('Données projet'!$A$62&gt;35,AI13+AH14-AQ13,IF(A14&lt;'Données projet'!$A$62,$AF$205^A14,IF(A14='Données projet'!$A$62,'Données projet'!$B$62,AI13+AH14-AQ13)))</f>
        <v>9.3370621758369623</v>
      </c>
      <c r="AJ14" s="14">
        <f>AI14*VLOOKUP('Données projet'!$B$10,Paramètres!$A$1:$I$89,3,0)*VLOOKUP('Données projet'!$B$10,Paramètres!$A$1:$I$89,5,0)</f>
        <v>5.4621813728646238</v>
      </c>
      <c r="AK14" s="14">
        <f t="shared" si="35"/>
        <v>2.0658023434163346</v>
      </c>
      <c r="AL14" s="22">
        <f t="shared" si="4"/>
        <v>13.111238305856004</v>
      </c>
      <c r="AM14" s="62">
        <f t="shared" si="5"/>
        <v>283.22234941696712</v>
      </c>
      <c r="AN14" s="62">
        <f ca="1">AVERAGE(OFFSET($AM$3,0,0,'Données projet'!$E$10+1,1))-AVERAGE(OFFSET($H$3,0,0,'Données projet'!$E$10+1,1))</f>
        <v>140.04898296125504</v>
      </c>
      <c r="AO14" s="62">
        <f t="shared" si="36"/>
        <v>129.5395511270716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3.4425641025641025</v>
      </c>
      <c r="BD14" s="13">
        <f>IF('Données projet'!$A$88&gt;35,BD13+BC14-BL13,IF(A14&lt;'Données projet'!$A$88,$BA$205^A14,IF(A14='Données projet'!$A$88,'Données projet'!$B$88,BD13+BC14-BL13)))</f>
        <v>5.4760559050775193</v>
      </c>
      <c r="BE14" s="14">
        <f>BD14*VLOOKUP('Données projet'!$B$11,Paramètres!$A$1:$I$89,3,0)*VLOOKUP('Données projet'!$B$11,Paramètres!$A$1:$I$89,5,0)</f>
        <v>2.562794163576279</v>
      </c>
      <c r="BF14" s="14">
        <f t="shared" si="37"/>
        <v>1.0585015867936163</v>
      </c>
      <c r="BG14" s="22">
        <f t="shared" si="7"/>
        <v>6.3070900985608995</v>
      </c>
      <c r="BH14" s="62">
        <f t="shared" si="8"/>
        <v>276.41820120967202</v>
      </c>
      <c r="BI14" s="62">
        <f ca="1">AVERAGE(OFFSET($BH$3,0,0,'Données projet'!$E$11+1,1))-AVERAGE(OFFSET($H$3,0,0,'Données projet'!$E$11+1,1))</f>
        <v>207.84100251878419</v>
      </c>
      <c r="BJ14" s="62">
        <f t="shared" si="38"/>
        <v>124.34917784241952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4.0533333333333328</v>
      </c>
      <c r="BY14" s="13">
        <f>IF('Données projet'!$A$114&gt;35,BY13+BX14-CG13,IF(A14&lt;'Données projet'!$A$114,$BV$205^A14,IF(A14='Données projet'!$A$114,'Données projet'!$B$114,BY13+BX14-CG13)))</f>
        <v>20.332742382210601</v>
      </c>
      <c r="BZ14" s="14">
        <f>BY14*VLOOKUP('Données projet'!$B$12,Paramètres!$A$1:$I$89,3,0)*VLOOKUP('Données projet'!$B$12,Paramètres!$A$1:$I$89,5,0)</f>
        <v>10.573026038749514</v>
      </c>
      <c r="CA14" s="14">
        <f t="shared" si="39"/>
        <v>3.7028367716332777</v>
      </c>
      <c r="CB14" s="22">
        <f t="shared" si="10"/>
        <v>24.86379439475003</v>
      </c>
      <c r="CC14" s="62">
        <f t="shared" si="11"/>
        <v>294.97490550586116</v>
      </c>
      <c r="CD14" s="62">
        <f ca="1">AVERAGE(OFFSET($CC$3,0,0,'Données projet'!$E$12+1,1))-AVERAGE(OFFSET($H$3,0,0,'Données projet'!$E$12+1,1))</f>
        <v>211.05980622218578</v>
      </c>
      <c r="CE14" s="62">
        <f t="shared" si="40"/>
        <v>168.57746894604855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1.9558333333333331</v>
      </c>
      <c r="CT14" s="13">
        <f>IF('Données projet'!$A$140&gt;35,CT13+CS14-DB13,IF(A14&lt;'Données projet'!$A$140,$CQ$205^A14,IF(A14='Données projet'!$A$140,'Données projet'!$B$140,CT13+CS14-DB13)))</f>
        <v>17.297499999999999</v>
      </c>
      <c r="CU14" s="18">
        <f>CT14*VLOOKUP('Données projet'!$B$13,Paramètres!$A$1:$I$89,3,0)*VLOOKUP('Données projet'!$B$13,Paramètres!$A$1:$I$89,5,0)</f>
        <v>19.92672</v>
      </c>
      <c r="CV14" s="14">
        <f t="shared" si="41"/>
        <v>6.4823660887173542</v>
      </c>
      <c r="CW14" s="22">
        <f t="shared" si="13"/>
        <v>45.995824937849385</v>
      </c>
      <c r="CX14" s="62">
        <f t="shared" si="14"/>
        <v>316.10693604896051</v>
      </c>
      <c r="CY14" s="62">
        <f ca="1">AVERAGE(OFFSET($CX$3,0,0,'Données projet'!$E$13+1,1))-AVERAGE(OFFSET($H$3,0,0,'Données projet'!$E$13+1,1))</f>
        <v>191.79777926975839</v>
      </c>
      <c r="CZ14" s="62">
        <f t="shared" si="42"/>
        <v>156.66161375678712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1.8956</v>
      </c>
      <c r="DO14" s="13">
        <f>IF('Données projet'!$A$166&gt;35,DO13+DN14-DW13,IF(A14&lt;'Données projet'!$A$166,$DL$205^A14,IF(A14='Données projet'!$A$166,'Données projet'!$B$166,DO13+DN14-DW13)))</f>
        <v>5.4613769348375047</v>
      </c>
      <c r="DP14" s="18">
        <f>DO14*VLOOKUP('Données projet'!$B$14,Paramètres!$A$1:$I$89,3,0)*VLOOKUP('Données projet'!$B$14,Paramètres!$A$1:$I$89,5,0)</f>
        <v>5.963823612842555</v>
      </c>
      <c r="DQ14" s="14">
        <f t="shared" si="43"/>
        <v>2.232573520567501</v>
      </c>
      <c r="DR14" s="22">
        <f t="shared" si="16"/>
        <v>14.275391674022513</v>
      </c>
      <c r="DS14" s="62">
        <f t="shared" si="17"/>
        <v>284.38650278513364</v>
      </c>
      <c r="DT14" s="62">
        <f ca="1">AVERAGE(OFFSET($DS$3,0,0,'Données projet'!$E$14+1,1))-AVERAGE(OFFSET($H$3,0,0,'Données projet'!$E$14+1,1))</f>
        <v>541.0854688453461</v>
      </c>
      <c r="DU14" s="62">
        <f t="shared" si="44"/>
        <v>171.04847168584473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5</v>
      </c>
      <c r="EJ14" s="13">
        <f>IF('Données projet'!$A$192&gt;35,EJ13+EI14-ER13,IF(A14&lt;'Données projet'!$A$192,$EG$205^A14,IF(A14='Données projet'!$A$192,'Données projet'!$B$192,EJ13+EI14-ER13)))</f>
        <v>6.6043372477797835</v>
      </c>
      <c r="EK14" s="18">
        <f>EJ14*VLOOKUP('Données projet'!$B$15,Paramètres!$A$1:$I$89,3,0)*VLOOKUP('Données projet'!$B$15,Paramètres!$A$1:$I$89,5,0)</f>
        <v>3.949393674172311</v>
      </c>
      <c r="EL14" s="14">
        <f t="shared" si="45"/>
        <v>1.5511233995793057</v>
      </c>
      <c r="EM14" s="22">
        <f t="shared" si="19"/>
        <v>9.5800672367840658</v>
      </c>
      <c r="EN14" s="62">
        <f t="shared" si="20"/>
        <v>279.69117834789523</v>
      </c>
      <c r="EO14" s="62">
        <f ca="1">AVERAGE(OFFSET($EN$3,0,0,'Données projet'!$E$15+1,1))-AVERAGE(OFFSET($H$3,0,0,'Données projet'!$E$15+1,1))</f>
        <v>244.01698421598974</v>
      </c>
      <c r="EP14" s="62">
        <f t="shared" si="46"/>
        <v>156.96653202915024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0.9</v>
      </c>
      <c r="FE14" s="13">
        <f>IF('Données projet'!$A$218&gt;35,FE13+FD14-FM13,IF(A14&lt;'Données projet'!$A$218,$FB$205^A14,IF(A14='Données projet'!$A$218,'Données projet'!$B$218,FE13+FD14-FM13)))</f>
        <v>4.9022999220494095</v>
      </c>
      <c r="FF14" s="18">
        <f>FE14*VLOOKUP('Données projet'!$B$16,Paramètres!$A$1:$I$89,3,0)*VLOOKUP('Données projet'!$B$16,Paramètres!$A$1:$I$89,5,0)</f>
        <v>4.2826492119023651</v>
      </c>
      <c r="FG14" s="14">
        <f t="shared" si="47"/>
        <v>1.6662234129484463</v>
      </c>
      <c r="FH14" s="22">
        <f t="shared" si="22"/>
        <v>10.360953154948495</v>
      </c>
      <c r="FI14" s="62">
        <f t="shared" si="23"/>
        <v>280.47206426605965</v>
      </c>
      <c r="FJ14" s="62">
        <f ca="1">AVERAGE(OFFSET($FI$3,0,0,'Données projet'!$E$16+1,1))-AVERAGE(OFFSET($H$3,0,0,'Données projet'!$E$16+1,1))</f>
        <v>175.08726167127026</v>
      </c>
      <c r="FK14" s="62">
        <f t="shared" si="48"/>
        <v>196.05343924817117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1.4</v>
      </c>
      <c r="FZ14" s="13">
        <f>IF('Données projet'!$A$244&gt;35,FZ13+FY14-GH13,IF(A14&lt;'Données projet'!$A$244,$FW$205^A14,IF(A14='Données projet'!$A$244,'Données projet'!$B$244,FZ13+FY14-GH13)))</f>
        <v>9.3245414276751148</v>
      </c>
      <c r="GA14" s="18">
        <f>FZ14*VLOOKUP('Données projet'!$B$17,Paramètres!$A$1:$I$89,3,0)*VLOOKUP('Données projet'!$B$17,Paramètres!$A$1:$I$89,5,0)</f>
        <v>6.1094395434127353</v>
      </c>
      <c r="GB14" s="14">
        <f t="shared" si="49"/>
        <v>2.2806722418434027</v>
      </c>
      <c r="GC14" s="22">
        <f t="shared" si="25"/>
        <v>14.612778025987772</v>
      </c>
      <c r="GD14" s="62">
        <f t="shared" si="26"/>
        <v>284.72388913709892</v>
      </c>
      <c r="GE14" s="62">
        <f ca="1">AVERAGE(OFFSET($GD$3,0,0,'Données projet'!$E$17+1,1))-AVERAGE(OFFSET($H$3,0,0,'Données projet'!$E$17+1,1))</f>
        <v>142.93037460866543</v>
      </c>
      <c r="GF14" s="62">
        <f t="shared" si="50"/>
        <v>146.18554498808049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1.05</v>
      </c>
      <c r="GU14" s="13">
        <f>IF('Données projet'!$A$270&gt;35,GU13+GT14-HC13,IF(A14&lt;'Données projet'!$A$270,$GR$205^A14,IF(A14='Données projet'!$A$270,'Données projet'!$B$270,GU13+GT14-HC13)))</f>
        <v>5.3360588677947343</v>
      </c>
      <c r="GV14" s="18">
        <f>GU14*VLOOKUP('Données projet'!$B$18,Paramètres!$A$1:$I$89,3,0)*VLOOKUP('Données projet'!$B$18,Paramètres!$A$1:$I$89,5,0)</f>
        <v>4.5783385085678825</v>
      </c>
      <c r="GW14" s="14">
        <f t="shared" si="51"/>
        <v>1.7674761624099875</v>
      </c>
      <c r="GX14" s="22">
        <f t="shared" si="28"/>
        <v>11.052293885286455</v>
      </c>
      <c r="GY14" s="62">
        <f t="shared" si="29"/>
        <v>281.16340499639762</v>
      </c>
      <c r="GZ14" s="62">
        <f ca="1">AVERAGE(OFFSET($GY$3,0,0,'Données projet'!$E$18+1,1))-AVERAGE(OFFSET($H$3,0,0,'Données projet'!$E$18+1,1))</f>
        <v>188.08607733149256</v>
      </c>
      <c r="HA14" s="62">
        <f t="shared" si="52"/>
        <v>119.95698016603842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3.5879999999999996</v>
      </c>
      <c r="D15" s="12">
        <f t="shared" si="32"/>
        <v>1.4250157876217819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38.696963974624282</v>
      </c>
      <c r="H15" s="70">
        <f t="shared" si="1"/>
        <v>265.39766916344126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1.05</v>
      </c>
      <c r="N15" s="14">
        <f>IF('Données projet'!$A$36&gt;35,N14+M15-V14,IF(A15&lt;'Données projet'!$A$36,$K$205^A15,IF(A15='Données projet'!$A$36,'Données projet'!$B$36,N14+M15-V14)))</f>
        <v>6.213432387360748</v>
      </c>
      <c r="O15" s="14">
        <f>N15*VLOOKUP('Données projet'!$B$9,Paramètres!$A$1:$I$89,3,0)*VLOOKUP('Données projet'!$B$9,Paramètres!$A$1:$I$89,5,0)</f>
        <v>6.6881386217551091</v>
      </c>
      <c r="P15" s="14">
        <f t="shared" si="33"/>
        <v>2.4705394766064934</v>
      </c>
      <c r="Q15" s="22">
        <f t="shared" si="2"/>
        <v>15.951364354646456</v>
      </c>
      <c r="R15" s="62">
        <f t="shared" si="0"/>
        <v>287.28469768797976</v>
      </c>
      <c r="S15" s="62">
        <f ca="1">AVERAGE(OFFSET($R$3,0,0,'Données projet'!$E$9+1,1))-AVERAGE(OFFSET($H$3,0,0,'Données projet'!$E$9+1,1))</f>
        <v>236.98575892380046</v>
      </c>
      <c r="T15" s="62">
        <f t="shared" si="34"/>
        <v>145.77678223659774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1.4025641025641027</v>
      </c>
      <c r="AI15" s="14">
        <f>IF('Données projet'!$A$62&gt;35,AI14+AH15-AQ14,IF(A15&lt;'Données projet'!$A$62,$AF$205^A15,IF(A15='Données projet'!$A$62,'Données projet'!$B$62,AI14+AH15-AQ14)))</f>
        <v>11.43960905118675</v>
      </c>
      <c r="AJ15" s="14">
        <f>AI15*VLOOKUP('Données projet'!$B$10,Paramètres!$A$1:$I$89,3,0)*VLOOKUP('Données projet'!$B$10,Paramètres!$A$1:$I$89,5,0)</f>
        <v>6.6921712949442487</v>
      </c>
      <c r="AK15" s="14">
        <f t="shared" si="35"/>
        <v>2.4718556709795672</v>
      </c>
      <c r="AL15" s="22">
        <f t="shared" si="4"/>
        <v>15.960680298983979</v>
      </c>
      <c r="AM15" s="62">
        <f t="shared" si="5"/>
        <v>287.29401363231727</v>
      </c>
      <c r="AN15" s="62">
        <f ca="1">AVERAGE(OFFSET($AM$3,0,0,'Données projet'!$E$10+1,1))-AVERAGE(OFFSET($H$3,0,0,'Données projet'!$E$10+1,1))</f>
        <v>140.04898296125504</v>
      </c>
      <c r="AO15" s="62">
        <f t="shared" si="36"/>
        <v>129.5395511270716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3.4425641025641025</v>
      </c>
      <c r="BD15" s="13">
        <f>IF('Données projet'!$A$88&gt;35,BD14+BC15-BL14,IF(A15&lt;'Données projet'!$A$88,$BA$205^A15,IF(A15='Données projet'!$A$88,'Données projet'!$B$88,BD14+BC15-BL14)))</f>
        <v>6.3914782624899003</v>
      </c>
      <c r="BE15" s="14">
        <f>BD15*VLOOKUP('Données projet'!$B$11,Paramètres!$A$1:$I$89,3,0)*VLOOKUP('Données projet'!$B$11,Paramètres!$A$1:$I$89,5,0)</f>
        <v>2.9912118268452734</v>
      </c>
      <c r="BF15" s="14">
        <f t="shared" si="37"/>
        <v>1.2134185325879896</v>
      </c>
      <c r="BG15" s="22">
        <f t="shared" si="7"/>
        <v>7.3230645426796004</v>
      </c>
      <c r="BH15" s="62">
        <f t="shared" si="8"/>
        <v>278.65639787601293</v>
      </c>
      <c r="BI15" s="62">
        <f ca="1">AVERAGE(OFFSET($BH$3,0,0,'Données projet'!$E$11+1,1))-AVERAGE(OFFSET($H$3,0,0,'Données projet'!$E$11+1,1))</f>
        <v>207.84100251878419</v>
      </c>
      <c r="BJ15" s="62">
        <f t="shared" si="38"/>
        <v>124.34917784241952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4.0533333333333328</v>
      </c>
      <c r="BY15" s="13">
        <f>IF('Données projet'!$A$114&gt;35,BY14+BX15-CG14,IF(A15&lt;'Données projet'!$A$114,$BV$205^A15,IF(A15='Données projet'!$A$114,'Données projet'!$B$114,BY14+BX15-CG14)))</f>
        <v>26.737627184418258</v>
      </c>
      <c r="BZ15" s="14">
        <f>BY15*VLOOKUP('Données projet'!$B$12,Paramètres!$A$1:$I$89,3,0)*VLOOKUP('Données projet'!$B$12,Paramètres!$A$1:$I$89,5,0)</f>
        <v>13.903566135897496</v>
      </c>
      <c r="CA15" s="14">
        <f t="shared" si="39"/>
        <v>4.7164841729633187</v>
      </c>
      <c r="CB15" s="22">
        <f t="shared" si="10"/>
        <v>32.429920954599254</v>
      </c>
      <c r="CC15" s="62">
        <f t="shared" si="11"/>
        <v>303.76325428793257</v>
      </c>
      <c r="CD15" s="62">
        <f ca="1">AVERAGE(OFFSET($CC$3,0,0,'Données projet'!$E$12+1,1))-AVERAGE(OFFSET($H$3,0,0,'Données projet'!$E$12+1,1))</f>
        <v>211.05980622218578</v>
      </c>
      <c r="CE15" s="62">
        <f t="shared" si="40"/>
        <v>168.57746894604855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1.9558333333333331</v>
      </c>
      <c r="CT15" s="13">
        <f>IF('Données projet'!$A$140&gt;35,CT14+CS15-DB14,IF(A15&lt;'Données projet'!$A$140,$CQ$205^A15,IF(A15='Données projet'!$A$140,'Données projet'!$B$140,CT14+CS15-DB14)))</f>
        <v>19.253333333333334</v>
      </c>
      <c r="CU15" s="18">
        <f>CT15*VLOOKUP('Données projet'!$B$13,Paramètres!$A$1:$I$89,3,0)*VLOOKUP('Données projet'!$B$13,Paramètres!$A$1:$I$89,5,0)</f>
        <v>22.179839999999999</v>
      </c>
      <c r="CV15" s="14">
        <f t="shared" si="41"/>
        <v>7.1259195506874313</v>
      </c>
      <c r="CW15" s="22">
        <f t="shared" si="13"/>
        <v>51.040864550780604</v>
      </c>
      <c r="CX15" s="62">
        <f t="shared" si="14"/>
        <v>322.37419788411393</v>
      </c>
      <c r="CY15" s="62">
        <f ca="1">AVERAGE(OFFSET($CX$3,0,0,'Données projet'!$E$13+1,1))-AVERAGE(OFFSET($H$3,0,0,'Données projet'!$E$13+1,1))</f>
        <v>191.79777926975839</v>
      </c>
      <c r="CZ15" s="62">
        <f t="shared" si="42"/>
        <v>156.66161375678712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1.8956</v>
      </c>
      <c r="DO15" s="13">
        <f>IF('Données projet'!$A$166&gt;35,DO14+DN15-DW14,IF(A15&lt;'Données projet'!$A$166,$DL$205^A15,IF(A15='Données projet'!$A$166,'Données projet'!$B$166,DO14+DN15-DW14)))</f>
        <v>6.3727901847797765</v>
      </c>
      <c r="DP15" s="18">
        <f>DO15*VLOOKUP('Données projet'!$B$14,Paramètres!$A$1:$I$89,3,0)*VLOOKUP('Données projet'!$B$14,Paramètres!$A$1:$I$89,5,0)</f>
        <v>6.9590868817795162</v>
      </c>
      <c r="DQ15" s="14">
        <f t="shared" si="43"/>
        <v>2.5587699427257342</v>
      </c>
      <c r="DR15" s="22">
        <f t="shared" si="16"/>
        <v>16.576933969346641</v>
      </c>
      <c r="DS15" s="62">
        <f t="shared" si="17"/>
        <v>287.91026730267993</v>
      </c>
      <c r="DT15" s="62">
        <f ca="1">AVERAGE(OFFSET($DS$3,0,0,'Données projet'!$E$14+1,1))-AVERAGE(OFFSET($H$3,0,0,'Données projet'!$E$14+1,1))</f>
        <v>541.0854688453461</v>
      </c>
      <c r="DU15" s="62">
        <f t="shared" si="44"/>
        <v>171.04847168584473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5</v>
      </c>
      <c r="EJ15" s="13">
        <f>IF('Données projet'!$A$192&gt;35,EJ14+EI15-ER14,IF(A15&lt;'Données projet'!$A$192,$EG$205^A15,IF(A15='Données projet'!$A$192,'Données projet'!$B$192,EJ14+EI15-ER14)))</f>
        <v>7.840778283673111</v>
      </c>
      <c r="EK15" s="18">
        <f>EJ15*VLOOKUP('Données projet'!$B$15,Paramètres!$A$1:$I$89,3,0)*VLOOKUP('Données projet'!$B$15,Paramètres!$A$1:$I$89,5,0)</f>
        <v>4.6887854136365208</v>
      </c>
      <c r="EL15" s="14">
        <f t="shared" si="45"/>
        <v>1.8050988794042542</v>
      </c>
      <c r="EM15" s="22">
        <f t="shared" si="19"/>
        <v>11.310181810379349</v>
      </c>
      <c r="EN15" s="62">
        <f t="shared" si="20"/>
        <v>282.64351514371265</v>
      </c>
      <c r="EO15" s="62">
        <f ca="1">AVERAGE(OFFSET($EN$3,0,0,'Données projet'!$E$15+1,1))-AVERAGE(OFFSET($H$3,0,0,'Données projet'!$E$15+1,1))</f>
        <v>244.01698421598974</v>
      </c>
      <c r="EP15" s="62">
        <f t="shared" si="46"/>
        <v>156.96653202915024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0.9</v>
      </c>
      <c r="FE15" s="13">
        <f>IF('Données projet'!$A$218&gt;35,FE14+FD15-FM14,IF(A15&lt;'Données projet'!$A$218,$FB$205^A15,IF(A15='Données projet'!$A$218,'Données projet'!$B$218,FE14+FD15-FM14)))</f>
        <v>5.6645250677694134</v>
      </c>
      <c r="FF15" s="18">
        <f>FE15*VLOOKUP('Données projet'!$B$16,Paramètres!$A$1:$I$89,3,0)*VLOOKUP('Données projet'!$B$16,Paramètres!$A$1:$I$89,5,0)</f>
        <v>4.9485290992033608</v>
      </c>
      <c r="FG15" s="14">
        <f t="shared" si="47"/>
        <v>1.8931767921179217</v>
      </c>
      <c r="FH15" s="22">
        <f t="shared" si="22"/>
        <v>11.915971094051232</v>
      </c>
      <c r="FI15" s="62">
        <f t="shared" si="23"/>
        <v>283.24930442738457</v>
      </c>
      <c r="FJ15" s="62">
        <f ca="1">AVERAGE(OFFSET($FI$3,0,0,'Données projet'!$E$16+1,1))-AVERAGE(OFFSET($H$3,0,0,'Données projet'!$E$16+1,1))</f>
        <v>175.08726167127026</v>
      </c>
      <c r="FK15" s="62">
        <f t="shared" si="48"/>
        <v>196.05343924817117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1.4</v>
      </c>
      <c r="FZ15" s="13">
        <f>IF('Données projet'!$A$244&gt;35,FZ14+FY15-GH14,IF(A15&lt;'Données projet'!$A$244,$FW$205^A15,IF(A15='Données projet'!$A$244,'Données projet'!$B$244,FZ14+FY15-GH14)))</f>
        <v>11.422875300666451</v>
      </c>
      <c r="GA15" s="18">
        <f>FZ15*VLOOKUP('Données projet'!$B$17,Paramètres!$A$1:$I$89,3,0)*VLOOKUP('Données projet'!$B$17,Paramètres!$A$1:$I$89,5,0)</f>
        <v>7.4842678969966583</v>
      </c>
      <c r="GB15" s="14">
        <f t="shared" si="49"/>
        <v>2.7286661793774662</v>
      </c>
      <c r="GC15" s="22">
        <f t="shared" si="25"/>
        <v>17.787526849684934</v>
      </c>
      <c r="GD15" s="62">
        <f t="shared" si="26"/>
        <v>289.12086018301824</v>
      </c>
      <c r="GE15" s="62">
        <f ca="1">AVERAGE(OFFSET($GD$3,0,0,'Données projet'!$E$17+1,1))-AVERAGE(OFFSET($H$3,0,0,'Données projet'!$E$17+1,1))</f>
        <v>142.93037460866543</v>
      </c>
      <c r="GF15" s="62">
        <f t="shared" si="50"/>
        <v>146.18554498808049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1.05</v>
      </c>
      <c r="GU15" s="13">
        <f>IF('Données projet'!$A$270&gt;35,GU14+GT15-HC14,IF(A15&lt;'Données projet'!$A$270,$GR$205^A15,IF(A15='Données projet'!$A$270,'Données projet'!$B$270,GU14+GT15-HC14)))</f>
        <v>6.213432387360748</v>
      </c>
      <c r="GV15" s="18">
        <f>GU15*VLOOKUP('Données projet'!$B$18,Paramètres!$A$1:$I$89,3,0)*VLOOKUP('Données projet'!$B$18,Paramètres!$A$1:$I$89,5,0)</f>
        <v>5.3311249883555227</v>
      </c>
      <c r="GW15" s="14">
        <f t="shared" si="51"/>
        <v>2.0219444216133384</v>
      </c>
      <c r="GX15" s="22">
        <f t="shared" si="28"/>
        <v>12.806595889029099</v>
      </c>
      <c r="GY15" s="62">
        <f t="shared" si="29"/>
        <v>284.13992922236241</v>
      </c>
      <c r="GZ15" s="62">
        <f ca="1">AVERAGE(OFFSET($GY$3,0,0,'Données projet'!$E$18+1,1))-AVERAGE(OFFSET($H$3,0,0,'Données projet'!$E$18+1,1))</f>
        <v>188.08607733149256</v>
      </c>
      <c r="HA15" s="62">
        <f t="shared" si="52"/>
        <v>119.95698016603842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3.8869999999999996</v>
      </c>
      <c r="D16" s="12">
        <f t="shared" si="32"/>
        <v>1.5294506661362426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41.81119812456047</v>
      </c>
      <c r="H16" s="70">
        <f t="shared" si="1"/>
        <v>266.10031824352063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1.05</v>
      </c>
      <c r="N16" s="14">
        <f>IF('Données projet'!$A$36&gt;35,N15+M16-V15,IF(A16&lt;'Données projet'!$A$36,$K$205^A16,IF(A16='Données projet'!$A$36,'Données projet'!$B$36,N15+M16-V15)))</f>
        <v>7.235066739107908</v>
      </c>
      <c r="O16" s="14">
        <f>N16*VLOOKUP('Données projet'!$B$9,Paramètres!$A$1:$I$89,3,0)*VLOOKUP('Données projet'!$B$9,Paramètres!$A$1:$I$89,5,0)</f>
        <v>7.7878258379757526</v>
      </c>
      <c r="P16" s="14">
        <f t="shared" si="33"/>
        <v>2.8262296371164966</v>
      </c>
      <c r="Q16" s="22">
        <f t="shared" si="2"/>
        <v>18.486146619119001</v>
      </c>
      <c r="R16" s="62">
        <f t="shared" si="0"/>
        <v>291.04170217467453</v>
      </c>
      <c r="S16" s="62">
        <f ca="1">AVERAGE(OFFSET($R$3,0,0,'Données projet'!$E$9+1,1))-AVERAGE(OFFSET($H$3,0,0,'Données projet'!$E$9+1,1))</f>
        <v>236.98575892380046</v>
      </c>
      <c r="T16" s="62">
        <f t="shared" si="34"/>
        <v>145.77678223659774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1.4025641025641027</v>
      </c>
      <c r="AI16" s="14">
        <f>IF('Données projet'!$A$62&gt;35,AI15+AH16-AQ15,IF(A16&lt;'Données projet'!$A$62,$AF$205^A16,IF(A16='Données projet'!$A$62,'Données projet'!$B$62,AI15+AH16-AQ15)))</f>
        <v>14.015613560189589</v>
      </c>
      <c r="AJ16" s="14">
        <f>AI16*VLOOKUP('Données projet'!$B$10,Paramètres!$A$1:$I$89,3,0)*VLOOKUP('Données projet'!$B$10,Paramètres!$A$1:$I$89,5,0)</f>
        <v>8.1991339327109092</v>
      </c>
      <c r="AK16" s="14">
        <f t="shared" si="35"/>
        <v>2.9577226870840314</v>
      </c>
      <c r="AL16" s="22">
        <f t="shared" si="4"/>
        <v>19.431525279476187</v>
      </c>
      <c r="AM16" s="62">
        <f t="shared" si="5"/>
        <v>291.98708083503175</v>
      </c>
      <c r="AN16" s="62">
        <f ca="1">AVERAGE(OFFSET($AM$3,0,0,'Données projet'!$E$10+1,1))-AVERAGE(OFFSET($H$3,0,0,'Données projet'!$E$10+1,1))</f>
        <v>140.04898296125504</v>
      </c>
      <c r="AO16" s="62">
        <f t="shared" si="36"/>
        <v>129.5395511270716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3.4425641025641025</v>
      </c>
      <c r="BD16" s="13">
        <f>IF('Données projet'!$A$88&gt;35,BD15+BC16-BL15,IF(A16&lt;'Données projet'!$A$88,$BA$205^A16,IF(A16='Données projet'!$A$88,'Données projet'!$B$88,BD15+BC16-BL15)))</f>
        <v>7.459930119048451</v>
      </c>
      <c r="BE16" s="14">
        <f>BD16*VLOOKUP('Données projet'!$B$11,Paramètres!$A$1:$I$89,3,0)*VLOOKUP('Données projet'!$B$11,Paramètres!$A$1:$I$89,5,0)</f>
        <v>3.4912472957146754</v>
      </c>
      <c r="BF16" s="14">
        <f t="shared" si="37"/>
        <v>1.3910083400895945</v>
      </c>
      <c r="BG16" s="22">
        <f t="shared" si="7"/>
        <v>8.5032618990257713</v>
      </c>
      <c r="BH16" s="62">
        <f t="shared" si="8"/>
        <v>281.05881745458129</v>
      </c>
      <c r="BI16" s="62">
        <f ca="1">AVERAGE(OFFSET($BH$3,0,0,'Données projet'!$E$11+1,1))-AVERAGE(OFFSET($H$3,0,0,'Données projet'!$E$11+1,1))</f>
        <v>207.84100251878419</v>
      </c>
      <c r="BJ16" s="62">
        <f t="shared" si="38"/>
        <v>124.34917784241952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4.0533333333333328</v>
      </c>
      <c r="BY16" s="13">
        <f>IF('Données projet'!$A$114&gt;35,BY15+BX16-CG15,IF(A16&lt;'Données projet'!$A$114,$BV$205^A16,IF(A16='Données projet'!$A$114,'Données projet'!$B$114,BY15+BX16-CG15)))</f>
        <v>35.160073049389482</v>
      </c>
      <c r="BZ16" s="14">
        <f>BY16*VLOOKUP('Données projet'!$B$12,Paramètres!$A$1:$I$89,3,0)*VLOOKUP('Données projet'!$B$12,Paramètres!$A$1:$I$89,5,0)</f>
        <v>18.283237985682533</v>
      </c>
      <c r="CA16" s="14">
        <f t="shared" si="39"/>
        <v>6.0076164102695166</v>
      </c>
      <c r="CB16" s="22">
        <f t="shared" si="10"/>
        <v>42.306571406283155</v>
      </c>
      <c r="CC16" s="62">
        <f t="shared" si="11"/>
        <v>314.86212696183873</v>
      </c>
      <c r="CD16" s="62">
        <f ca="1">AVERAGE(OFFSET($CC$3,0,0,'Données projet'!$E$12+1,1))-AVERAGE(OFFSET($H$3,0,0,'Données projet'!$E$12+1,1))</f>
        <v>211.05980622218578</v>
      </c>
      <c r="CE16" s="62">
        <f t="shared" si="40"/>
        <v>168.57746894604855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1.9558333333333331</v>
      </c>
      <c r="CT16" s="13">
        <f>IF('Données projet'!$A$140&gt;35,CT15+CS16-DB15,IF(A16&lt;'Données projet'!$A$140,$CQ$205^A16,IF(A16='Données projet'!$A$140,'Données projet'!$B$140,CT15+CS16-DB15)))</f>
        <v>21.209166666666668</v>
      </c>
      <c r="CU16" s="18">
        <f>CT16*VLOOKUP('Données projet'!$B$13,Paramètres!$A$1:$I$89,3,0)*VLOOKUP('Données projet'!$B$13,Paramètres!$A$1:$I$89,5,0)</f>
        <v>24.432960000000001</v>
      </c>
      <c r="CV16" s="14">
        <f t="shared" si="41"/>
        <v>7.7618944497956903</v>
      </c>
      <c r="CW16" s="22">
        <f t="shared" si="13"/>
        <v>56.072704833394162</v>
      </c>
      <c r="CX16" s="62">
        <f t="shared" si="14"/>
        <v>328.62826038894968</v>
      </c>
      <c r="CY16" s="62">
        <f ca="1">AVERAGE(OFFSET($CX$3,0,0,'Données projet'!$E$13+1,1))-AVERAGE(OFFSET($H$3,0,0,'Données projet'!$E$13+1,1))</f>
        <v>191.79777926975839</v>
      </c>
      <c r="CZ16" s="62">
        <f t="shared" si="42"/>
        <v>156.66161375678712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1.8956</v>
      </c>
      <c r="DO16" s="13">
        <f>IF('Données projet'!$A$166&gt;35,DO15+DN16-DW15,IF(A16&lt;'Données projet'!$A$166,$DL$205^A16,IF(A16='Données projet'!$A$166,'Données projet'!$B$166,DO15+DN16-DW15)))</f>
        <v>7.4363031930946226</v>
      </c>
      <c r="DP16" s="18">
        <f>DO16*VLOOKUP('Données projet'!$B$14,Paramètres!$A$1:$I$89,3,0)*VLOOKUP('Données projet'!$B$14,Paramètres!$A$1:$I$89,5,0)</f>
        <v>8.1204430868593285</v>
      </c>
      <c r="DQ16" s="14">
        <f t="shared" si="43"/>
        <v>2.9326262089377426</v>
      </c>
      <c r="DR16" s="22">
        <f t="shared" si="16"/>
        <v>19.250762356846565</v>
      </c>
      <c r="DS16" s="62">
        <f t="shared" si="17"/>
        <v>291.80631791240211</v>
      </c>
      <c r="DT16" s="62">
        <f ca="1">AVERAGE(OFFSET($DS$3,0,0,'Données projet'!$E$14+1,1))-AVERAGE(OFFSET($H$3,0,0,'Données projet'!$E$14+1,1))</f>
        <v>541.0854688453461</v>
      </c>
      <c r="DU16" s="62">
        <f t="shared" si="44"/>
        <v>171.04847168584473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5</v>
      </c>
      <c r="EJ16" s="13">
        <f>IF('Données projet'!$A$192&gt;35,EJ15+EI16-ER15,IF(A16&lt;'Données projet'!$A$192,$EG$205^A16,IF(A16='Données projet'!$A$192,'Données projet'!$B$192,EJ15+EI16-ER15)))</f>
        <v>9.3087015073900403</v>
      </c>
      <c r="EK16" s="18">
        <f>EJ16*VLOOKUP('Données projet'!$B$15,Paramètres!$A$1:$I$89,3,0)*VLOOKUP('Données projet'!$B$15,Paramètres!$A$1:$I$89,5,0)</f>
        <v>5.5666035014192454</v>
      </c>
      <c r="EL16" s="14">
        <f t="shared" si="45"/>
        <v>2.1006594093740265</v>
      </c>
      <c r="EM16" s="22">
        <f t="shared" si="19"/>
        <v>13.353816236298281</v>
      </c>
      <c r="EN16" s="62">
        <f t="shared" si="20"/>
        <v>285.9093717918538</v>
      </c>
      <c r="EO16" s="62">
        <f ca="1">AVERAGE(OFFSET($EN$3,0,0,'Données projet'!$E$15+1,1))-AVERAGE(OFFSET($H$3,0,0,'Données projet'!$E$15+1,1))</f>
        <v>244.01698421598974</v>
      </c>
      <c r="EP16" s="62">
        <f t="shared" si="46"/>
        <v>156.96653202915024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0.9</v>
      </c>
      <c r="FE16" s="13">
        <f>IF('Données projet'!$A$218&gt;35,FE15+FD16-FM15,IF(A16&lt;'Données projet'!$A$218,$FB$205^A16,IF(A16='Données projet'!$A$218,'Données projet'!$B$218,FE15+FD16-FM15)))</f>
        <v>6.5452633975063188</v>
      </c>
      <c r="FF16" s="18">
        <f>FE16*VLOOKUP('Données projet'!$B$16,Paramètres!$A$1:$I$89,3,0)*VLOOKUP('Données projet'!$B$16,Paramètres!$A$1:$I$89,5,0)</f>
        <v>5.717942104061521</v>
      </c>
      <c r="FG16" s="14">
        <f t="shared" si="47"/>
        <v>2.1510430944381391</v>
      </c>
      <c r="FH16" s="22">
        <f t="shared" si="22"/>
        <v>13.705149220720239</v>
      </c>
      <c r="FI16" s="62">
        <f t="shared" si="23"/>
        <v>286.26070477627576</v>
      </c>
      <c r="FJ16" s="62">
        <f ca="1">AVERAGE(OFFSET($FI$3,0,0,'Données projet'!$E$16+1,1))-AVERAGE(OFFSET($H$3,0,0,'Données projet'!$E$16+1,1))</f>
        <v>175.08726167127026</v>
      </c>
      <c r="FK16" s="62">
        <f t="shared" si="48"/>
        <v>196.05343924817117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1.4</v>
      </c>
      <c r="FZ16" s="13">
        <f>IF('Données projet'!$A$244&gt;35,FZ15+FY16-GH15,IF(A16&lt;'Données projet'!$A$244,$FW$205^A16,IF(A16='Données projet'!$A$244,'Données projet'!$B$244,FZ15+FY16-GH15)))</f>
        <v>13.99340451717085</v>
      </c>
      <c r="GA16" s="18">
        <f>FZ16*VLOOKUP('Données projet'!$B$17,Paramètres!$A$1:$I$89,3,0)*VLOOKUP('Données projet'!$B$17,Paramètres!$A$1:$I$89,5,0)</f>
        <v>9.1684786396503419</v>
      </c>
      <c r="GB16" s="14">
        <f t="shared" si="49"/>
        <v>3.2646598585600959</v>
      </c>
      <c r="GC16" s="22">
        <f t="shared" si="25"/>
        <v>21.654382884383178</v>
      </c>
      <c r="GD16" s="62">
        <f t="shared" si="26"/>
        <v>294.2099384399387</v>
      </c>
      <c r="GE16" s="62">
        <f ca="1">AVERAGE(OFFSET($GD$3,0,0,'Données projet'!$E$17+1,1))-AVERAGE(OFFSET($H$3,0,0,'Données projet'!$E$17+1,1))</f>
        <v>142.93037460866543</v>
      </c>
      <c r="GF16" s="62">
        <f t="shared" si="50"/>
        <v>146.18554498808049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1.05</v>
      </c>
      <c r="GU16" s="13">
        <f>IF('Données projet'!$A$270&gt;35,GU15+GT16-HC15,IF(A16&lt;'Données projet'!$A$270,$GR$205^A16,IF(A16='Données projet'!$A$270,'Données projet'!$B$270,GU15+GT16-HC15)))</f>
        <v>7.235066739107908</v>
      </c>
      <c r="GV16" s="18">
        <f>GU16*VLOOKUP('Données projet'!$B$18,Paramètres!$A$1:$I$89,3,0)*VLOOKUP('Données projet'!$B$18,Paramètres!$A$1:$I$89,5,0)</f>
        <v>6.207687262154586</v>
      </c>
      <c r="GW16" s="14">
        <f t="shared" si="51"/>
        <v>2.3130491550838674</v>
      </c>
      <c r="GX16" s="22">
        <f t="shared" si="28"/>
        <v>14.840282593356973</v>
      </c>
      <c r="GY16" s="62">
        <f t="shared" si="29"/>
        <v>287.3958381489125</v>
      </c>
      <c r="GZ16" s="62">
        <f ca="1">AVERAGE(OFFSET($GY$3,0,0,'Données projet'!$E$18+1,1))-AVERAGE(OFFSET($H$3,0,0,'Données projet'!$E$18+1,1))</f>
        <v>188.08607733149256</v>
      </c>
      <c r="HA16" s="62">
        <f t="shared" si="52"/>
        <v>119.95698016603842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7" s="12">
        <f t="shared" si="32"/>
        <v>1.6329536551363955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44.918238741403762</v>
      </c>
      <c r="H17" s="70">
        <f t="shared" si="1"/>
        <v>266.80134428269588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1.05</v>
      </c>
      <c r="N17" s="14">
        <f>IF('Données projet'!$A$36&gt;35,N16+M17-V16,IF(A17&lt;'Données projet'!$A$36,$K$205^A17,IF(A17='Données projet'!$A$36,'Données projet'!$B$36,N16+M17-V16)))</f>
        <v>8.4246817951744681</v>
      </c>
      <c r="O17" s="14">
        <f>N17*VLOOKUP('Données projet'!$B$9,Paramètres!$A$1:$I$89,3,0)*VLOOKUP('Données projet'!$B$9,Paramètres!$A$1:$I$89,5,0)</f>
        <v>9.0683274843257973</v>
      </c>
      <c r="P17" s="14">
        <f t="shared" si="33"/>
        <v>3.2331294591120168</v>
      </c>
      <c r="Q17" s="22">
        <f t="shared" si="2"/>
        <v>21.425037509820857</v>
      </c>
      <c r="R17" s="62">
        <f t="shared" si="0"/>
        <v>295.20281528759864</v>
      </c>
      <c r="S17" s="62">
        <f ca="1">AVERAGE(OFFSET($R$3,0,0,'Données projet'!$E$9+1,1))-AVERAGE(OFFSET($H$3,0,0,'Données projet'!$E$9+1,1))</f>
        <v>236.98575892380046</v>
      </c>
      <c r="T17" s="62">
        <f t="shared" si="34"/>
        <v>145.77678223659774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1.4025641025641027</v>
      </c>
      <c r="AI17" s="14">
        <f>IF('Données projet'!$A$62&gt;35,AI16+AH17-AQ16,IF(A17&lt;'Données projet'!$A$62,$AF$205^A17,IF(A17='Données projet'!$A$62,'Données projet'!$B$62,AI16+AH17-AQ16)))</f>
        <v>17.171690272771318</v>
      </c>
      <c r="AJ17" s="14">
        <f>AI17*VLOOKUP('Données projet'!$B$10,Paramètres!$A$1:$I$89,3,0)*VLOOKUP('Données projet'!$B$10,Paramètres!$A$1:$I$89,5,0)</f>
        <v>10.045438809571221</v>
      </c>
      <c r="AK17" s="14">
        <f t="shared" si="35"/>
        <v>3.539091540172651</v>
      </c>
      <c r="AL17" s="22">
        <f t="shared" si="4"/>
        <v>23.659723692470578</v>
      </c>
      <c r="AM17" s="62">
        <f t="shared" si="5"/>
        <v>297.43750147024832</v>
      </c>
      <c r="AN17" s="62">
        <f ca="1">AVERAGE(OFFSET($AM$3,0,0,'Données projet'!$E$10+1,1))-AVERAGE(OFFSET($H$3,0,0,'Données projet'!$E$10+1,1))</f>
        <v>140.04898296125504</v>
      </c>
      <c r="AO17" s="62">
        <f t="shared" si="36"/>
        <v>129.5395511270716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3.4425641025641025</v>
      </c>
      <c r="BD17" s="13">
        <f>IF('Données projet'!$A$88&gt;35,BD16+BC17-BL16,IF(A17&lt;'Données projet'!$A$88,$BA$205^A17,IF(A17='Données projet'!$A$88,'Données projet'!$B$88,BD16+BC17-BL16)))</f>
        <v>8.7069931392376674</v>
      </c>
      <c r="BE17" s="14">
        <f>BD17*VLOOKUP('Données projet'!$B$11,Paramètres!$A$1:$I$89,3,0)*VLOOKUP('Données projet'!$B$11,Paramètres!$A$1:$I$89,5,0)</f>
        <v>4.0748727891632281</v>
      </c>
      <c r="BF17" s="14">
        <f t="shared" si="37"/>
        <v>1.5945892948181934</v>
      </c>
      <c r="BG17" s="22">
        <f t="shared" si="7"/>
        <v>9.8743131296009761</v>
      </c>
      <c r="BH17" s="62">
        <f t="shared" si="8"/>
        <v>283.65209090737875</v>
      </c>
      <c r="BI17" s="62">
        <f ca="1">AVERAGE(OFFSET($BH$3,0,0,'Données projet'!$E$11+1,1))-AVERAGE(OFFSET($H$3,0,0,'Données projet'!$E$11+1,1))</f>
        <v>207.84100251878419</v>
      </c>
      <c r="BJ17" s="62">
        <f t="shared" si="38"/>
        <v>124.34917784241952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4.0533333333333328</v>
      </c>
      <c r="BY17" s="13">
        <f>IF('Données projet'!$A$114&gt;35,BY16+BX17-CG16,IF(A17&lt;'Données projet'!$A$114,$BV$205^A17,IF(A17='Données projet'!$A$114,'Données projet'!$B$114,BY16+BX17-CG16)))</f>
        <v>46.235618752244257</v>
      </c>
      <c r="BZ17" s="14">
        <f>BY17*VLOOKUP('Données projet'!$B$12,Paramètres!$A$1:$I$89,3,0)*VLOOKUP('Données projet'!$B$12,Paramètres!$A$1:$I$89,5,0)</f>
        <v>24.042521751167016</v>
      </c>
      <c r="CA17" s="14">
        <f t="shared" si="39"/>
        <v>7.6521946452888621</v>
      </c>
      <c r="CB17" s="22">
        <f t="shared" si="10"/>
        <v>55.201631057160647</v>
      </c>
      <c r="CC17" s="62">
        <f t="shared" si="11"/>
        <v>328.9794088349384</v>
      </c>
      <c r="CD17" s="62">
        <f ca="1">AVERAGE(OFFSET($CC$3,0,0,'Données projet'!$E$12+1,1))-AVERAGE(OFFSET($H$3,0,0,'Données projet'!$E$12+1,1))</f>
        <v>211.05980622218578</v>
      </c>
      <c r="CE17" s="62">
        <f t="shared" si="40"/>
        <v>168.57746894604855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1.9558333333333331</v>
      </c>
      <c r="CT17" s="13">
        <f>IF('Données projet'!$A$140&gt;35,CT16+CS17-DB16,IF(A17&lt;'Données projet'!$A$140,$CQ$205^A17,IF(A17='Données projet'!$A$140,'Données projet'!$B$140,CT16+CS17-DB16)))</f>
        <v>23.165000000000003</v>
      </c>
      <c r="CU17" s="18">
        <f>CT17*VLOOKUP('Données projet'!$B$13,Paramètres!$A$1:$I$89,3,0)*VLOOKUP('Données projet'!$B$13,Paramètres!$A$1:$I$89,5,0)</f>
        <v>26.68608</v>
      </c>
      <c r="CV17" s="14">
        <f t="shared" si="41"/>
        <v>8.3910691422038557</v>
      </c>
      <c r="CW17" s="22">
        <f t="shared" si="13"/>
        <v>61.092701422671723</v>
      </c>
      <c r="CX17" s="62">
        <f t="shared" si="14"/>
        <v>334.87047920044949</v>
      </c>
      <c r="CY17" s="62">
        <f ca="1">AVERAGE(OFFSET($CX$3,0,0,'Données projet'!$E$13+1,1))-AVERAGE(OFFSET($H$3,0,0,'Données projet'!$E$13+1,1))</f>
        <v>191.79777926975839</v>
      </c>
      <c r="CZ17" s="62">
        <f t="shared" si="42"/>
        <v>156.66161375678712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1.8956</v>
      </c>
      <c r="DO17" s="13">
        <f>IF('Données projet'!$A$166&gt;35,DO16+DN17-DW16,IF(A17&lt;'Données projet'!$A$166,$DL$205^A17,IF(A17='Données projet'!$A$166,'Données projet'!$B$166,DO16+DN17-DW16)))</f>
        <v>8.6772988873381856</v>
      </c>
      <c r="DP17" s="18">
        <f>DO17*VLOOKUP('Données projet'!$B$14,Paramètres!$A$1:$I$89,3,0)*VLOOKUP('Données projet'!$B$14,Paramètres!$A$1:$I$89,5,0)</f>
        <v>9.4756103849732973</v>
      </c>
      <c r="DQ17" s="14">
        <f t="shared" si="43"/>
        <v>3.3611057945237039</v>
      </c>
      <c r="DR17" s="22">
        <f t="shared" si="16"/>
        <v>22.357280679290611</v>
      </c>
      <c r="DS17" s="62">
        <f t="shared" si="17"/>
        <v>296.1350584570684</v>
      </c>
      <c r="DT17" s="62">
        <f ca="1">AVERAGE(OFFSET($DS$3,0,0,'Données projet'!$E$14+1,1))-AVERAGE(OFFSET($H$3,0,0,'Données projet'!$E$14+1,1))</f>
        <v>541.0854688453461</v>
      </c>
      <c r="DU17" s="62">
        <f t="shared" si="44"/>
        <v>171.04847168584473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5</v>
      </c>
      <c r="EJ17" s="13">
        <f>IF('Données projet'!$A$192&gt;35,EJ16+EI17-ER16,IF(A17&lt;'Données projet'!$A$192,$EG$205^A17,IF(A17='Données projet'!$A$192,'Données projet'!$B$192,EJ16+EI17-ER16)))</f>
        <v>11.05144420855788</v>
      </c>
      <c r="EK17" s="18">
        <f>EJ17*VLOOKUP('Données projet'!$B$15,Paramètres!$A$1:$I$89,3,0)*VLOOKUP('Données projet'!$B$15,Paramètres!$A$1:$I$89,5,0)</f>
        <v>6.6087636367176126</v>
      </c>
      <c r="EL17" s="14">
        <f t="shared" si="45"/>
        <v>2.4446139790680053</v>
      </c>
      <c r="EM17" s="22">
        <f t="shared" si="19"/>
        <v>15.767966014159951</v>
      </c>
      <c r="EN17" s="62">
        <f t="shared" si="20"/>
        <v>289.5457437919377</v>
      </c>
      <c r="EO17" s="62">
        <f ca="1">AVERAGE(OFFSET($EN$3,0,0,'Données projet'!$E$15+1,1))-AVERAGE(OFFSET($H$3,0,0,'Données projet'!$E$15+1,1))</f>
        <v>244.01698421598974</v>
      </c>
      <c r="EP17" s="62">
        <f t="shared" si="46"/>
        <v>156.96653202915024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0.9</v>
      </c>
      <c r="FE17" s="13">
        <f>IF('Données projet'!$A$218&gt;35,FE16+FD17-FM16,IF(A17&lt;'Données projet'!$A$218,$FB$205^A17,IF(A17='Données projet'!$A$218,'Données projet'!$B$218,FE16+FD17-FM16)))</f>
        <v>7.5629417171254145</v>
      </c>
      <c r="FF17" s="18">
        <f>FE17*VLOOKUP('Données projet'!$B$16,Paramètres!$A$1:$I$89,3,0)*VLOOKUP('Données projet'!$B$16,Paramètres!$A$1:$I$89,5,0)</f>
        <v>6.6069858840807631</v>
      </c>
      <c r="FG17" s="14">
        <f t="shared" si="47"/>
        <v>2.4440329151477385</v>
      </c>
      <c r="FH17" s="22">
        <f t="shared" si="22"/>
        <v>15.763857741989639</v>
      </c>
      <c r="FI17" s="62">
        <f t="shared" si="23"/>
        <v>289.5416355197674</v>
      </c>
      <c r="FJ17" s="62">
        <f ca="1">AVERAGE(OFFSET($FI$3,0,0,'Données projet'!$E$16+1,1))-AVERAGE(OFFSET($H$3,0,0,'Données projet'!$E$16+1,1))</f>
        <v>175.08726167127026</v>
      </c>
      <c r="FK17" s="62">
        <f t="shared" si="48"/>
        <v>196.05343924817117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1.4</v>
      </c>
      <c r="FZ17" s="13">
        <f>IF('Données projet'!$A$244&gt;35,FZ16+FY17-GH16,IF(A17&lt;'Données projet'!$A$244,$FW$205^A17,IF(A17='Données projet'!$A$244,'Données projet'!$B$244,FZ16+FY17-GH16)))</f>
        <v>17.142388831799025</v>
      </c>
      <c r="GA17" s="18">
        <f>FZ17*VLOOKUP('Données projet'!$B$17,Paramètres!$A$1:$I$89,3,0)*VLOOKUP('Données projet'!$B$17,Paramètres!$A$1:$I$89,5,0)</f>
        <v>11.231693162594722</v>
      </c>
      <c r="GB17" s="14">
        <f t="shared" si="49"/>
        <v>3.9059391260990375</v>
      </c>
      <c r="GC17" s="22">
        <f t="shared" si="25"/>
        <v>26.364709569474964</v>
      </c>
      <c r="GD17" s="62">
        <f t="shared" si="26"/>
        <v>300.14248734725271</v>
      </c>
      <c r="GE17" s="62">
        <f ca="1">AVERAGE(OFFSET($GD$3,0,0,'Données projet'!$E$17+1,1))-AVERAGE(OFFSET($H$3,0,0,'Données projet'!$E$17+1,1))</f>
        <v>142.93037460866543</v>
      </c>
      <c r="GF17" s="62">
        <f t="shared" si="50"/>
        <v>146.18554498808049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1.05</v>
      </c>
      <c r="GU17" s="13">
        <f>IF('Données projet'!$A$270&gt;35,GU16+GT17-HC16,IF(A17&lt;'Données projet'!$A$270,$GR$205^A17,IF(A17='Données projet'!$A$270,'Données projet'!$B$270,GU16+GT17-HC16)))</f>
        <v>8.4246817951744681</v>
      </c>
      <c r="GV17" s="18">
        <f>GU17*VLOOKUP('Données projet'!$B$18,Paramètres!$A$1:$I$89,3,0)*VLOOKUP('Données projet'!$B$18,Paramètres!$A$1:$I$89,5,0)</f>
        <v>7.2283769802596947</v>
      </c>
      <c r="GW17" s="14">
        <f t="shared" si="51"/>
        <v>2.6460650137777737</v>
      </c>
      <c r="GX17" s="22">
        <f t="shared" si="28"/>
        <v>17.197986472948589</v>
      </c>
      <c r="GY17" s="62">
        <f t="shared" si="29"/>
        <v>290.97576425072634</v>
      </c>
      <c r="GZ17" s="62">
        <f ca="1">AVERAGE(OFFSET($GY$3,0,0,'Données projet'!$E$18+1,1))-AVERAGE(OFFSET($H$3,0,0,'Données projet'!$E$18+1,1))</f>
        <v>188.08607733149256</v>
      </c>
      <c r="HA17" s="62">
        <f t="shared" si="52"/>
        <v>119.95698016603842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4.4850000000000003</v>
      </c>
      <c r="D18" s="12">
        <f t="shared" si="32"/>
        <v>1.735598888680487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48.018658088059901</v>
      </c>
      <c r="H18" s="70">
        <f t="shared" si="1"/>
        <v>267.50087639778519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1.05</v>
      </c>
      <c r="N18" s="14">
        <f>IF('Données projet'!$A$36&gt;35,N17+M18-V17,IF(A18&lt;'Données projet'!$A$36,$K$205^A18,IF(A18='Données projet'!$A$36,'Données projet'!$B$36,N17+M18-V17)))</f>
        <v>9.8098975322922115</v>
      </c>
      <c r="O18" s="14">
        <f>N18*VLOOKUP('Données projet'!$B$9,Paramètres!$A$1:$I$89,3,0)*VLOOKUP('Données projet'!$B$9,Paramètres!$A$1:$I$89,5,0)</f>
        <v>10.559373703759336</v>
      </c>
      <c r="P18" s="14">
        <f t="shared" si="33"/>
        <v>3.6986117341982632</v>
      </c>
      <c r="Q18" s="22">
        <f t="shared" si="2"/>
        <v>24.832657971109484</v>
      </c>
      <c r="R18" s="62">
        <f t="shared" si="0"/>
        <v>299.83265797110948</v>
      </c>
      <c r="S18" s="62">
        <f ca="1">AVERAGE(OFFSET($R$3,0,0,'Données projet'!$E$9+1,1))-AVERAGE(OFFSET($H$3,0,0,'Données projet'!$E$9+1,1))</f>
        <v>236.98575892380046</v>
      </c>
      <c r="T18" s="62">
        <f t="shared" si="34"/>
        <v>145.77678223659774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21.03846153846154</v>
      </c>
      <c r="AG18" s="13">
        <f>VLOOKUP(A18,'Données projet'!$A$61:$I$81,9,0)</f>
        <v>1.4025641025641027</v>
      </c>
      <c r="AH18" s="13">
        <f t="array" ref="AH18">INDEX(AG:AG,MIN(IF(ISNUMBER(AG18:AG214),ROW(AG18:AG214),"")))</f>
        <v>1.4025641025641027</v>
      </c>
      <c r="AI18" s="14">
        <f>IF('Données projet'!$A$62&gt;35,AI17+AH18-AQ17,IF(A18&lt;'Données projet'!$A$62,$AF$205^A18,IF(A18='Données projet'!$A$62,'Données projet'!$B$62,AI17+AH18-AQ17)))</f>
        <v>21.03846153846154</v>
      </c>
      <c r="AJ18" s="14">
        <f>AI18*VLOOKUP('Données projet'!$B$10,Paramètres!$A$1:$I$89,3,0)*VLOOKUP('Données projet'!$B$10,Paramètres!$A$1:$I$89,5,0)</f>
        <v>12.307500000000003</v>
      </c>
      <c r="AK18" s="14">
        <f t="shared" si="35"/>
        <v>4.234734035214764</v>
      </c>
      <c r="AL18" s="22">
        <f t="shared" si="4"/>
        <v>28.811057611332387</v>
      </c>
      <c r="AM18" s="62">
        <f t="shared" si="5"/>
        <v>303.81105761133239</v>
      </c>
      <c r="AN18" s="62">
        <f ca="1">AVERAGE(OFFSET($AM$3,0,0,'Données projet'!$E$10+1,1))-AVERAGE(OFFSET($H$3,0,0,'Données projet'!$E$10+1,1))</f>
        <v>140.04898296125504</v>
      </c>
      <c r="AO18" s="62">
        <f t="shared" si="36"/>
        <v>129.5395511270716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3.4425641025641025</v>
      </c>
      <c r="BD18" s="13">
        <f>IF('Données projet'!$A$88&gt;35,BD17+BC18-BL17,IF(A18&lt;'Données projet'!$A$88,$BA$205^A18,IF(A18='Données projet'!$A$88,'Données projet'!$B$88,BD17+BC18-BL17)))</f>
        <v>10.162525428107084</v>
      </c>
      <c r="BE18" s="14">
        <f>BD18*VLOOKUP('Données projet'!$B$11,Paramètres!$A$1:$I$89,3,0)*VLOOKUP('Données projet'!$B$11,Paramètres!$A$1:$I$89,5,0)</f>
        <v>4.7560619003541156</v>
      </c>
      <c r="BF18" s="14">
        <f t="shared" si="37"/>
        <v>1.8279653298016947</v>
      </c>
      <c r="BG18" s="22">
        <f t="shared" si="7"/>
        <v>11.467180759188034</v>
      </c>
      <c r="BH18" s="62">
        <f t="shared" si="8"/>
        <v>286.46718075918801</v>
      </c>
      <c r="BI18" s="62">
        <f ca="1">AVERAGE(OFFSET($BH$3,0,0,'Données projet'!$E$11+1,1))-AVERAGE(OFFSET($H$3,0,0,'Données projet'!$E$11+1,1))</f>
        <v>207.84100251878419</v>
      </c>
      <c r="BJ18" s="62">
        <f t="shared" si="38"/>
        <v>124.34917784241952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60.8</v>
      </c>
      <c r="BW18" s="13">
        <f>VLOOKUP(A18,'Données projet'!$A$113:$I$133,9,0)</f>
        <v>4.0533333333333328</v>
      </c>
      <c r="BX18" s="13">
        <f t="array" ref="BX18">INDEX(BW:BW,MIN(IF(ISNUMBER(BW18:BW214),ROW(BW18:BW214),"")))</f>
        <v>4.0533333333333328</v>
      </c>
      <c r="BY18" s="13">
        <f>IF('Données projet'!$A$114&gt;35,BY17+BX18-CG17,IF(A18&lt;'Données projet'!$A$114,$BV$205^A18,IF(A18='Données projet'!$A$114,'Données projet'!$B$114,BY17+BX18-CG17)))</f>
        <v>60.8</v>
      </c>
      <c r="BZ18" s="14">
        <f>BY18*VLOOKUP('Données projet'!$B$12,Paramètres!$A$1:$I$89,3,0)*VLOOKUP('Données projet'!$B$12,Paramètres!$A$1:$I$89,5,0)</f>
        <v>31.616000000000003</v>
      </c>
      <c r="CA18" s="14">
        <f t="shared" si="39"/>
        <v>9.7469743223436929</v>
      </c>
      <c r="CB18" s="22">
        <f t="shared" si="10"/>
        <v>72.040513611415278</v>
      </c>
      <c r="CC18" s="62">
        <f t="shared" si="11"/>
        <v>347.04051361141529</v>
      </c>
      <c r="CD18" s="62">
        <f ca="1">AVERAGE(OFFSET($CC$3,0,0,'Données projet'!$E$12+1,1))-AVERAGE(OFFSET($H$3,0,0,'Données projet'!$E$12+1,1))</f>
        <v>211.05980622218578</v>
      </c>
      <c r="CE18" s="62">
        <f t="shared" si="40"/>
        <v>168.57746894604855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1.9558333333333331</v>
      </c>
      <c r="CT18" s="13">
        <f>IF('Données projet'!$A$140&gt;35,CT17+CS18-DB17,IF(A18&lt;'Données projet'!$A$140,$CQ$205^A18,IF(A18='Données projet'!$A$140,'Données projet'!$B$140,CT17+CS18-DB17)))</f>
        <v>25.120833333333337</v>
      </c>
      <c r="CU18" s="18">
        <f>CT18*VLOOKUP('Données projet'!$B$13,Paramètres!$A$1:$I$89,3,0)*VLOOKUP('Données projet'!$B$13,Paramètres!$A$1:$I$89,5,0)</f>
        <v>28.939200000000003</v>
      </c>
      <c r="CV18" s="14">
        <f t="shared" si="41"/>
        <v>9.0140830494369073</v>
      </c>
      <c r="CW18" s="22">
        <f t="shared" si="13"/>
        <v>66.101967977769291</v>
      </c>
      <c r="CX18" s="62">
        <f t="shared" si="14"/>
        <v>341.10196797776928</v>
      </c>
      <c r="CY18" s="62">
        <f ca="1">AVERAGE(OFFSET($CX$3,0,0,'Données projet'!$E$13+1,1))-AVERAGE(OFFSET($H$3,0,0,'Données projet'!$E$13+1,1))</f>
        <v>191.79777926975839</v>
      </c>
      <c r="CZ18" s="62">
        <f t="shared" si="42"/>
        <v>156.66161375678712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1.8956</v>
      </c>
      <c r="DO18" s="13">
        <f>IF('Données projet'!$A$166&gt;35,DO17+DN18-DW17,IF(A18&lt;'Données projet'!$A$166,$DL$205^A18,IF(A18='Données projet'!$A$166,'Données projet'!$B$166,DO17+DN18-DW17)))</f>
        <v>10.125396184776355</v>
      </c>
      <c r="DP18" s="18">
        <f>DO18*VLOOKUP('Données projet'!$B$14,Paramètres!$A$1:$I$89,3,0)*VLOOKUP('Données projet'!$B$14,Paramètres!$A$1:$I$89,5,0)</f>
        <v>11.056932633775778</v>
      </c>
      <c r="DQ18" s="14">
        <f t="shared" si="43"/>
        <v>3.8521895929153676</v>
      </c>
      <c r="DR18" s="22">
        <f t="shared" si="16"/>
        <v>25.96672121148708</v>
      </c>
      <c r="DS18" s="62">
        <f t="shared" si="17"/>
        <v>300.96672121148708</v>
      </c>
      <c r="DT18" s="62">
        <f ca="1">AVERAGE(OFFSET($DS$3,0,0,'Données projet'!$E$14+1,1))-AVERAGE(OFFSET($H$3,0,0,'Données projet'!$E$14+1,1))</f>
        <v>541.0854688453461</v>
      </c>
      <c r="DU18" s="62">
        <f t="shared" si="44"/>
        <v>171.04847168584473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5</v>
      </c>
      <c r="EJ18" s="13">
        <f>IF('Données projet'!$A$192&gt;35,EJ17+EI18-ER17,IF(A18&lt;'Données projet'!$A$192,$EG$205^A18,IF(A18='Données projet'!$A$192,'Données projet'!$B$192,EJ17+EI18-ER17)))</f>
        <v>13.120457133350639</v>
      </c>
      <c r="EK18" s="18">
        <f>EJ18*VLOOKUP('Données projet'!$B$15,Paramètres!$A$1:$I$89,3,0)*VLOOKUP('Données projet'!$B$15,Paramètres!$A$1:$I$89,5,0)</f>
        <v>7.8460333657436827</v>
      </c>
      <c r="EL18" s="14">
        <f t="shared" si="45"/>
        <v>2.8448864580267812</v>
      </c>
      <c r="EM18" s="22">
        <f t="shared" si="19"/>
        <v>18.620018693066893</v>
      </c>
      <c r="EN18" s="62">
        <f t="shared" si="20"/>
        <v>293.62001869306687</v>
      </c>
      <c r="EO18" s="62">
        <f ca="1">AVERAGE(OFFSET($EN$3,0,0,'Données projet'!$E$15+1,1))-AVERAGE(OFFSET($H$3,0,0,'Données projet'!$E$15+1,1))</f>
        <v>244.01698421598974</v>
      </c>
      <c r="EP18" s="62">
        <f t="shared" si="46"/>
        <v>156.96653202915024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0.9</v>
      </c>
      <c r="FE18" s="13">
        <f>IF('Données projet'!$A$218&gt;35,FE17+FD18-FM17,IF(A18&lt;'Données projet'!$A$218,$FB$205^A18,IF(A18='Données projet'!$A$218,'Données projet'!$B$218,FE17+FD18-FM17)))</f>
        <v>8.7388518907318247</v>
      </c>
      <c r="FF18" s="18">
        <f>FE18*VLOOKUP('Données projet'!$B$16,Paramètres!$A$1:$I$89,3,0)*VLOOKUP('Données projet'!$B$16,Paramètres!$A$1:$I$89,5,0)</f>
        <v>7.6342610117433241</v>
      </c>
      <c r="FG18" s="14">
        <f t="shared" si="47"/>
        <v>2.7769303673043324</v>
      </c>
      <c r="FH18" s="22">
        <f t="shared" si="22"/>
        <v>18.132824985174668</v>
      </c>
      <c r="FI18" s="62">
        <f t="shared" si="23"/>
        <v>293.13282498517469</v>
      </c>
      <c r="FJ18" s="62">
        <f ca="1">AVERAGE(OFFSET($FI$3,0,0,'Données projet'!$E$16+1,1))-AVERAGE(OFFSET($H$3,0,0,'Données projet'!$E$16+1,1))</f>
        <v>175.08726167127026</v>
      </c>
      <c r="FK18" s="62">
        <f t="shared" si="48"/>
        <v>196.05343924817117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21</v>
      </c>
      <c r="FX18" s="13">
        <f>VLOOKUP(A18,'Données projet'!$A$243:$I$263,9,0)</f>
        <v>1.4</v>
      </c>
      <c r="FY18" s="13">
        <f t="array" ref="FY18">INDEX(FX:FX,MIN(IF(ISNUMBER(FX18:FX214),ROW(FX18:FX214),"")))</f>
        <v>1.4</v>
      </c>
      <c r="FZ18" s="13">
        <f>IF('Données projet'!$A$244&gt;35,FZ17+FY18-GH17,IF(A18&lt;'Données projet'!$A$244,$FW$205^A18,IF(A18='Données projet'!$A$244,'Données projet'!$B$244,FZ17+FY18-GH17)))</f>
        <v>21</v>
      </c>
      <c r="GA18" s="18">
        <f>FZ18*VLOOKUP('Données projet'!$B$17,Paramètres!$A$1:$I$89,3,0)*VLOOKUP('Données projet'!$B$17,Paramètres!$A$1:$I$89,5,0)</f>
        <v>13.759200000000002</v>
      </c>
      <c r="GB18" s="14">
        <f t="shared" si="49"/>
        <v>4.6731852988569083</v>
      </c>
      <c r="GC18" s="22">
        <f t="shared" si="25"/>
        <v>32.103071062175779</v>
      </c>
      <c r="GD18" s="62">
        <f t="shared" si="26"/>
        <v>307.10307106217579</v>
      </c>
      <c r="GE18" s="62">
        <f ca="1">AVERAGE(OFFSET($GD$3,0,0,'Données projet'!$E$17+1,1))-AVERAGE(OFFSET($H$3,0,0,'Données projet'!$E$17+1,1))</f>
        <v>142.93037460866543</v>
      </c>
      <c r="GF18" s="62">
        <f t="shared" si="50"/>
        <v>146.18554498808049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1.05</v>
      </c>
      <c r="GU18" s="13">
        <f>IF('Données projet'!$A$270&gt;35,GU17+GT18-HC17,IF(A18&lt;'Données projet'!$A$270,$GR$205^A18,IF(A18='Données projet'!$A$270,'Données projet'!$B$270,GU17+GT18-HC17)))</f>
        <v>9.8098975322922115</v>
      </c>
      <c r="GV18" s="18">
        <f>GU18*VLOOKUP('Données projet'!$B$18,Paramètres!$A$1:$I$89,3,0)*VLOOKUP('Données projet'!$B$18,Paramètres!$A$1:$I$89,5,0)</f>
        <v>8.4168920827067186</v>
      </c>
      <c r="GW18" s="14">
        <f t="shared" si="51"/>
        <v>3.0270260542236085</v>
      </c>
      <c r="GX18" s="22">
        <f t="shared" si="28"/>
        <v>19.93149075515365</v>
      </c>
      <c r="GY18" s="62">
        <f t="shared" si="29"/>
        <v>294.93149075515367</v>
      </c>
      <c r="GZ18" s="62">
        <f ca="1">AVERAGE(OFFSET($GY$3,0,0,'Données projet'!$E$18+1,1))-AVERAGE(OFFSET($H$3,0,0,'Données projet'!$E$18+1,1))</f>
        <v>188.08607733149256</v>
      </c>
      <c r="HA18" s="62">
        <f t="shared" si="52"/>
        <v>119.95698016603842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4.7840000000000007</v>
      </c>
      <c r="D19" s="12">
        <f t="shared" si="32"/>
        <v>1.8374500570715415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51.11294780897331</v>
      </c>
      <c r="H19" s="70">
        <f t="shared" si="1"/>
        <v>268.19902551606629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1.05</v>
      </c>
      <c r="N19" s="14">
        <f>IF('Données projet'!$A$36&gt;35,N18+M19-V18,IF(A19&lt;'Données projet'!$A$36,$K$205^A19,IF(A19='Données projet'!$A$36,'Données projet'!$B$36,N18+M19-V18)))</f>
        <v>11.42287530066646</v>
      </c>
      <c r="O19" s="14">
        <f>N19*VLOOKUP('Données projet'!$B$9,Paramètres!$A$1:$I$89,3,0)*VLOOKUP('Données projet'!$B$9,Paramètres!$A$1:$I$89,5,0)</f>
        <v>12.295582973637377</v>
      </c>
      <c r="P19" s="14">
        <f t="shared" si="33"/>
        <v>4.2311107344604242</v>
      </c>
      <c r="Q19" s="22">
        <f t="shared" si="2"/>
        <v>28.783991541603669</v>
      </c>
      <c r="R19" s="62">
        <f t="shared" si="0"/>
        <v>305.00621376382588</v>
      </c>
      <c r="S19" s="62">
        <f ca="1">AVERAGE(OFFSET($R$3,0,0,'Données projet'!$E$9+1,1))-AVERAGE(OFFSET($H$3,0,0,'Données projet'!$E$9+1,1))</f>
        <v>236.98575892380046</v>
      </c>
      <c r="T19" s="62">
        <f t="shared" si="34"/>
        <v>145.77678223659774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3.0276923076923068</v>
      </c>
      <c r="AI19" s="14">
        <f>IF('Données projet'!$A$62&gt;35,AI18+AH19-AQ18,IF(A19&lt;'Données projet'!$A$62,$AF$205^A19,IF(A19='Données projet'!$A$62,'Données projet'!$B$62,AI18+AH19-AQ18)))</f>
        <v>24.066153846153846</v>
      </c>
      <c r="AJ19" s="14">
        <f>AI19*VLOOKUP('Données projet'!$B$10,Paramètres!$A$1:$I$89,3,0)*VLOOKUP('Données projet'!$B$10,Paramètres!$A$1:$I$89,5,0)</f>
        <v>14.0787</v>
      </c>
      <c r="AK19" s="14">
        <f t="shared" si="35"/>
        <v>4.7689408763838834</v>
      </c>
      <c r="AL19" s="22">
        <f t="shared" si="4"/>
        <v>32.826307859701934</v>
      </c>
      <c r="AM19" s="62">
        <f t="shared" si="5"/>
        <v>309.04853008192418</v>
      </c>
      <c r="AN19" s="62">
        <f ca="1">AVERAGE(OFFSET($AM$3,0,0,'Données projet'!$E$10+1,1))-AVERAGE(OFFSET($H$3,0,0,'Données projet'!$E$10+1,1))</f>
        <v>140.04898296125504</v>
      </c>
      <c r="AO19" s="62">
        <f t="shared" si="36"/>
        <v>129.5395511270716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3.4425641025641025</v>
      </c>
      <c r="BD19" s="13">
        <f>IF('Données projet'!$A$88&gt;35,BD18+BC19-BL18,IF(A19&lt;'Données projet'!$A$88,$BA$205^A19,IF(A19='Données projet'!$A$88,'Données projet'!$B$88,BD18+BC19-BL18)))</f>
        <v>11.861376416102864</v>
      </c>
      <c r="BE19" s="14">
        <f>BD19*VLOOKUP('Données projet'!$B$11,Paramètres!$A$1:$I$89,3,0)*VLOOKUP('Données projet'!$B$11,Paramètres!$A$1:$I$89,5,0)</f>
        <v>5.5511241627361398</v>
      </c>
      <c r="BF19" s="14">
        <f t="shared" si="37"/>
        <v>2.0954971024924585</v>
      </c>
      <c r="BG19" s="22">
        <f t="shared" si="7"/>
        <v>13.31786537027314</v>
      </c>
      <c r="BH19" s="62">
        <f t="shared" si="8"/>
        <v>289.54008759249535</v>
      </c>
      <c r="BI19" s="62">
        <f ca="1">AVERAGE(OFFSET($BH$3,0,0,'Données projet'!$E$11+1,1))-AVERAGE(OFFSET($H$3,0,0,'Données projet'!$E$11+1,1))</f>
        <v>207.84100251878419</v>
      </c>
      <c r="BJ19" s="62">
        <f t="shared" si="38"/>
        <v>124.34917784241952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4.9800000000000013</v>
      </c>
      <c r="BY19" s="13">
        <f>IF('Données projet'!$A$114&gt;35,BY18+BX19-CG18,IF(A19&lt;'Données projet'!$A$114,$BV$205^A19,IF(A19='Données projet'!$A$114,'Données projet'!$B$114,BY18+BX19-CG18)))</f>
        <v>65.78</v>
      </c>
      <c r="BZ19" s="14">
        <f>BY19*VLOOKUP('Données projet'!$B$12,Paramètres!$A$1:$I$89,3,0)*VLOOKUP('Données projet'!$B$12,Paramètres!$A$1:$I$89,5,0)</f>
        <v>34.205600000000004</v>
      </c>
      <c r="CA19" s="14">
        <f t="shared" si="39"/>
        <v>10.449135526956775</v>
      </c>
      <c r="CB19" s="22">
        <f t="shared" si="10"/>
        <v>77.773664376116372</v>
      </c>
      <c r="CC19" s="62">
        <f t="shared" si="11"/>
        <v>353.99588659833859</v>
      </c>
      <c r="CD19" s="62">
        <f ca="1">AVERAGE(OFFSET($CC$3,0,0,'Données projet'!$E$12+1,1))-AVERAGE(OFFSET($H$3,0,0,'Données projet'!$E$12+1,1))</f>
        <v>211.05980622218578</v>
      </c>
      <c r="CE19" s="62">
        <f t="shared" si="40"/>
        <v>168.57746894604855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1.9558333333333331</v>
      </c>
      <c r="CT19" s="13">
        <f>IF('Données projet'!$A$140&gt;35,CT18+CS19-DB18,IF(A19&lt;'Données projet'!$A$140,$CQ$205^A19,IF(A19='Données projet'!$A$140,'Données projet'!$B$140,CT18+CS19-DB18)))</f>
        <v>27.076666666666672</v>
      </c>
      <c r="CU19" s="18">
        <f>CT19*VLOOKUP('Données projet'!$B$13,Paramètres!$A$1:$I$89,3,0)*VLOOKUP('Données projet'!$B$13,Paramètres!$A$1:$I$89,5,0)</f>
        <v>31.192320000000002</v>
      </c>
      <c r="CV19" s="14">
        <f t="shared" si="41"/>
        <v>9.6314703672580624</v>
      </c>
      <c r="CW19" s="22">
        <f t="shared" si="13"/>
        <v>71.101434889641112</v>
      </c>
      <c r="CX19" s="62">
        <f t="shared" si="14"/>
        <v>347.32365711186333</v>
      </c>
      <c r="CY19" s="62">
        <f ca="1">AVERAGE(OFFSET($CX$3,0,0,'Données projet'!$E$13+1,1))-AVERAGE(OFFSET($H$3,0,0,'Données projet'!$E$13+1,1))</f>
        <v>191.79777926975839</v>
      </c>
      <c r="CZ19" s="62">
        <f t="shared" si="42"/>
        <v>156.66161375678712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1.8956</v>
      </c>
      <c r="DO19" s="13">
        <f>IF('Données projet'!$A$166&gt;35,DO18+DN19-DW18,IF(A19&lt;'Données projet'!$A$166,$DL$205^A19,IF(A19='Données projet'!$A$166,'Données projet'!$B$166,DO18+DN19-DW18)))</f>
        <v>11.815156908826191</v>
      </c>
      <c r="DP19" s="18">
        <f>DO19*VLOOKUP('Données projet'!$B$14,Paramètres!$A$1:$I$89,3,0)*VLOOKUP('Données projet'!$B$14,Paramètres!$A$1:$I$89,5,0)</f>
        <v>12.902151344438202</v>
      </c>
      <c r="DQ19" s="14">
        <f t="shared" si="43"/>
        <v>4.4150245683856344</v>
      </c>
      <c r="DR19" s="22">
        <f t="shared" si="16"/>
        <v>30.160748048168177</v>
      </c>
      <c r="DS19" s="62">
        <f t="shared" si="17"/>
        <v>306.38297027039039</v>
      </c>
      <c r="DT19" s="62">
        <f ca="1">AVERAGE(OFFSET($DS$3,0,0,'Données projet'!$E$14+1,1))-AVERAGE(OFFSET($H$3,0,0,'Données projet'!$E$14+1,1))</f>
        <v>541.0854688453461</v>
      </c>
      <c r="DU19" s="62">
        <f t="shared" si="44"/>
        <v>171.04847168584473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5</v>
      </c>
      <c r="EJ19" s="13">
        <f>IF('Données projet'!$A$192&gt;35,EJ18+EI19-ER18,IF(A19&lt;'Données projet'!$A$192,$EG$205^A19,IF(A19='Données projet'!$A$192,'Données projet'!$B$192,EJ18+EI19-ER18)))</f>
        <v>15.576823457588203</v>
      </c>
      <c r="EK19" s="18">
        <f>EJ19*VLOOKUP('Données projet'!$B$15,Paramètres!$A$1:$I$89,3,0)*VLOOKUP('Données projet'!$B$15,Paramètres!$A$1:$I$89,5,0)</f>
        <v>9.3149404276377457</v>
      </c>
      <c r="EL19" s="14">
        <f t="shared" si="45"/>
        <v>3.3106981422685484</v>
      </c>
      <c r="EM19" s="22">
        <f t="shared" si="19"/>
        <v>21.98965384258679</v>
      </c>
      <c r="EN19" s="62">
        <f t="shared" si="20"/>
        <v>298.21187606480902</v>
      </c>
      <c r="EO19" s="62">
        <f ca="1">AVERAGE(OFFSET($EN$3,0,0,'Données projet'!$E$15+1,1))-AVERAGE(OFFSET($H$3,0,0,'Données projet'!$E$15+1,1))</f>
        <v>244.01698421598974</v>
      </c>
      <c r="EP19" s="62">
        <f t="shared" si="46"/>
        <v>156.96653202915024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0.9</v>
      </c>
      <c r="FE19" s="13">
        <f>IF('Données projet'!$A$218&gt;35,FE18+FD19-FM18,IF(A19&lt;'Données projet'!$A$218,$FB$205^A19,IF(A19='Données projet'!$A$218,'Données projet'!$B$218,FE18+FD19-FM18)))</f>
        <v>10.097596309015799</v>
      </c>
      <c r="FF19" s="18">
        <f>FE19*VLOOKUP('Données projet'!$B$16,Paramètres!$A$1:$I$89,3,0)*VLOOKUP('Données projet'!$B$16,Paramètres!$A$1:$I$89,5,0)</f>
        <v>8.8212601355562033</v>
      </c>
      <c r="FG19" s="14">
        <f t="shared" si="47"/>
        <v>3.1551711996443523</v>
      </c>
      <c r="FH19" s="22">
        <f t="shared" si="22"/>
        <v>20.858951242140964</v>
      </c>
      <c r="FI19" s="62">
        <f t="shared" si="23"/>
        <v>297.08117346436319</v>
      </c>
      <c r="FJ19" s="62">
        <f ca="1">AVERAGE(OFFSET($FI$3,0,0,'Données projet'!$E$16+1,1))-AVERAGE(OFFSET($H$3,0,0,'Données projet'!$E$16+1,1))</f>
        <v>175.08726167127026</v>
      </c>
      <c r="FK19" s="62">
        <f t="shared" si="48"/>
        <v>196.05343924817117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6.6</v>
      </c>
      <c r="FZ19" s="13">
        <f>IF('Données projet'!$A$244&gt;35,FZ18+FY19-GH18,IF(A19&lt;'Données projet'!$A$244,$FW$205^A19,IF(A19='Données projet'!$A$244,'Données projet'!$B$244,FZ18+FY19-GH18)))</f>
        <v>27.6</v>
      </c>
      <c r="GA19" s="18">
        <f>FZ19*VLOOKUP('Données projet'!$B$17,Paramètres!$A$1:$I$89,3,0)*VLOOKUP('Données projet'!$B$17,Paramètres!$A$1:$I$89,5,0)</f>
        <v>18.08352</v>
      </c>
      <c r="GB19" s="14">
        <f t="shared" si="49"/>
        <v>5.9495935530996427</v>
      </c>
      <c r="GC19" s="22">
        <f t="shared" si="25"/>
        <v>41.857672771648545</v>
      </c>
      <c r="GD19" s="62">
        <f t="shared" si="26"/>
        <v>318.07989499387077</v>
      </c>
      <c r="GE19" s="62">
        <f ca="1">AVERAGE(OFFSET($GD$3,0,0,'Données projet'!$E$17+1,1))-AVERAGE(OFFSET($H$3,0,0,'Données projet'!$E$17+1,1))</f>
        <v>142.93037460866543</v>
      </c>
      <c r="GF19" s="62">
        <f t="shared" si="50"/>
        <v>146.18554498808049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1.05</v>
      </c>
      <c r="GU19" s="13">
        <f>IF('Données projet'!$A$270&gt;35,GU18+GT19-HC18,IF(A19&lt;'Données projet'!$A$270,$GR$205^A19,IF(A19='Données projet'!$A$270,'Données projet'!$B$270,GU18+GT19-HC18)))</f>
        <v>11.42287530066646</v>
      </c>
      <c r="GV19" s="18">
        <f>GU19*VLOOKUP('Données projet'!$B$18,Paramètres!$A$1:$I$89,3,0)*VLOOKUP('Données projet'!$B$18,Paramètres!$A$1:$I$89,5,0)</f>
        <v>9.800827007971824</v>
      </c>
      <c r="GW19" s="14">
        <f t="shared" si="51"/>
        <v>3.4628350721688212</v>
      </c>
      <c r="GX19" s="22">
        <f t="shared" si="28"/>
        <v>23.100878122911624</v>
      </c>
      <c r="GY19" s="62">
        <f t="shared" si="29"/>
        <v>299.32310034513387</v>
      </c>
      <c r="GZ19" s="62">
        <f ca="1">AVERAGE(OFFSET($GY$3,0,0,'Données projet'!$E$18+1,1))-AVERAGE(OFFSET($H$3,0,0,'Données projet'!$E$18+1,1))</f>
        <v>188.08607733149256</v>
      </c>
      <c r="HA19" s="62">
        <f t="shared" si="52"/>
        <v>119.95698016603842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5.0830000000000011</v>
      </c>
      <c r="D20" s="12">
        <f t="shared" si="32"/>
        <v>1.9385624393512639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54.201534619553627</v>
      </c>
      <c r="H20" s="70">
        <f t="shared" si="1"/>
        <v>268.89588791520345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1.05</v>
      </c>
      <c r="N20" s="14">
        <f>IF('Données projet'!$A$36&gt;35,N19+M20-V19,IF(A20&lt;'Données projet'!$A$36,$K$205^A20,IF(A20='Données projet'!$A$36,'Données projet'!$B$36,N19+M20-V19)))</f>
        <v>13.301064532535134</v>
      </c>
      <c r="O20" s="14">
        <f>N20*VLOOKUP('Données projet'!$B$9,Paramètres!$A$1:$I$89,3,0)*VLOOKUP('Données projet'!$B$9,Paramètres!$A$1:$I$89,5,0)</f>
        <v>14.317265862820818</v>
      </c>
      <c r="P20" s="14">
        <f t="shared" si="33"/>
        <v>4.8402750366406995</v>
      </c>
      <c r="Q20" s="22">
        <f t="shared" si="2"/>
        <v>33.366050399895471</v>
      </c>
      <c r="R20" s="62">
        <f t="shared" si="0"/>
        <v>310.81049484433993</v>
      </c>
      <c r="S20" s="62">
        <f ca="1">AVERAGE(OFFSET($R$3,0,0,'Données projet'!$E$9+1,1))-AVERAGE(OFFSET($H$3,0,0,'Données projet'!$E$9+1,1))</f>
        <v>236.98575892380046</v>
      </c>
      <c r="T20" s="62">
        <f t="shared" si="34"/>
        <v>145.77678223659774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3.0276923076923068</v>
      </c>
      <c r="AI20" s="14">
        <f>IF('Données projet'!$A$62&gt;35,AI19+AH20-AQ19,IF(A20&lt;'Données projet'!$A$62,$AF$205^A20,IF(A20='Données projet'!$A$62,'Données projet'!$B$62,AI19+AH20-AQ19)))</f>
        <v>27.093846153846151</v>
      </c>
      <c r="AJ20" s="14">
        <f>AI20*VLOOKUP('Données projet'!$B$10,Paramètres!$A$1:$I$89,3,0)*VLOOKUP('Données projet'!$B$10,Paramètres!$A$1:$I$89,5,0)</f>
        <v>15.8499</v>
      </c>
      <c r="AK20" s="14">
        <f t="shared" si="35"/>
        <v>5.2953601604169283</v>
      </c>
      <c r="AL20" s="22">
        <f t="shared" si="4"/>
        <v>36.827994779392817</v>
      </c>
      <c r="AM20" s="62">
        <f t="shared" si="5"/>
        <v>314.2724392238373</v>
      </c>
      <c r="AN20" s="62">
        <f ca="1">AVERAGE(OFFSET($AM$3,0,0,'Données projet'!$E$10+1,1))-AVERAGE(OFFSET($H$3,0,0,'Données projet'!$E$10+1,1))</f>
        <v>140.04898296125504</v>
      </c>
      <c r="AO20" s="62">
        <f t="shared" si="36"/>
        <v>129.5395511270716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3.4425641025641025</v>
      </c>
      <c r="BD20" s="13">
        <f>IF('Données projet'!$A$88&gt;35,BD19+BC20-BL19,IF(A20&lt;'Données projet'!$A$88,$BA$205^A20,IF(A20='Données projet'!$A$88,'Données projet'!$B$88,BD19+BC20-BL19)))</f>
        <v>13.84422124990315</v>
      </c>
      <c r="BE20" s="14">
        <f>BD20*VLOOKUP('Données projet'!$B$11,Paramètres!$A$1:$I$89,3,0)*VLOOKUP('Données projet'!$B$11,Paramètres!$A$1:$I$89,5,0)</f>
        <v>6.4790955449546734</v>
      </c>
      <c r="BF20" s="14">
        <f t="shared" si="37"/>
        <v>2.4021834741420709</v>
      </c>
      <c r="BG20" s="22">
        <f t="shared" si="7"/>
        <v>15.468227624926827</v>
      </c>
      <c r="BH20" s="62">
        <f t="shared" si="8"/>
        <v>292.9126720693713</v>
      </c>
      <c r="BI20" s="62">
        <f ca="1">AVERAGE(OFFSET($BH$3,0,0,'Données projet'!$E$11+1,1))-AVERAGE(OFFSET($H$3,0,0,'Données projet'!$E$11+1,1))</f>
        <v>207.84100251878419</v>
      </c>
      <c r="BJ20" s="62">
        <f t="shared" si="38"/>
        <v>124.34917784241952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4.9800000000000013</v>
      </c>
      <c r="BY20" s="13">
        <f>IF('Données projet'!$A$114&gt;35,BY19+BX20-CG19,IF(A20&lt;'Données projet'!$A$114,$BV$205^A20,IF(A20='Données projet'!$A$114,'Données projet'!$B$114,BY19+BX20-CG19)))</f>
        <v>70.760000000000005</v>
      </c>
      <c r="BZ20" s="14">
        <f>BY20*VLOOKUP('Données projet'!$B$12,Paramètres!$A$1:$I$89,3,0)*VLOOKUP('Données projet'!$B$12,Paramètres!$A$1:$I$89,5,0)</f>
        <v>36.795200000000001</v>
      </c>
      <c r="CA20" s="14">
        <f t="shared" si="39"/>
        <v>11.145130056976178</v>
      </c>
      <c r="CB20" s="22">
        <f t="shared" si="10"/>
        <v>83.496074849233494</v>
      </c>
      <c r="CC20" s="62">
        <f t="shared" si="11"/>
        <v>360.94051929367794</v>
      </c>
      <c r="CD20" s="62">
        <f ca="1">AVERAGE(OFFSET($CC$3,0,0,'Données projet'!$E$12+1,1))-AVERAGE(OFFSET($H$3,0,0,'Données projet'!$E$12+1,1))</f>
        <v>211.05980622218578</v>
      </c>
      <c r="CE20" s="62">
        <f t="shared" si="40"/>
        <v>168.57746894604855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1.9558333333333331</v>
      </c>
      <c r="CT20" s="13">
        <f>IF('Données projet'!$A$140&gt;35,CT19+CS20-DB19,IF(A20&lt;'Données projet'!$A$140,$CQ$205^A20,IF(A20='Données projet'!$A$140,'Données projet'!$B$140,CT19+CS20-DB19)))</f>
        <v>29.032500000000006</v>
      </c>
      <c r="CU20" s="18">
        <f>CT20*VLOOKUP('Données projet'!$B$13,Paramètres!$A$1:$I$89,3,0)*VLOOKUP('Données projet'!$B$13,Paramètres!$A$1:$I$89,5,0)</f>
        <v>33.445440000000005</v>
      </c>
      <c r="CV20" s="14">
        <f t="shared" si="41"/>
        <v>10.243683743720984</v>
      </c>
      <c r="CW20" s="22">
        <f t="shared" si="13"/>
        <v>76.091890520314053</v>
      </c>
      <c r="CX20" s="62">
        <f t="shared" si="14"/>
        <v>353.53633496475851</v>
      </c>
      <c r="CY20" s="62">
        <f ca="1">AVERAGE(OFFSET($CX$3,0,0,'Données projet'!$E$13+1,1))-AVERAGE(OFFSET($H$3,0,0,'Données projet'!$E$13+1,1))</f>
        <v>191.79777926975839</v>
      </c>
      <c r="CZ20" s="62">
        <f t="shared" si="42"/>
        <v>156.66161375678712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1.8956</v>
      </c>
      <c r="DO20" s="13">
        <f>IF('Données projet'!$A$166&gt;35,DO19+DN20-DW19,IF(A20&lt;'Données projet'!$A$166,$DL$205^A20,IF(A20='Données projet'!$A$166,'Données projet'!$B$166,DO19+DN20-DW19)))</f>
        <v>13.786910678129345</v>
      </c>
      <c r="DP20" s="18">
        <f>DO20*VLOOKUP('Données projet'!$B$14,Paramètres!$A$1:$I$89,3,0)*VLOOKUP('Données projet'!$B$14,Paramètres!$A$1:$I$89,5,0)</f>
        <v>15.055306460517244</v>
      </c>
      <c r="DQ20" s="14">
        <f t="shared" si="43"/>
        <v>5.060094128102536</v>
      </c>
      <c r="DR20" s="22">
        <f t="shared" si="16"/>
        <v>35.034322691846107</v>
      </c>
      <c r="DS20" s="62">
        <f t="shared" si="17"/>
        <v>312.47876713629057</v>
      </c>
      <c r="DT20" s="62">
        <f ca="1">AVERAGE(OFFSET($DS$3,0,0,'Données projet'!$E$14+1,1))-AVERAGE(OFFSET($H$3,0,0,'Données projet'!$E$14+1,1))</f>
        <v>541.0854688453461</v>
      </c>
      <c r="DU20" s="62">
        <f t="shared" si="44"/>
        <v>171.04847168584473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5</v>
      </c>
      <c r="EJ20" s="13">
        <f>IF('Données projet'!$A$192&gt;35,EJ19+EI20-ER19,IF(A20&lt;'Données projet'!$A$192,$EG$205^A20,IF(A20='Données projet'!$A$192,'Données projet'!$B$192,EJ19+EI20-ER19)))</f>
        <v>18.493062136692988</v>
      </c>
      <c r="EK20" s="18">
        <f>EJ20*VLOOKUP('Données projet'!$B$15,Paramètres!$A$1:$I$89,3,0)*VLOOKUP('Données projet'!$B$15,Paramètres!$A$1:$I$89,5,0)</f>
        <v>11.058851157742406</v>
      </c>
      <c r="EL20" s="14">
        <f t="shared" si="45"/>
        <v>3.8527801903288599</v>
      </c>
      <c r="EM20" s="22">
        <f t="shared" si="19"/>
        <v>25.971091264557455</v>
      </c>
      <c r="EN20" s="62">
        <f t="shared" si="20"/>
        <v>303.41553570900192</v>
      </c>
      <c r="EO20" s="62">
        <f ca="1">AVERAGE(OFFSET($EN$3,0,0,'Données projet'!$E$15+1,1))-AVERAGE(OFFSET($H$3,0,0,'Données projet'!$E$15+1,1))</f>
        <v>244.01698421598974</v>
      </c>
      <c r="EP20" s="62">
        <f t="shared" si="46"/>
        <v>156.96653202915024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0.9</v>
      </c>
      <c r="FE20" s="13">
        <f>IF('Données projet'!$A$218&gt;35,FE19+FD20-FM19,IF(A20&lt;'Données projet'!$A$218,$FB$205^A20,IF(A20='Données projet'!$A$218,'Données projet'!$B$218,FE19+FD20-FM19)))</f>
        <v>11.667602620429678</v>
      </c>
      <c r="FF20" s="18">
        <f>FE20*VLOOKUP('Données projet'!$B$16,Paramètres!$A$1:$I$89,3,0)*VLOOKUP('Données projet'!$B$16,Paramètres!$A$1:$I$89,5,0)</f>
        <v>10.192817649207369</v>
      </c>
      <c r="FG20" s="14">
        <f t="shared" si="47"/>
        <v>3.5849315547400531</v>
      </c>
      <c r="FH20" s="22">
        <f t="shared" si="22"/>
        <v>23.996246530208428</v>
      </c>
      <c r="FI20" s="62">
        <f t="shared" si="23"/>
        <v>301.44069097465291</v>
      </c>
      <c r="FJ20" s="62">
        <f ca="1">AVERAGE(OFFSET($FI$3,0,0,'Données projet'!$E$16+1,1))-AVERAGE(OFFSET($H$3,0,0,'Données projet'!$E$16+1,1))</f>
        <v>175.08726167127026</v>
      </c>
      <c r="FK20" s="62">
        <f t="shared" si="48"/>
        <v>196.05343924817117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6.6</v>
      </c>
      <c r="FZ20" s="13">
        <f>IF('Données projet'!$A$244&gt;35,FZ19+FY20-GH19,IF(A20&lt;'Données projet'!$A$244,$FW$205^A20,IF(A20='Données projet'!$A$244,'Données projet'!$B$244,FZ19+FY20-GH19)))</f>
        <v>34.200000000000003</v>
      </c>
      <c r="GA20" s="18">
        <f>FZ20*VLOOKUP('Données projet'!$B$17,Paramètres!$A$1:$I$89,3,0)*VLOOKUP('Données projet'!$B$17,Paramètres!$A$1:$I$89,5,0)</f>
        <v>22.40784</v>
      </c>
      <c r="GB20" s="14">
        <f t="shared" si="49"/>
        <v>7.190606123915849</v>
      </c>
      <c r="GC20" s="22">
        <f t="shared" si="25"/>
        <v>51.550626999153444</v>
      </c>
      <c r="GD20" s="62">
        <f t="shared" si="26"/>
        <v>328.99507144359791</v>
      </c>
      <c r="GE20" s="62">
        <f ca="1">AVERAGE(OFFSET($GD$3,0,0,'Données projet'!$E$17+1,1))-AVERAGE(OFFSET($H$3,0,0,'Données projet'!$E$17+1,1))</f>
        <v>142.93037460866543</v>
      </c>
      <c r="GF20" s="62">
        <f t="shared" si="50"/>
        <v>146.18554498808049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1.05</v>
      </c>
      <c r="GU20" s="13">
        <f>IF('Données projet'!$A$270&gt;35,GU19+GT20-HC19,IF(A20&lt;'Données projet'!$A$270,$GR$205^A20,IF(A20='Données projet'!$A$270,'Données projet'!$B$270,GU19+GT20-HC19)))</f>
        <v>13.301064532535134</v>
      </c>
      <c r="GV20" s="18">
        <f>GU20*VLOOKUP('Données projet'!$B$18,Paramètres!$A$1:$I$89,3,0)*VLOOKUP('Données projet'!$B$18,Paramètres!$A$1:$I$89,5,0)</f>
        <v>11.412313368915147</v>
      </c>
      <c r="GW20" s="14">
        <f t="shared" si="51"/>
        <v>3.9613886772831339</v>
      </c>
      <c r="GX20" s="22">
        <f t="shared" si="28"/>
        <v>26.775864397128672</v>
      </c>
      <c r="GY20" s="62">
        <f t="shared" si="29"/>
        <v>304.22030884157311</v>
      </c>
      <c r="GZ20" s="62">
        <f ca="1">AVERAGE(OFFSET($GY$3,0,0,'Données projet'!$E$18+1,1))-AVERAGE(OFFSET($H$3,0,0,'Données projet'!$E$18+1,1))</f>
        <v>188.08607733149256</v>
      </c>
      <c r="HA20" s="62">
        <f t="shared" si="52"/>
        <v>119.95698016603842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5.3820000000000014</v>
      </c>
      <c r="D21" s="12">
        <f t="shared" si="32"/>
        <v>2.0389844437619384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57.284792197460597</v>
      </c>
      <c r="H21" s="70">
        <f t="shared" si="1"/>
        <v>269.59154790621875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1.05</v>
      </c>
      <c r="N21" s="14">
        <f>IF('Données projet'!$A$36&gt;35,N20+M21-V20,IF(A21&lt;'Données projet'!$A$36,$K$205^A21,IF(A21='Données projet'!$A$36,'Données projet'!$B$36,N20+M21-V20)))</f>
        <v>15.48807222716875</v>
      </c>
      <c r="O21" s="14">
        <f>N21*VLOOKUP('Données projet'!$B$9,Paramètres!$A$1:$I$89,3,0)*VLOOKUP('Données projet'!$B$9,Paramètres!$A$1:$I$89,5,0)</f>
        <v>16.671360945324444</v>
      </c>
      <c r="P21" s="14">
        <f t="shared" si="33"/>
        <v>5.5371423488198674</v>
      </c>
      <c r="Q21" s="22">
        <f t="shared" si="2"/>
        <v>38.679809903968007</v>
      </c>
      <c r="R21" s="62">
        <f t="shared" si="0"/>
        <v>317.34647657063471</v>
      </c>
      <c r="S21" s="62">
        <f ca="1">AVERAGE(OFFSET($R$3,0,0,'Données projet'!$E$9+1,1))-AVERAGE(OFFSET($H$3,0,0,'Données projet'!$E$9+1,1))</f>
        <v>236.98575892380046</v>
      </c>
      <c r="T21" s="62">
        <f t="shared" si="34"/>
        <v>145.77678223659774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3.0276923076923068</v>
      </c>
      <c r="AI21" s="14">
        <f>IF('Données projet'!$A$62&gt;35,AI20+AH21-AQ20,IF(A21&lt;'Données projet'!$A$62,$AF$205^A21,IF(A21='Données projet'!$A$62,'Données projet'!$B$62,AI20+AH21-AQ20)))</f>
        <v>30.121538461538456</v>
      </c>
      <c r="AJ21" s="14">
        <f>AI21*VLOOKUP('Données projet'!$B$10,Paramètres!$A$1:$I$89,3,0)*VLOOKUP('Données projet'!$B$10,Paramètres!$A$1:$I$89,5,0)</f>
        <v>17.621099999999998</v>
      </c>
      <c r="AK21" s="14">
        <f t="shared" si="35"/>
        <v>5.8149614193709027</v>
      </c>
      <c r="AL21" s="22">
        <f t="shared" si="4"/>
        <v>40.817806972070983</v>
      </c>
      <c r="AM21" s="62">
        <f t="shared" si="5"/>
        <v>319.48447363873765</v>
      </c>
      <c r="AN21" s="62">
        <f ca="1">AVERAGE(OFFSET($AM$3,0,0,'Données projet'!$E$10+1,1))-AVERAGE(OFFSET($H$3,0,0,'Données projet'!$E$10+1,1))</f>
        <v>140.04898296125504</v>
      </c>
      <c r="AO21" s="62">
        <f t="shared" si="36"/>
        <v>129.5395511270716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3.4425641025641025</v>
      </c>
      <c r="BD21" s="13">
        <f>IF('Données projet'!$A$88&gt;35,BD20+BC21-BL20,IF(A21&lt;'Données projet'!$A$88,$BA$205^A21,IF(A21='Données projet'!$A$88,'Données projet'!$B$88,BD20+BC21-BL20)))</f>
        <v>16.158534666859676</v>
      </c>
      <c r="BE21" s="14">
        <f>BD21*VLOOKUP('Données projet'!$B$11,Paramètres!$A$1:$I$89,3,0)*VLOOKUP('Données projet'!$B$11,Paramètres!$A$1:$I$89,5,0)</f>
        <v>7.5621942240903284</v>
      </c>
      <c r="BF21" s="14">
        <f t="shared" si="37"/>
        <v>2.7537549140858508</v>
      </c>
      <c r="BG21" s="22">
        <f t="shared" si="7"/>
        <v>17.96694474899018</v>
      </c>
      <c r="BH21" s="62">
        <f t="shared" si="8"/>
        <v>296.63361141565684</v>
      </c>
      <c r="BI21" s="62">
        <f ca="1">AVERAGE(OFFSET($BH$3,0,0,'Données projet'!$E$11+1,1))-AVERAGE(OFFSET($H$3,0,0,'Données projet'!$E$11+1,1))</f>
        <v>207.84100251878419</v>
      </c>
      <c r="BJ21" s="62">
        <f t="shared" si="38"/>
        <v>124.34917784241952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4.9800000000000013</v>
      </c>
      <c r="BY21" s="13">
        <f>IF('Données projet'!$A$114&gt;35,BY20+BX21-CG20,IF(A21&lt;'Données projet'!$A$114,$BV$205^A21,IF(A21='Données projet'!$A$114,'Données projet'!$B$114,BY20+BX21-CG20)))</f>
        <v>75.740000000000009</v>
      </c>
      <c r="BZ21" s="14">
        <f>BY21*VLOOKUP('Données projet'!$B$12,Paramètres!$A$1:$I$89,3,0)*VLOOKUP('Données projet'!$B$12,Paramètres!$A$1:$I$89,5,0)</f>
        <v>39.384800000000013</v>
      </c>
      <c r="CA21" s="14">
        <f t="shared" si="39"/>
        <v>11.835441280121824</v>
      </c>
      <c r="CB21" s="22">
        <f t="shared" si="10"/>
        <v>89.208586896212196</v>
      </c>
      <c r="CC21" s="62">
        <f t="shared" si="11"/>
        <v>367.87525356287887</v>
      </c>
      <c r="CD21" s="62">
        <f ca="1">AVERAGE(OFFSET($CC$3,0,0,'Données projet'!$E$12+1,1))-AVERAGE(OFFSET($H$3,0,0,'Données projet'!$E$12+1,1))</f>
        <v>211.05980622218578</v>
      </c>
      <c r="CE21" s="62">
        <f t="shared" si="40"/>
        <v>168.57746894604855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1.9558333333333331</v>
      </c>
      <c r="CT21" s="13">
        <f>IF('Données projet'!$A$140&gt;35,CT20+CS21-DB20,IF(A21&lt;'Données projet'!$A$140,$CQ$205^A21,IF(A21='Données projet'!$A$140,'Données projet'!$B$140,CT20+CS21-DB20)))</f>
        <v>30.98833333333334</v>
      </c>
      <c r="CU21" s="18">
        <f>CT21*VLOOKUP('Données projet'!$B$13,Paramètres!$A$1:$I$89,3,0)*VLOOKUP('Données projet'!$B$13,Paramètres!$A$1:$I$89,5,0)</f>
        <v>35.698560000000008</v>
      </c>
      <c r="CV21" s="14">
        <f t="shared" si="41"/>
        <v>10.851111388752232</v>
      </c>
      <c r="CW21" s="22">
        <f t="shared" si="13"/>
        <v>81.074011002076816</v>
      </c>
      <c r="CX21" s="62">
        <f t="shared" si="14"/>
        <v>359.7406776687435</v>
      </c>
      <c r="CY21" s="62">
        <f ca="1">AVERAGE(OFFSET($CX$3,0,0,'Données projet'!$E$13+1,1))-AVERAGE(OFFSET($H$3,0,0,'Données projet'!$E$13+1,1))</f>
        <v>191.79777926975839</v>
      </c>
      <c r="CZ21" s="62">
        <f t="shared" si="42"/>
        <v>156.66161375678712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1.8956</v>
      </c>
      <c r="DO21" s="13">
        <f>IF('Données projet'!$A$166&gt;35,DO20+DN21-DW20,IF(A21&lt;'Données projet'!$A$166,$DL$205^A21,IF(A21='Données projet'!$A$166,'Données projet'!$B$166,DO20+DN21-DW20)))</f>
        <v>16.087717455933547</v>
      </c>
      <c r="DP21" s="18">
        <f>DO21*VLOOKUP('Données projet'!$B$14,Paramètres!$A$1:$I$89,3,0)*VLOOKUP('Données projet'!$B$14,Paramètres!$A$1:$I$89,5,0)</f>
        <v>17.567787461879433</v>
      </c>
      <c r="DQ21" s="14">
        <f t="shared" si="43"/>
        <v>5.7994133868704916</v>
      </c>
      <c r="DR21" s="22">
        <f t="shared" si="16"/>
        <v>40.697874811572781</v>
      </c>
      <c r="DS21" s="62">
        <f t="shared" si="17"/>
        <v>319.36454147823946</v>
      </c>
      <c r="DT21" s="62">
        <f ca="1">AVERAGE(OFFSET($DS$3,0,0,'Données projet'!$E$14+1,1))-AVERAGE(OFFSET($H$3,0,0,'Données projet'!$E$14+1,1))</f>
        <v>541.0854688453461</v>
      </c>
      <c r="DU21" s="62">
        <f t="shared" si="44"/>
        <v>171.04847168584473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5</v>
      </c>
      <c r="EJ21" s="13">
        <f>IF('Données projet'!$A$192&gt;35,EJ20+EI21-ER20,IF(A21&lt;'Données projet'!$A$192,$EG$205^A21,IF(A21='Données projet'!$A$192,'Données projet'!$B$192,EJ20+EI21-ER20)))</f>
        <v>21.95526887254967</v>
      </c>
      <c r="EK21" s="18">
        <f>EJ21*VLOOKUP('Données projet'!$B$15,Paramètres!$A$1:$I$89,3,0)*VLOOKUP('Données projet'!$B$15,Paramètres!$A$1:$I$89,5,0)</f>
        <v>13.129250785784706</v>
      </c>
      <c r="EL21" s="14">
        <f t="shared" si="45"/>
        <v>4.4836208428289908</v>
      </c>
      <c r="EM21" s="22">
        <f t="shared" si="19"/>
        <v>30.675751419835521</v>
      </c>
      <c r="EN21" s="62">
        <f t="shared" si="20"/>
        <v>309.34241808650222</v>
      </c>
      <c r="EO21" s="62">
        <f ca="1">AVERAGE(OFFSET($EN$3,0,0,'Données projet'!$E$15+1,1))-AVERAGE(OFFSET($H$3,0,0,'Données projet'!$E$15+1,1))</f>
        <v>244.01698421598974</v>
      </c>
      <c r="EP21" s="62">
        <f t="shared" si="46"/>
        <v>156.96653202915024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0.9</v>
      </c>
      <c r="FE21" s="13">
        <f>IF('Données projet'!$A$218&gt;35,FE20+FD21-FM20,IF(A21&lt;'Données projet'!$A$218,$FB$205^A21,IF(A21='Données projet'!$A$218,'Données projet'!$B$218,FE20+FD21-FM20)))</f>
        <v>13.48171849440139</v>
      </c>
      <c r="FF21" s="18">
        <f>FE21*VLOOKUP('Données projet'!$B$16,Paramètres!$A$1:$I$89,3,0)*VLOOKUP('Données projet'!$B$16,Paramètres!$A$1:$I$89,5,0)</f>
        <v>11.777629276709055</v>
      </c>
      <c r="FG21" s="14">
        <f t="shared" si="47"/>
        <v>4.0732288167499631</v>
      </c>
      <c r="FH21" s="22">
        <f t="shared" si="22"/>
        <v>27.606911179441123</v>
      </c>
      <c r="FI21" s="62">
        <f t="shared" si="23"/>
        <v>306.2735778461078</v>
      </c>
      <c r="FJ21" s="62">
        <f ca="1">AVERAGE(OFFSET($FI$3,0,0,'Données projet'!$E$16+1,1))-AVERAGE(OFFSET($H$3,0,0,'Données projet'!$E$16+1,1))</f>
        <v>175.08726167127026</v>
      </c>
      <c r="FK21" s="62">
        <f t="shared" si="48"/>
        <v>196.05343924817117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6.6</v>
      </c>
      <c r="FZ21" s="13">
        <f>IF('Données projet'!$A$244&gt;35,FZ20+FY21-GH20,IF(A21&lt;'Données projet'!$A$244,$FW$205^A21,IF(A21='Données projet'!$A$244,'Données projet'!$B$244,FZ20+FY21-GH20)))</f>
        <v>40.800000000000004</v>
      </c>
      <c r="GA21" s="18">
        <f>FZ21*VLOOKUP('Données projet'!$B$17,Paramètres!$A$1:$I$89,3,0)*VLOOKUP('Données projet'!$B$17,Paramètres!$A$1:$I$89,5,0)</f>
        <v>26.732160000000004</v>
      </c>
      <c r="GB21" s="14">
        <f t="shared" si="49"/>
        <v>8.4038705306032053</v>
      </c>
      <c r="GC21" s="22">
        <f t="shared" si="25"/>
        <v>61.195253174133917</v>
      </c>
      <c r="GD21" s="62">
        <f t="shared" si="26"/>
        <v>339.86191984080062</v>
      </c>
      <c r="GE21" s="62">
        <f ca="1">AVERAGE(OFFSET($GD$3,0,0,'Données projet'!$E$17+1,1))-AVERAGE(OFFSET($H$3,0,0,'Données projet'!$E$17+1,1))</f>
        <v>142.93037460866543</v>
      </c>
      <c r="GF21" s="62">
        <f t="shared" si="50"/>
        <v>146.18554498808049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1.05</v>
      </c>
      <c r="GU21" s="13">
        <f>IF('Données projet'!$A$270&gt;35,GU20+GT21-HC20,IF(A21&lt;'Données projet'!$A$270,$GR$205^A21,IF(A21='Données projet'!$A$270,'Données projet'!$B$270,GU20+GT21-HC20)))</f>
        <v>15.48807222716875</v>
      </c>
      <c r="GV21" s="18">
        <f>GU21*VLOOKUP('Données projet'!$B$18,Paramètres!$A$1:$I$89,3,0)*VLOOKUP('Données projet'!$B$18,Paramètres!$A$1:$I$89,5,0)</f>
        <v>13.28876597091079</v>
      </c>
      <c r="GW21" s="14">
        <f t="shared" si="51"/>
        <v>4.5317203752006954</v>
      </c>
      <c r="GX21" s="22">
        <f t="shared" si="28"/>
        <v>31.037347052810841</v>
      </c>
      <c r="GY21" s="62">
        <f t="shared" si="29"/>
        <v>309.70401371947753</v>
      </c>
      <c r="GZ21" s="62">
        <f ca="1">AVERAGE(OFFSET($GY$3,0,0,'Données projet'!$E$18+1,1))-AVERAGE(OFFSET($H$3,0,0,'Données projet'!$E$18+1,1))</f>
        <v>188.08607733149256</v>
      </c>
      <c r="HA21" s="62">
        <f t="shared" si="52"/>
        <v>119.95698016603842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5.6810000000000018</v>
      </c>
      <c r="D22" s="12">
        <f t="shared" si="32"/>
        <v>2.1387587960693182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60.363050355622818</v>
      </c>
      <c r="H22" s="70">
        <f t="shared" si="1"/>
        <v>270.28607990315408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1.05</v>
      </c>
      <c r="N22" s="14">
        <f>IF('Données projet'!$A$36&gt;35,N21+M22-V21,IF(A22&lt;'Données projet'!$A$36,$K$205^A22,IF(A22='Données projet'!$A$36,'Données projet'!$B$36,N21+M22-V21)))</f>
        <v>18.034675399644545</v>
      </c>
      <c r="O22" s="14">
        <f>N22*VLOOKUP('Données projet'!$B$9,Paramètres!$A$1:$I$89,3,0)*VLOOKUP('Données projet'!$B$9,Paramètres!$A$1:$I$89,5,0)</f>
        <v>19.412524600177388</v>
      </c>
      <c r="P22" s="14">
        <f t="shared" si="33"/>
        <v>6.3343395073626514</v>
      </c>
      <c r="Q22" s="22">
        <f t="shared" si="2"/>
        <v>44.842454987298908</v>
      </c>
      <c r="R22" s="62">
        <f t="shared" si="0"/>
        <v>324.73134387618779</v>
      </c>
      <c r="S22" s="62">
        <f ca="1">AVERAGE(OFFSET($R$3,0,0,'Données projet'!$E$9+1,1))-AVERAGE(OFFSET($H$3,0,0,'Données projet'!$E$9+1,1))</f>
        <v>236.98575892380046</v>
      </c>
      <c r="T22" s="62">
        <f t="shared" si="34"/>
        <v>145.77678223659774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3.0276923076923068</v>
      </c>
      <c r="AI22" s="14">
        <f>IF('Données projet'!$A$62&gt;35,AI21+AH22-AQ21,IF(A22&lt;'Données projet'!$A$62,$AF$205^A22,IF(A22='Données projet'!$A$62,'Données projet'!$B$62,AI21+AH22-AQ21)))</f>
        <v>33.149230769230762</v>
      </c>
      <c r="AJ22" s="14">
        <f>AI22*VLOOKUP('Données projet'!$B$10,Paramètres!$A$1:$I$89,3,0)*VLOOKUP('Données projet'!$B$10,Paramètres!$A$1:$I$89,5,0)</f>
        <v>19.392299999999995</v>
      </c>
      <c r="AK22" s="14">
        <f t="shared" si="35"/>
        <v>6.3285079934981043</v>
      </c>
      <c r="AL22" s="22">
        <f t="shared" si="4"/>
        <v>44.79707392200919</v>
      </c>
      <c r="AM22" s="62">
        <f t="shared" si="5"/>
        <v>324.68596281089805</v>
      </c>
      <c r="AN22" s="62">
        <f ca="1">AVERAGE(OFFSET($AM$3,0,0,'Données projet'!$E$10+1,1))-AVERAGE(OFFSET($H$3,0,0,'Données projet'!$E$10+1,1))</f>
        <v>140.04898296125504</v>
      </c>
      <c r="AO22" s="62">
        <f t="shared" si="36"/>
        <v>129.5395511270716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3.4425641025641025</v>
      </c>
      <c r="BD22" s="13">
        <f>IF('Données projet'!$A$88&gt;35,BD21+BC22-BL21,IF(A22&lt;'Données projet'!$A$88,$BA$205^A22,IF(A22='Données projet'!$A$88,'Données projet'!$B$88,BD21+BC22-BL21)))</f>
        <v>18.859727670267663</v>
      </c>
      <c r="BE22" s="14">
        <f>BD22*VLOOKUP('Données projet'!$B$11,Paramètres!$A$1:$I$89,3,0)*VLOOKUP('Données projet'!$B$11,Paramètres!$A$1:$I$89,5,0)</f>
        <v>8.8263525496852662</v>
      </c>
      <c r="BF22" s="14">
        <f t="shared" si="37"/>
        <v>3.1567805742066648</v>
      </c>
      <c r="BG22" s="22">
        <f t="shared" si="7"/>
        <v>20.870623524111782</v>
      </c>
      <c r="BH22" s="62">
        <f t="shared" si="8"/>
        <v>300.75951241300066</v>
      </c>
      <c r="BI22" s="62">
        <f ca="1">AVERAGE(OFFSET($BH$3,0,0,'Données projet'!$E$11+1,1))-AVERAGE(OFFSET($H$3,0,0,'Données projet'!$E$11+1,1))</f>
        <v>207.84100251878419</v>
      </c>
      <c r="BJ22" s="62">
        <f t="shared" si="38"/>
        <v>124.34917784241952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4.9800000000000013</v>
      </c>
      <c r="BY22" s="13">
        <f>IF('Données projet'!$A$114&gt;35,BY21+BX22-CG21,IF(A22&lt;'Données projet'!$A$114,$BV$205^A22,IF(A22='Données projet'!$A$114,'Données projet'!$B$114,BY21+BX22-CG21)))</f>
        <v>80.720000000000013</v>
      </c>
      <c r="BZ22" s="14">
        <f>BY22*VLOOKUP('Données projet'!$B$12,Paramètres!$A$1:$I$89,3,0)*VLOOKUP('Données projet'!$B$12,Paramètres!$A$1:$I$89,5,0)</f>
        <v>41.97440000000001</v>
      </c>
      <c r="CA22" s="14">
        <f t="shared" si="39"/>
        <v>12.520485404816361</v>
      </c>
      <c r="CB22" s="22">
        <f t="shared" si="10"/>
        <v>94.911925413388516</v>
      </c>
      <c r="CC22" s="62">
        <f t="shared" si="11"/>
        <v>374.80081430227739</v>
      </c>
      <c r="CD22" s="62">
        <f ca="1">AVERAGE(OFFSET($CC$3,0,0,'Données projet'!$E$12+1,1))-AVERAGE(OFFSET($H$3,0,0,'Données projet'!$E$12+1,1))</f>
        <v>211.05980622218578</v>
      </c>
      <c r="CE22" s="62">
        <f t="shared" si="40"/>
        <v>168.57746894604855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1.9558333333333331</v>
      </c>
      <c r="CT22" s="13">
        <f>IF('Données projet'!$A$140&gt;35,CT21+CS22-DB21,IF(A22&lt;'Données projet'!$A$140,$CQ$205^A22,IF(A22='Données projet'!$A$140,'Données projet'!$B$140,CT21+CS22-DB21)))</f>
        <v>32.944166666666675</v>
      </c>
      <c r="CU22" s="18">
        <f>CT22*VLOOKUP('Données projet'!$B$13,Paramètres!$A$1:$I$89,3,0)*VLOOKUP('Données projet'!$B$13,Paramètres!$A$1:$I$89,5,0)</f>
        <v>37.95168000000001</v>
      </c>
      <c r="CV22" s="14">
        <f t="shared" si="41"/>
        <v>11.454089738390872</v>
      </c>
      <c r="CW22" s="22">
        <f t="shared" si="13"/>
        <v>86.048382294364117</v>
      </c>
      <c r="CX22" s="62">
        <f t="shared" si="14"/>
        <v>365.93727118325296</v>
      </c>
      <c r="CY22" s="62">
        <f ca="1">AVERAGE(OFFSET($CX$3,0,0,'Données projet'!$E$13+1,1))-AVERAGE(OFFSET($H$3,0,0,'Données projet'!$E$13+1,1))</f>
        <v>191.79777926975839</v>
      </c>
      <c r="CZ22" s="62">
        <f t="shared" si="42"/>
        <v>156.66161375678712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1.8956</v>
      </c>
      <c r="DO22" s="13">
        <f>IF('Données projet'!$A$166&gt;35,DO21+DN22-DW21,IF(A22&lt;'Données projet'!$A$166,$DL$205^A22,IF(A22='Données projet'!$A$166,'Données projet'!$B$166,DO21+DN22-DW21)))</f>
        <v>18.772490733004862</v>
      </c>
      <c r="DP22" s="18">
        <f>DO22*VLOOKUP('Données projet'!$B$14,Paramètres!$A$1:$I$89,3,0)*VLOOKUP('Données projet'!$B$14,Paramètres!$A$1:$I$89,5,0)</f>
        <v>20.499559880441307</v>
      </c>
      <c r="DQ22" s="14">
        <f t="shared" si="43"/>
        <v>6.6467529615747765</v>
      </c>
      <c r="DR22" s="22">
        <f t="shared" si="16"/>
        <v>47.27982819984468</v>
      </c>
      <c r="DS22" s="62">
        <f t="shared" si="17"/>
        <v>327.16871708873356</v>
      </c>
      <c r="DT22" s="62">
        <f ca="1">AVERAGE(OFFSET($DS$3,0,0,'Données projet'!$E$14+1,1))-AVERAGE(OFFSET($H$3,0,0,'Données projet'!$E$14+1,1))</f>
        <v>541.0854688453461</v>
      </c>
      <c r="DU22" s="62">
        <f t="shared" si="44"/>
        <v>171.04847168584473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5</v>
      </c>
      <c r="EJ22" s="13">
        <f>IF('Données projet'!$A$192&gt;35,EJ21+EI22-ER21,IF(A22&lt;'Données projet'!$A$192,$EG$205^A22,IF(A22='Données projet'!$A$192,'Données projet'!$B$192,EJ21+EI22-ER21)))</f>
        <v>26.065657904729665</v>
      </c>
      <c r="EK22" s="18">
        <f>EJ22*VLOOKUP('Données projet'!$B$15,Paramètres!$A$1:$I$89,3,0)*VLOOKUP('Données projet'!$B$15,Paramètres!$A$1:$I$89,5,0)</f>
        <v>15.587263427028342</v>
      </c>
      <c r="EL22" s="14">
        <f t="shared" si="45"/>
        <v>5.2177531209053063</v>
      </c>
      <c r="EM22" s="22">
        <f t="shared" si="19"/>
        <v>36.235403820984438</v>
      </c>
      <c r="EN22" s="62">
        <f t="shared" si="20"/>
        <v>316.12429270987332</v>
      </c>
      <c r="EO22" s="62">
        <f ca="1">AVERAGE(OFFSET($EN$3,0,0,'Données projet'!$E$15+1,1))-AVERAGE(OFFSET($H$3,0,0,'Données projet'!$E$15+1,1))</f>
        <v>244.01698421598974</v>
      </c>
      <c r="EP22" s="62">
        <f t="shared" si="46"/>
        <v>156.96653202915024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0.9</v>
      </c>
      <c r="FE22" s="13">
        <f>IF('Données projet'!$A$218&gt;35,FE21+FD22-FM21,IF(A22&lt;'Données projet'!$A$218,$FB$205^A22,IF(A22='Données projet'!$A$218,'Données projet'!$B$218,FE21+FD22-FM21)))</f>
        <v>15.577898860219406</v>
      </c>
      <c r="FF22" s="18">
        <f>FE22*VLOOKUP('Données projet'!$B$16,Paramètres!$A$1:$I$89,3,0)*VLOOKUP('Données projet'!$B$16,Paramètres!$A$1:$I$89,5,0)</f>
        <v>13.608852444287676</v>
      </c>
      <c r="FG22" s="14">
        <f t="shared" si="47"/>
        <v>4.6280361954652021</v>
      </c>
      <c r="FH22" s="22">
        <f t="shared" si="22"/>
        <v>31.762581047569586</v>
      </c>
      <c r="FI22" s="62">
        <f t="shared" si="23"/>
        <v>311.65146993645845</v>
      </c>
      <c r="FJ22" s="62">
        <f ca="1">AVERAGE(OFFSET($FI$3,0,0,'Données projet'!$E$16+1,1))-AVERAGE(OFFSET($H$3,0,0,'Données projet'!$E$16+1,1))</f>
        <v>175.08726167127026</v>
      </c>
      <c r="FK22" s="62">
        <f t="shared" si="48"/>
        <v>196.05343924817117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6.6</v>
      </c>
      <c r="FZ22" s="13">
        <f>IF('Données projet'!$A$244&gt;35,FZ21+FY22-GH21,IF(A22&lt;'Données projet'!$A$244,$FW$205^A22,IF(A22='Données projet'!$A$244,'Données projet'!$B$244,FZ21+FY22-GH21)))</f>
        <v>47.400000000000006</v>
      </c>
      <c r="GA22" s="18">
        <f>FZ22*VLOOKUP('Données projet'!$B$17,Paramètres!$A$1:$I$89,3,0)*VLOOKUP('Données projet'!$B$17,Paramètres!$A$1:$I$89,5,0)</f>
        <v>31.056480000000004</v>
      </c>
      <c r="GB22" s="14">
        <f t="shared" si="49"/>
        <v>9.5943990059010176</v>
      </c>
      <c r="GC22" s="22">
        <f t="shared" si="25"/>
        <v>70.800280935277613</v>
      </c>
      <c r="GD22" s="62">
        <f t="shared" si="26"/>
        <v>350.68916982416647</v>
      </c>
      <c r="GE22" s="62">
        <f ca="1">AVERAGE(OFFSET($GD$3,0,0,'Données projet'!$E$17+1,1))-AVERAGE(OFFSET($H$3,0,0,'Données projet'!$E$17+1,1))</f>
        <v>142.93037460866543</v>
      </c>
      <c r="GF22" s="62">
        <f t="shared" si="50"/>
        <v>146.18554498808049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1.05</v>
      </c>
      <c r="GU22" s="13">
        <f>IF('Données projet'!$A$270&gt;35,GU21+GT22-HC21,IF(A22&lt;'Données projet'!$A$270,$GR$205^A22,IF(A22='Données projet'!$A$270,'Données projet'!$B$270,GU21+GT22-HC21)))</f>
        <v>18.034675399644545</v>
      </c>
      <c r="GV22" s="18">
        <f>GU22*VLOOKUP('Données projet'!$B$18,Paramètres!$A$1:$I$89,3,0)*VLOOKUP('Données projet'!$B$18,Paramètres!$A$1:$I$89,5,0)</f>
        <v>15.473751492895021</v>
      </c>
      <c r="GW22" s="14">
        <f t="shared" si="51"/>
        <v>5.1841642494656224</v>
      </c>
      <c r="GX22" s="22">
        <f t="shared" si="28"/>
        <v>35.979203251278115</v>
      </c>
      <c r="GY22" s="62">
        <f t="shared" si="29"/>
        <v>315.86809214016699</v>
      </c>
      <c r="GZ22" s="62">
        <f ca="1">AVERAGE(OFFSET($GY$3,0,0,'Données projet'!$E$18+1,1))-AVERAGE(OFFSET($H$3,0,0,'Données projet'!$E$18+1,1))</f>
        <v>188.08607733149256</v>
      </c>
      <c r="HA22" s="62">
        <f t="shared" si="52"/>
        <v>119.95698016603842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5.9800000000000022</v>
      </c>
      <c r="D23" s="12">
        <f t="shared" si="32"/>
        <v>2.2379234705753923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63.43660222900305</v>
      </c>
      <c r="H23" s="70">
        <f t="shared" si="1"/>
        <v>270.97955004458549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21</v>
      </c>
      <c r="L23" s="13">
        <f>VLOOKUP(A23,'Données projet'!$A$35:$I$55,9,0)</f>
        <v>1.05</v>
      </c>
      <c r="M23" s="13">
        <f t="array" ref="M23">INDEX(L:L,MIN(IF(ISNUMBER(L23:L219),ROW(L23:L219),"")))</f>
        <v>1.05</v>
      </c>
      <c r="N23" s="14">
        <f>IF('Données projet'!$A$36&gt;35,N22+M23-V22,IF(A23&lt;'Données projet'!$A$36,$K$205^A23,IF(A23='Données projet'!$A$36,'Données projet'!$B$36,N22+M23-V22)))</f>
        <v>21</v>
      </c>
      <c r="O23" s="14">
        <f>N23*VLOOKUP('Données projet'!$B$9,Paramètres!$A$1:$I$89,3,0)*VLOOKUP('Données projet'!$B$9,Paramètres!$A$1:$I$89,5,0)</f>
        <v>22.604399999999998</v>
      </c>
      <c r="P23" s="14">
        <f t="shared" si="33"/>
        <v>7.2463112679569939</v>
      </c>
      <c r="Q23" s="22">
        <f t="shared" si="2"/>
        <v>51.989988791691758</v>
      </c>
      <c r="R23" s="62">
        <f t="shared" si="0"/>
        <v>333.1010999028029</v>
      </c>
      <c r="S23" s="62">
        <f ca="1">AVERAGE(OFFSET($R$3,0,0,'Données projet'!$E$9+1,1))-AVERAGE(OFFSET($H$3,0,0,'Données projet'!$E$9+1,1))</f>
        <v>236.98575892380046</v>
      </c>
      <c r="T23" s="62">
        <f t="shared" si="34"/>
        <v>145.77678223659774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36.176923076923075</v>
      </c>
      <c r="AG23" s="13">
        <f>VLOOKUP(A23,'Données projet'!$A$61:$I$81,9,0)</f>
        <v>3.0276923076923068</v>
      </c>
      <c r="AH23" s="13">
        <f t="array" ref="AH23">INDEX(AG:AG,MIN(IF(ISNUMBER(AG23:AG219),ROW(AG23:AG219),"")))</f>
        <v>3.0276923076923068</v>
      </c>
      <c r="AI23" s="14">
        <f>IF('Données projet'!$A$62&gt;35,AI22+AH23-AQ22,IF(A23&lt;'Données projet'!$A$62,$AF$205^A23,IF(A23='Données projet'!$A$62,'Données projet'!$B$62,AI22+AH23-AQ22)))</f>
        <v>36.176923076923067</v>
      </c>
      <c r="AJ23" s="14">
        <f>AI23*VLOOKUP('Données projet'!$B$10,Paramètres!$A$1:$I$89,3,0)*VLOOKUP('Données projet'!$B$10,Paramètres!$A$1:$I$89,5,0)</f>
        <v>21.163499999999996</v>
      </c>
      <c r="AK23" s="14">
        <f t="shared" si="35"/>
        <v>6.8366157825945306</v>
      </c>
      <c r="AL23" s="22">
        <f t="shared" si="4"/>
        <v>48.766868321352128</v>
      </c>
      <c r="AM23" s="62">
        <f t="shared" si="5"/>
        <v>329.87797943246329</v>
      </c>
      <c r="AN23" s="62">
        <f ca="1">AVERAGE(OFFSET($AM$3,0,0,'Données projet'!$E$10+1,1))-AVERAGE(OFFSET($H$3,0,0,'Données projet'!$E$10+1,1))</f>
        <v>140.04898296125504</v>
      </c>
      <c r="AO23" s="62">
        <f t="shared" si="36"/>
        <v>129.5395511270716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3.4425641025641025</v>
      </c>
      <c r="BD23" s="13">
        <f>IF('Données projet'!$A$88&gt;35,BD22+BC23-BL22,IF(A23&lt;'Données projet'!$A$88,$BA$205^A23,IF(A23='Données projet'!$A$88,'Données projet'!$B$88,BD22+BC23-BL22)))</f>
        <v>22.012474220583886</v>
      </c>
      <c r="BE23" s="14">
        <f>BD23*VLOOKUP('Données projet'!$B$11,Paramètres!$A$1:$I$89,3,0)*VLOOKUP('Données projet'!$B$11,Paramètres!$A$1:$I$89,5,0)</f>
        <v>10.301837935233259</v>
      </c>
      <c r="BF23" s="14">
        <f t="shared" si="37"/>
        <v>3.6187910342764393</v>
      </c>
      <c r="BG23" s="22">
        <f t="shared" si="7"/>
        <v>24.245095455229389</v>
      </c>
      <c r="BH23" s="62">
        <f t="shared" si="8"/>
        <v>305.35620656634052</v>
      </c>
      <c r="BI23" s="62">
        <f ca="1">AVERAGE(OFFSET($BH$3,0,0,'Données projet'!$E$11+1,1))-AVERAGE(OFFSET($H$3,0,0,'Données projet'!$E$11+1,1))</f>
        <v>207.84100251878419</v>
      </c>
      <c r="BJ23" s="62">
        <f t="shared" si="38"/>
        <v>124.34917784241952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85.7</v>
      </c>
      <c r="BW23" s="13">
        <f>VLOOKUP(A23,'Données projet'!$A$113:$I$133,9,0)</f>
        <v>4.9800000000000013</v>
      </c>
      <c r="BX23" s="13">
        <f t="array" ref="BX23">INDEX(BW:BW,MIN(IF(ISNUMBER(BW23:BW219),ROW(BW23:BW219),"")))</f>
        <v>4.9800000000000013</v>
      </c>
      <c r="BY23" s="13">
        <f>IF('Données projet'!$A$114&gt;35,BY22+BX23-CG22,IF(A23&lt;'Données projet'!$A$114,$BV$205^A23,IF(A23='Données projet'!$A$114,'Données projet'!$B$114,BY22+BX23-CG22)))</f>
        <v>85.700000000000017</v>
      </c>
      <c r="BZ23" s="14">
        <f>BY23*VLOOKUP('Données projet'!$B$12,Paramètres!$A$1:$I$89,3,0)*VLOOKUP('Données projet'!$B$12,Paramètres!$A$1:$I$89,5,0)</f>
        <v>44.564000000000014</v>
      </c>
      <c r="CA23" s="14">
        <f t="shared" si="39"/>
        <v>13.200624381506666</v>
      </c>
      <c r="CB23" s="22">
        <f t="shared" si="10"/>
        <v>100.60672079779079</v>
      </c>
      <c r="CC23" s="62">
        <f t="shared" si="11"/>
        <v>381.71783190890193</v>
      </c>
      <c r="CD23" s="62">
        <f ca="1">AVERAGE(OFFSET($CC$3,0,0,'Données projet'!$E$12+1,1))-AVERAGE(OFFSET($H$3,0,0,'Données projet'!$E$12+1,1))</f>
        <v>211.05980622218578</v>
      </c>
      <c r="CE23" s="62">
        <f t="shared" si="40"/>
        <v>168.57746894604855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34.9</v>
      </c>
      <c r="CR23" s="13">
        <f>VLOOKUP(A23,'Données projet'!$A$139:$I$159,9,0)</f>
        <v>1.9558333333333331</v>
      </c>
      <c r="CS23" s="13">
        <f t="array" ref="CS23">INDEX(CR:CR,MIN(IF(ISNUMBER(CR23:CR219),ROW(CR23:CR219),"")))</f>
        <v>1.9558333333333331</v>
      </c>
      <c r="CT23" s="13">
        <f>IF('Données projet'!$A$140&gt;35,CT22+CS23-DB22,IF(A23&lt;'Données projet'!$A$140,$CQ$205^A23,IF(A23='Données projet'!$A$140,'Données projet'!$B$140,CT22+CS23-DB22)))</f>
        <v>34.900000000000006</v>
      </c>
      <c r="CU23" s="18">
        <f>CT23*VLOOKUP('Données projet'!$B$13,Paramètres!$A$1:$I$89,3,0)*VLOOKUP('Données projet'!$B$13,Paramètres!$A$1:$I$89,5,0)</f>
        <v>40.204800000000006</v>
      </c>
      <c r="CV23" s="14">
        <f t="shared" si="41"/>
        <v>12.052913024749227</v>
      </c>
      <c r="CW23" s="22">
        <f t="shared" si="13"/>
        <v>91.01551685143825</v>
      </c>
      <c r="CX23" s="62">
        <f t="shared" si="14"/>
        <v>372.12662796254938</v>
      </c>
      <c r="CY23" s="62">
        <f ca="1">AVERAGE(OFFSET($CX$3,0,0,'Données projet'!$E$13+1,1))-AVERAGE(OFFSET($H$3,0,0,'Données projet'!$E$13+1,1))</f>
        <v>191.79777926975839</v>
      </c>
      <c r="CZ23" s="62">
        <f t="shared" si="42"/>
        <v>156.66161375678712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1.8956</v>
      </c>
      <c r="DO23" s="13">
        <f>IF('Données projet'!$A$166&gt;35,DO22+DN23-DW22,IF(A23&lt;'Données projet'!$A$166,$DL$205^A23,IF(A23='Données projet'!$A$166,'Données projet'!$B$166,DO22+DN23-DW22)))</f>
        <v>21.905308151143426</v>
      </c>
      <c r="DP23" s="18">
        <f>DO23*VLOOKUP('Données projet'!$B$14,Paramètres!$A$1:$I$89,3,0)*VLOOKUP('Données projet'!$B$14,Paramètres!$A$1:$I$89,5,0)</f>
        <v>23.920596501048621</v>
      </c>
      <c r="DQ23" s="14">
        <f t="shared" si="43"/>
        <v>7.6178954637416103</v>
      </c>
      <c r="DR23" s="22">
        <f t="shared" si="16"/>
        <v>54.929540172009659</v>
      </c>
      <c r="DS23" s="62">
        <f t="shared" si="17"/>
        <v>336.04065128312078</v>
      </c>
      <c r="DT23" s="62">
        <f ca="1">AVERAGE(OFFSET($DS$3,0,0,'Données projet'!$E$14+1,1))-AVERAGE(OFFSET($H$3,0,0,'Données projet'!$E$14+1,1))</f>
        <v>541.0854688453461</v>
      </c>
      <c r="DU23" s="62">
        <f t="shared" si="44"/>
        <v>171.04847168584473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5</v>
      </c>
      <c r="EJ23" s="13">
        <f>IF('Données projet'!$A$192&gt;35,EJ22+EI23-ER22,IF(A23&lt;'Données projet'!$A$192,$EG$205^A23,IF(A23='Données projet'!$A$192,'Données projet'!$B$192,EJ22+EI23-ER22)))</f>
        <v>30.945579667023001</v>
      </c>
      <c r="EK23" s="18">
        <f>EJ23*VLOOKUP('Données projet'!$B$15,Paramètres!$A$1:$I$89,3,0)*VLOOKUP('Données projet'!$B$15,Paramètres!$A$1:$I$89,5,0)</f>
        <v>18.505456640879753</v>
      </c>
      <c r="EL23" s="14">
        <f t="shared" si="45"/>
        <v>6.0720896313657011</v>
      </c>
      <c r="EM23" s="22">
        <f t="shared" si="19"/>
        <v>42.805893090827503</v>
      </c>
      <c r="EN23" s="62">
        <f t="shared" si="20"/>
        <v>323.91700420193865</v>
      </c>
      <c r="EO23" s="62">
        <f ca="1">AVERAGE(OFFSET($EN$3,0,0,'Données projet'!$E$15+1,1))-AVERAGE(OFFSET($H$3,0,0,'Données projet'!$E$15+1,1))</f>
        <v>244.01698421598974</v>
      </c>
      <c r="EP23" s="62">
        <f t="shared" si="46"/>
        <v>156.96653202915024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18</v>
      </c>
      <c r="FC23" s="13">
        <f>VLOOKUP(A23,'Données projet'!$A$217:$I$237,9,0)</f>
        <v>0.9</v>
      </c>
      <c r="FD23" s="13">
        <f t="array" ref="FD23">INDEX(FC:FC,MIN(IF(ISNUMBER(FC23:FC219),ROW(FC23:FC219),"")))</f>
        <v>0.9</v>
      </c>
      <c r="FE23" s="13">
        <f>IF('Données projet'!$A$218&gt;35,FE22+FD23-FM22,IF(A23&lt;'Données projet'!$A$218,$FB$205^A23,IF(A23='Données projet'!$A$218,'Données projet'!$B$218,FE22+FD23-FM22)))</f>
        <v>18</v>
      </c>
      <c r="FF23" s="18">
        <f>FE23*VLOOKUP('Données projet'!$B$16,Paramètres!$A$1:$I$89,3,0)*VLOOKUP('Données projet'!$B$16,Paramètres!$A$1:$I$89,5,0)</f>
        <v>15.724800000000004</v>
      </c>
      <c r="FG23" s="14">
        <f t="shared" si="47"/>
        <v>5.2584129176484753</v>
      </c>
      <c r="FH23" s="22">
        <f t="shared" si="22"/>
        <v>36.545762498237771</v>
      </c>
      <c r="FI23" s="62">
        <f t="shared" si="23"/>
        <v>317.65687360934891</v>
      </c>
      <c r="FJ23" s="62">
        <f ca="1">AVERAGE(OFFSET($FI$3,0,0,'Données projet'!$E$16+1,1))-AVERAGE(OFFSET($H$3,0,0,'Données projet'!$E$16+1,1))</f>
        <v>175.08726167127026</v>
      </c>
      <c r="FK23" s="62">
        <f t="shared" si="48"/>
        <v>196.05343924817117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54</v>
      </c>
      <c r="FX23" s="13">
        <f>VLOOKUP(A23,'Données projet'!$A$243:$I$263,9,0)</f>
        <v>6.6</v>
      </c>
      <c r="FY23" s="13">
        <f t="array" ref="FY23">INDEX(FX:FX,MIN(IF(ISNUMBER(FX23:FX219),ROW(FX23:FX219),"")))</f>
        <v>6.6</v>
      </c>
      <c r="FZ23" s="13">
        <f>IF('Données projet'!$A$244&gt;35,FZ22+FY23-GH22,IF(A23&lt;'Données projet'!$A$244,$FW$205^A23,IF(A23='Données projet'!$A$244,'Données projet'!$B$244,FZ22+FY23-GH22)))</f>
        <v>54.000000000000007</v>
      </c>
      <c r="GA23" s="18">
        <f>FZ23*VLOOKUP('Données projet'!$B$17,Paramètres!$A$1:$I$89,3,0)*VLOOKUP('Données projet'!$B$17,Paramètres!$A$1:$I$89,5,0)</f>
        <v>35.380800000000008</v>
      </c>
      <c r="GB23" s="14">
        <f t="shared" si="49"/>
        <v>10.765721954933246</v>
      </c>
      <c r="GC23" s="22">
        <f t="shared" si="25"/>
        <v>80.371859071508752</v>
      </c>
      <c r="GD23" s="62">
        <f t="shared" si="26"/>
        <v>361.48297018261991</v>
      </c>
      <c r="GE23" s="62">
        <f ca="1">AVERAGE(OFFSET($GD$3,0,0,'Données projet'!$E$17+1,1))-AVERAGE(OFFSET($H$3,0,0,'Données projet'!$E$17+1,1))</f>
        <v>142.93037460866543</v>
      </c>
      <c r="GF23" s="62">
        <f t="shared" si="50"/>
        <v>146.18554498808049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21</v>
      </c>
      <c r="GS23" s="13">
        <f>VLOOKUP(A23,'Données projet'!$A$269:$I$289,9,0)</f>
        <v>1.05</v>
      </c>
      <c r="GT23" s="13">
        <f t="array" ref="GT23">INDEX(GS:GS,MIN(IF(ISNUMBER(GS23:GS219),ROW(GS23:GS219),"")))</f>
        <v>1.05</v>
      </c>
      <c r="GU23" s="13">
        <f>IF('Données projet'!$A$270&gt;35,GU22+GT23-HC22,IF(A23&lt;'Données projet'!$A$270,$GR$205^A23,IF(A23='Données projet'!$A$270,'Données projet'!$B$270,GU22+GT23-HC22)))</f>
        <v>21</v>
      </c>
      <c r="GV23" s="18">
        <f>GU23*VLOOKUP('Données projet'!$B$18,Paramètres!$A$1:$I$89,3,0)*VLOOKUP('Données projet'!$B$18,Paramètres!$A$1:$I$89,5,0)</f>
        <v>18.018000000000001</v>
      </c>
      <c r="GW23" s="14">
        <f t="shared" si="51"/>
        <v>5.9305422092039803</v>
      </c>
      <c r="GX23" s="22">
        <f t="shared" si="28"/>
        <v>41.710377681030266</v>
      </c>
      <c r="GY23" s="62">
        <f t="shared" si="29"/>
        <v>322.82148879214139</v>
      </c>
      <c r="GZ23" s="62">
        <f ca="1">AVERAGE(OFFSET($GY$3,0,0,'Données projet'!$E$18+1,1))-AVERAGE(OFFSET($H$3,0,0,'Données projet'!$E$18+1,1))</f>
        <v>188.08607733149256</v>
      </c>
      <c r="HA23" s="62">
        <f t="shared" si="52"/>
        <v>119.95698016603842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6.2790000000000026</v>
      </c>
      <c r="D24" s="12">
        <f t="shared" si="32"/>
        <v>2.3365124296370379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66.505709983163129</v>
      </c>
      <c r="H24" s="70">
        <f t="shared" si="1"/>
        <v>271.67201748161784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</v>
      </c>
      <c r="N24" s="14">
        <f>IF('Données projet'!$A$36&gt;35,N23+M24-V23,IF(A24&lt;'Données projet'!$A$36,$K$205^A24,IF(A24='Données projet'!$A$36,'Données projet'!$B$36,N23+M24-V23)))</f>
        <v>24</v>
      </c>
      <c r="O24" s="14">
        <f>N24*VLOOKUP('Données projet'!$B$9,Paramètres!$A$1:$I$89,3,0)*VLOOKUP('Données projet'!$B$9,Paramètres!$A$1:$I$89,5,0)</f>
        <v>25.833600000000001</v>
      </c>
      <c r="P24" s="14">
        <f t="shared" si="33"/>
        <v>8.1537739978012986</v>
      </c>
      <c r="Q24" s="22">
        <f t="shared" si="2"/>
        <v>59.194676379503932</v>
      </c>
      <c r="R24" s="62">
        <f t="shared" si="0"/>
        <v>341.52800971283727</v>
      </c>
      <c r="S24" s="62">
        <f ca="1">AVERAGE(OFFSET($R$3,0,0,'Données projet'!$E$9+1,1))-AVERAGE(OFFSET($H$3,0,0,'Données projet'!$E$9+1,1))</f>
        <v>236.98575892380046</v>
      </c>
      <c r="T24" s="62">
        <f t="shared" si="34"/>
        <v>145.77678223659774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4.4723076923076919</v>
      </c>
      <c r="AI24" s="14">
        <f>IF('Données projet'!$A$62&gt;35,AI23+AH24-AQ23,IF(A24&lt;'Données projet'!$A$62,$AF$205^A24,IF(A24='Données projet'!$A$62,'Données projet'!$B$62,AI23+AH24-AQ23)))</f>
        <v>40.649230769230762</v>
      </c>
      <c r="AJ24" s="14">
        <f>AI24*VLOOKUP('Données projet'!$B$10,Paramètres!$A$1:$I$89,3,0)*VLOOKUP('Données projet'!$B$10,Paramètres!$A$1:$I$89,5,0)</f>
        <v>23.779799999999998</v>
      </c>
      <c r="AK24" s="14">
        <f t="shared" si="35"/>
        <v>7.5782622172573655</v>
      </c>
      <c r="AL24" s="22">
        <f t="shared" si="4"/>
        <v>54.615291695056577</v>
      </c>
      <c r="AM24" s="62">
        <f t="shared" si="5"/>
        <v>336.94862502838987</v>
      </c>
      <c r="AN24" s="62">
        <f ca="1">AVERAGE(OFFSET($AM$3,0,0,'Données projet'!$E$10+1,1))-AVERAGE(OFFSET($H$3,0,0,'Données projet'!$E$10+1,1))</f>
        <v>140.04898296125504</v>
      </c>
      <c r="AO24" s="62">
        <f t="shared" si="36"/>
        <v>129.5395511270716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3.4425641025641025</v>
      </c>
      <c r="BD24" s="13">
        <f>IF('Données projet'!$A$88&gt;35,BD23+BC24-BL23,IF(A24&lt;'Données projet'!$A$88,$BA$205^A24,IF(A24='Données projet'!$A$88,'Données projet'!$B$88,BD23+BC24-BL23)))</f>
        <v>25.692259707215236</v>
      </c>
      <c r="BE24" s="14">
        <f>BD24*VLOOKUP('Données projet'!$B$11,Paramètres!$A$1:$I$89,3,0)*VLOOKUP('Données projet'!$B$11,Paramètres!$A$1:$I$89,5,0)</f>
        <v>12.023977542976729</v>
      </c>
      <c r="BF24" s="14">
        <f t="shared" si="37"/>
        <v>4.1484190116858626</v>
      </c>
      <c r="BG24" s="22">
        <f t="shared" si="7"/>
        <v>28.166923999370677</v>
      </c>
      <c r="BH24" s="62">
        <f t="shared" si="8"/>
        <v>310.500257332704</v>
      </c>
      <c r="BI24" s="62">
        <f ca="1">AVERAGE(OFFSET($BH$3,0,0,'Données projet'!$E$11+1,1))-AVERAGE(OFFSET($H$3,0,0,'Données projet'!$E$11+1,1))</f>
        <v>207.84100251878419</v>
      </c>
      <c r="BJ24" s="62">
        <f t="shared" si="38"/>
        <v>124.34917784241952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4.74</v>
      </c>
      <c r="BY24" s="13">
        <f>IF('Données projet'!$A$114&gt;35,BY23+BX24-CG23,IF(A24&lt;'Données projet'!$A$114,$BV$205^A24,IF(A24='Données projet'!$A$114,'Données projet'!$B$114,BY23+BX24-CG23)))</f>
        <v>90.440000000000012</v>
      </c>
      <c r="BZ24" s="14">
        <f>BY24*VLOOKUP('Données projet'!$B$12,Paramètres!$A$1:$I$89,3,0)*VLOOKUP('Données projet'!$B$12,Paramètres!$A$1:$I$89,5,0)</f>
        <v>47.028800000000011</v>
      </c>
      <c r="CA24" s="14">
        <f t="shared" si="39"/>
        <v>13.843719928712767</v>
      </c>
      <c r="CB24" s="22">
        <f t="shared" si="10"/>
        <v>106.01963887584141</v>
      </c>
      <c r="CC24" s="62">
        <f t="shared" si="11"/>
        <v>388.35297220917471</v>
      </c>
      <c r="CD24" s="62">
        <f ca="1">AVERAGE(OFFSET($CC$3,0,0,'Données projet'!$E$12+1,1))-AVERAGE(OFFSET($H$3,0,0,'Données projet'!$E$12+1,1))</f>
        <v>211.05980622218578</v>
      </c>
      <c r="CE24" s="62">
        <f t="shared" si="40"/>
        <v>168.57746894604855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1.9887500000000009</v>
      </c>
      <c r="CT24" s="13">
        <f>IF('Données projet'!$A$140&gt;35,CT23+CS24-DB23,IF(A24&lt;'Données projet'!$A$140,$CQ$205^A24,IF(A24='Données projet'!$A$140,'Données projet'!$B$140,CT23+CS24-DB23)))</f>
        <v>36.888750000000009</v>
      </c>
      <c r="CU24" s="18">
        <f>CT24*VLOOKUP('Données projet'!$B$13,Paramètres!$A$1:$I$89,3,0)*VLOOKUP('Données projet'!$B$13,Paramètres!$A$1:$I$89,5,0)</f>
        <v>42.495840000000008</v>
      </c>
      <c r="CV24" s="14">
        <f t="shared" si="41"/>
        <v>12.657821296361272</v>
      </c>
      <c r="CW24" s="22">
        <f t="shared" si="13"/>
        <v>96.059293424495877</v>
      </c>
      <c r="CX24" s="62">
        <f t="shared" si="14"/>
        <v>378.39262675782919</v>
      </c>
      <c r="CY24" s="62">
        <f ca="1">AVERAGE(OFFSET($CX$3,0,0,'Données projet'!$E$13+1,1))-AVERAGE(OFFSET($H$3,0,0,'Données projet'!$E$13+1,1))</f>
        <v>191.79777926975839</v>
      </c>
      <c r="CZ24" s="62">
        <f t="shared" si="42"/>
        <v>156.66161375678712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1.8956</v>
      </c>
      <c r="DO24" s="13">
        <f>IF('Données projet'!$A$166&gt;35,DO23+DN24-DW23,IF(A24&lt;'Données projet'!$A$166,$DL$205^A24,IF(A24='Données projet'!$A$166,'Données projet'!$B$166,DO23+DN24-DW23)))</f>
        <v>25.560940848031173</v>
      </c>
      <c r="DP24" s="18">
        <f>DO24*VLOOKUP('Données projet'!$B$14,Paramètres!$A$1:$I$89,3,0)*VLOOKUP('Données projet'!$B$14,Paramètres!$A$1:$I$89,5,0)</f>
        <v>27.912547406050042</v>
      </c>
      <c r="DQ24" s="14">
        <f t="shared" si="43"/>
        <v>8.7309294676638185</v>
      </c>
      <c r="DR24" s="22">
        <f t="shared" si="16"/>
        <v>63.820722221718306</v>
      </c>
      <c r="DS24" s="62">
        <f t="shared" si="17"/>
        <v>346.15405555505163</v>
      </c>
      <c r="DT24" s="62">
        <f ca="1">AVERAGE(OFFSET($DS$3,0,0,'Données projet'!$E$14+1,1))-AVERAGE(OFFSET($H$3,0,0,'Données projet'!$E$14+1,1))</f>
        <v>541.0854688453461</v>
      </c>
      <c r="DU24" s="62">
        <f t="shared" si="44"/>
        <v>171.04847168584473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</v>
      </c>
      <c r="EJ24" s="13">
        <f>IF('Données projet'!$A$192&gt;35,EJ23+EI24-ER23,IF(A24&lt;'Données projet'!$A$192,$EG$205^A24,IF(A24='Données projet'!$A$192,'Données projet'!$B$192,EJ23+EI24-ER23)))</f>
        <v>36.739103399124403</v>
      </c>
      <c r="EK24" s="18">
        <f>EJ24*VLOOKUP('Données projet'!$B$15,Paramètres!$A$1:$I$89,3,0)*VLOOKUP('Données projet'!$B$15,Paramètres!$A$1:$I$89,5,0)</f>
        <v>21.969983832676395</v>
      </c>
      <c r="EL24" s="14">
        <f t="shared" si="45"/>
        <v>7.0663121916626217</v>
      </c>
      <c r="EM24" s="22">
        <f t="shared" si="19"/>
        <v>50.571548909057121</v>
      </c>
      <c r="EN24" s="62">
        <f t="shared" si="20"/>
        <v>332.90488224239044</v>
      </c>
      <c r="EO24" s="62">
        <f ca="1">AVERAGE(OFFSET($EN$3,0,0,'Données projet'!$E$15+1,1))-AVERAGE(OFFSET($H$3,0,0,'Données projet'!$E$15+1,1))</f>
        <v>244.01698421598974</v>
      </c>
      <c r="EP24" s="62">
        <f t="shared" si="46"/>
        <v>156.96653202915024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7.6</v>
      </c>
      <c r="FE24" s="13">
        <f>IF('Données projet'!$A$218&gt;35,FE23+FD24-FM23,IF(A24&lt;'Données projet'!$A$218,$FB$205^A24,IF(A24='Données projet'!$A$218,'Données projet'!$B$218,FE23+FD24-FM23)))</f>
        <v>25.6</v>
      </c>
      <c r="FF24" s="18">
        <f>FE24*VLOOKUP('Données projet'!$B$16,Paramètres!$A$1:$I$89,3,0)*VLOOKUP('Données projet'!$B$16,Paramètres!$A$1:$I$89,5,0)</f>
        <v>22.364160000000005</v>
      </c>
      <c r="FG24" s="14">
        <f t="shared" si="47"/>
        <v>7.1782194944528523</v>
      </c>
      <c r="FH24" s="22">
        <f t="shared" si="22"/>
        <v>51.452977619505397</v>
      </c>
      <c r="FI24" s="62">
        <f t="shared" si="23"/>
        <v>333.78631095283873</v>
      </c>
      <c r="FJ24" s="62">
        <f ca="1">AVERAGE(OFFSET($FI$3,0,0,'Données projet'!$E$16+1,1))-AVERAGE(OFFSET($H$3,0,0,'Données projet'!$E$16+1,1))</f>
        <v>175.08726167127026</v>
      </c>
      <c r="FK24" s="62">
        <f t="shared" si="48"/>
        <v>196.05343924817117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5.4</v>
      </c>
      <c r="FZ24" s="13">
        <f>IF('Données projet'!$A$244&gt;35,FZ23+FY24-GH23,IF(A24&lt;'Données projet'!$A$244,$FW$205^A24,IF(A24='Données projet'!$A$244,'Données projet'!$B$244,FZ23+FY24-GH23)))</f>
        <v>59.400000000000006</v>
      </c>
      <c r="GA24" s="18">
        <f>FZ24*VLOOKUP('Données projet'!$B$17,Paramètres!$A$1:$I$89,3,0)*VLOOKUP('Données projet'!$B$17,Paramètres!$A$1:$I$89,5,0)</f>
        <v>38.918880000000001</v>
      </c>
      <c r="GB24" s="14">
        <f t="shared" si="49"/>
        <v>11.711640578793828</v>
      </c>
      <c r="GC24" s="22">
        <f t="shared" si="25"/>
        <v>88.181490008065907</v>
      </c>
      <c r="GD24" s="62">
        <f t="shared" si="26"/>
        <v>370.51482334139922</v>
      </c>
      <c r="GE24" s="62">
        <f ca="1">AVERAGE(OFFSET($GD$3,0,0,'Données projet'!$E$17+1,1))-AVERAGE(OFFSET($H$3,0,0,'Données projet'!$E$17+1,1))</f>
        <v>142.93037460866543</v>
      </c>
      <c r="GF24" s="62">
        <f t="shared" si="50"/>
        <v>146.18554498808049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3</v>
      </c>
      <c r="GU24" s="13">
        <f>IF('Données projet'!$A$270&gt;35,GU23+GT24-HC23,IF(A24&lt;'Données projet'!$A$270,$GR$205^A24,IF(A24='Données projet'!$A$270,'Données projet'!$B$270,GU23+GT24-HC23)))</f>
        <v>24</v>
      </c>
      <c r="GV24" s="18">
        <f>GU24*VLOOKUP('Données projet'!$B$18,Paramètres!$A$1:$I$89,3,0)*VLOOKUP('Données projet'!$B$18,Paramètres!$A$1:$I$89,5,0)</f>
        <v>20.592000000000002</v>
      </c>
      <c r="GW24" s="14">
        <f t="shared" si="51"/>
        <v>6.6732298779519512</v>
      </c>
      <c r="GX24" s="22">
        <f t="shared" si="28"/>
        <v>47.486942037432982</v>
      </c>
      <c r="GY24" s="62">
        <f t="shared" si="29"/>
        <v>329.8202753707663</v>
      </c>
      <c r="GZ24" s="62">
        <f ca="1">AVERAGE(OFFSET($GY$3,0,0,'Données projet'!$E$18+1,1))-AVERAGE(OFFSET($H$3,0,0,'Données projet'!$E$18+1,1))</f>
        <v>188.08607733149256</v>
      </c>
      <c r="HA24" s="62">
        <f t="shared" si="52"/>
        <v>119.95698016603842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6.578000000000003</v>
      </c>
      <c r="D25" s="12">
        <f t="shared" si="32"/>
        <v>2.4345562183329119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69.570609404675125</v>
      </c>
      <c r="H25" s="70">
        <f t="shared" si="1"/>
        <v>272.36353541359654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</v>
      </c>
      <c r="N25" s="14">
        <f>IF('Données projet'!$A$36&gt;35,N24+M25-V24,IF(A25&lt;'Données projet'!$A$36,$K$205^A25,IF(A25='Données projet'!$A$36,'Données projet'!$B$36,N24+M25-V24)))</f>
        <v>27</v>
      </c>
      <c r="O25" s="14">
        <f>N25*VLOOKUP('Données projet'!$B$9,Paramètres!$A$1:$I$89,3,0)*VLOOKUP('Données projet'!$B$9,Paramètres!$A$1:$I$89,5,0)</f>
        <v>29.062799999999999</v>
      </c>
      <c r="P25" s="14">
        <f t="shared" si="33"/>
        <v>9.0480926409310953</v>
      </c>
      <c r="Q25" s="22">
        <f t="shared" si="2"/>
        <v>66.376471349621667</v>
      </c>
      <c r="R25" s="62">
        <f t="shared" si="0"/>
        <v>349.93202690517722</v>
      </c>
      <c r="S25" s="62">
        <f ca="1">AVERAGE(OFFSET($R$3,0,0,'Données projet'!$E$9+1,1))-AVERAGE(OFFSET($H$3,0,0,'Données projet'!$E$9+1,1))</f>
        <v>236.98575892380046</v>
      </c>
      <c r="T25" s="62">
        <f t="shared" si="34"/>
        <v>145.77678223659774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4.4723076923076919</v>
      </c>
      <c r="AI25" s="14">
        <f>IF('Données projet'!$A$62&gt;35,AI24+AH25-AQ24,IF(A25&lt;'Données projet'!$A$62,$AF$205^A25,IF(A25='Données projet'!$A$62,'Données projet'!$B$62,AI24+AH25-AQ24)))</f>
        <v>45.121538461538456</v>
      </c>
      <c r="AJ25" s="14">
        <f>AI25*VLOOKUP('Données projet'!$B$10,Paramètres!$A$1:$I$89,3,0)*VLOOKUP('Données projet'!$B$10,Paramètres!$A$1:$I$89,5,0)</f>
        <v>26.396100000000001</v>
      </c>
      <c r="AK25" s="14">
        <f t="shared" si="35"/>
        <v>8.3104511541894546</v>
      </c>
      <c r="AL25" s="22">
        <f t="shared" si="4"/>
        <v>60.447243260213298</v>
      </c>
      <c r="AM25" s="62">
        <f t="shared" si="5"/>
        <v>344.00279881576887</v>
      </c>
      <c r="AN25" s="62">
        <f ca="1">AVERAGE(OFFSET($AM$3,0,0,'Données projet'!$E$10+1,1))-AVERAGE(OFFSET($H$3,0,0,'Données projet'!$E$10+1,1))</f>
        <v>140.04898296125504</v>
      </c>
      <c r="AO25" s="62">
        <f t="shared" si="36"/>
        <v>129.5395511270716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3.4425641025641025</v>
      </c>
      <c r="BD25" s="13">
        <f>IF('Données projet'!$A$88&gt;35,BD24+BC25-BL24,IF(A25&lt;'Données projet'!$A$88,$BA$205^A25,IF(A25='Données projet'!$A$88,'Données projet'!$B$88,BD24+BC25-BL24)))</f>
        <v>29.987188275534368</v>
      </c>
      <c r="BE25" s="14">
        <f>BD25*VLOOKUP('Données projet'!$B$11,Paramètres!$A$1:$I$89,3,0)*VLOOKUP('Données projet'!$B$11,Paramètres!$A$1:$I$89,5,0)</f>
        <v>14.034004112950084</v>
      </c>
      <c r="BF25" s="14">
        <f t="shared" si="37"/>
        <v>4.7555606647394173</v>
      </c>
      <c r="BG25" s="22">
        <f t="shared" si="7"/>
        <v>32.725158654475884</v>
      </c>
      <c r="BH25" s="62">
        <f t="shared" si="8"/>
        <v>316.28071421003142</v>
      </c>
      <c r="BI25" s="62">
        <f ca="1">AVERAGE(OFFSET($BH$3,0,0,'Données projet'!$E$11+1,1))-AVERAGE(OFFSET($H$3,0,0,'Données projet'!$E$11+1,1))</f>
        <v>207.84100251878419</v>
      </c>
      <c r="BJ25" s="62">
        <f t="shared" si="38"/>
        <v>124.34917784241952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4.74</v>
      </c>
      <c r="BY25" s="13">
        <f>IF('Données projet'!$A$114&gt;35,BY24+BX25-CG24,IF(A25&lt;'Données projet'!$A$114,$BV$205^A25,IF(A25='Données projet'!$A$114,'Données projet'!$B$114,BY24+BX25-CG24)))</f>
        <v>95.18</v>
      </c>
      <c r="BZ25" s="14">
        <f>BY25*VLOOKUP('Données projet'!$B$12,Paramètres!$A$1:$I$89,3,0)*VLOOKUP('Données projet'!$B$12,Paramètres!$A$1:$I$89,5,0)</f>
        <v>49.493600000000008</v>
      </c>
      <c r="CA25" s="14">
        <f t="shared" si="39"/>
        <v>14.482902274825232</v>
      </c>
      <c r="CB25" s="22">
        <f t="shared" si="10"/>
        <v>111.42574146198729</v>
      </c>
      <c r="CC25" s="62">
        <f t="shared" si="11"/>
        <v>394.98129701754283</v>
      </c>
      <c r="CD25" s="62">
        <f ca="1">AVERAGE(OFFSET($CC$3,0,0,'Données projet'!$E$12+1,1))-AVERAGE(OFFSET($H$3,0,0,'Données projet'!$E$12+1,1))</f>
        <v>211.05980622218578</v>
      </c>
      <c r="CE25" s="62">
        <f t="shared" si="40"/>
        <v>168.57746894604855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1.9887500000000009</v>
      </c>
      <c r="CT25" s="13">
        <f>IF('Données projet'!$A$140&gt;35,CT24+CS25-DB24,IF(A25&lt;'Données projet'!$A$140,$CQ$205^A25,IF(A25='Données projet'!$A$140,'Données projet'!$B$140,CT24+CS25-DB24)))</f>
        <v>38.877500000000012</v>
      </c>
      <c r="CU25" s="18">
        <f>CT25*VLOOKUP('Données projet'!$B$13,Paramètres!$A$1:$I$89,3,0)*VLOOKUP('Données projet'!$B$13,Paramètres!$A$1:$I$89,5,0)</f>
        <v>44.786880000000011</v>
      </c>
      <c r="CV25" s="14">
        <f t="shared" si="41"/>
        <v>13.258943495431026</v>
      </c>
      <c r="CW25" s="22">
        <f t="shared" si="13"/>
        <v>101.09647592120905</v>
      </c>
      <c r="CX25" s="62">
        <f t="shared" si="14"/>
        <v>384.65203147676459</v>
      </c>
      <c r="CY25" s="62">
        <f ca="1">AVERAGE(OFFSET($CX$3,0,0,'Données projet'!$E$13+1,1))-AVERAGE(OFFSET($H$3,0,0,'Données projet'!$E$13+1,1))</f>
        <v>191.79777926975839</v>
      </c>
      <c r="CZ25" s="62">
        <f t="shared" si="42"/>
        <v>156.66161375678712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1.8956</v>
      </c>
      <c r="DO25" s="13">
        <f>IF('Données projet'!$A$166&gt;35,DO24+DN25-DW24,IF(A25&lt;'Données projet'!$A$166,$DL$205^A25,IF(A25='Données projet'!$A$166,'Données projet'!$B$166,DO24+DN25-DW24)))</f>
        <v>29.826638024375104</v>
      </c>
      <c r="DP25" s="18">
        <f>DO25*VLOOKUP('Données projet'!$B$14,Paramètres!$A$1:$I$89,3,0)*VLOOKUP('Données projet'!$B$14,Paramètres!$A$1:$I$89,5,0)</f>
        <v>32.570688722617611</v>
      </c>
      <c r="DQ25" s="14">
        <f t="shared" si="43"/>
        <v>10.006586429564848</v>
      </c>
      <c r="DR25" s="22">
        <f t="shared" si="16"/>
        <v>74.155420890051104</v>
      </c>
      <c r="DS25" s="62">
        <f t="shared" si="17"/>
        <v>357.71097644560666</v>
      </c>
      <c r="DT25" s="62">
        <f ca="1">AVERAGE(OFFSET($DS$3,0,0,'Données projet'!$E$14+1,1))-AVERAGE(OFFSET($H$3,0,0,'Données projet'!$E$14+1,1))</f>
        <v>541.0854688453461</v>
      </c>
      <c r="DU25" s="62">
        <f t="shared" si="44"/>
        <v>171.04847168584473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5</v>
      </c>
      <c r="EJ25" s="13">
        <f>IF('Données projet'!$A$192&gt;35,EJ24+EI25-ER24,IF(A25&lt;'Données projet'!$A$192,$EG$205^A25,IF(A25='Données projet'!$A$192,'Données projet'!$B$192,EJ24+EI25-ER24)))</f>
        <v>43.617270482411442</v>
      </c>
      <c r="EK25" s="18">
        <f>EJ25*VLOOKUP('Données projet'!$B$15,Paramètres!$A$1:$I$89,3,0)*VLOOKUP('Données projet'!$B$15,Paramètres!$A$1:$I$89,5,0)</f>
        <v>26.083127748482042</v>
      </c>
      <c r="EL25" s="14">
        <f t="shared" si="45"/>
        <v>8.2233252506862602</v>
      </c>
      <c r="EM25" s="22">
        <f t="shared" si="19"/>
        <v>59.750405640218126</v>
      </c>
      <c r="EN25" s="62">
        <f t="shared" si="20"/>
        <v>343.30596119577365</v>
      </c>
      <c r="EO25" s="62">
        <f ca="1">AVERAGE(OFFSET($EN$3,0,0,'Données projet'!$E$15+1,1))-AVERAGE(OFFSET($H$3,0,0,'Données projet'!$E$15+1,1))</f>
        <v>244.01698421598974</v>
      </c>
      <c r="EP25" s="62">
        <f t="shared" si="46"/>
        <v>156.96653202915024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7.6</v>
      </c>
      <c r="FE25" s="13">
        <f>IF('Données projet'!$A$218&gt;35,FE24+FD25-FM24,IF(A25&lt;'Données projet'!$A$218,$FB$205^A25,IF(A25='Données projet'!$A$218,'Données projet'!$B$218,FE24+FD25-FM24)))</f>
        <v>33.200000000000003</v>
      </c>
      <c r="FF25" s="18">
        <f>FE25*VLOOKUP('Données projet'!$B$16,Paramètres!$A$1:$I$89,3,0)*VLOOKUP('Données projet'!$B$16,Paramètres!$A$1:$I$89,5,0)</f>
        <v>29.003520000000005</v>
      </c>
      <c r="FG25" s="14">
        <f t="shared" si="47"/>
        <v>9.0317833500167612</v>
      </c>
      <c r="FH25" s="22">
        <f t="shared" si="22"/>
        <v>66.244820001279194</v>
      </c>
      <c r="FI25" s="62">
        <f t="shared" si="23"/>
        <v>349.80037555683475</v>
      </c>
      <c r="FJ25" s="62">
        <f ca="1">AVERAGE(OFFSET($FI$3,0,0,'Données projet'!$E$16+1,1))-AVERAGE(OFFSET($H$3,0,0,'Données projet'!$E$16+1,1))</f>
        <v>175.08726167127026</v>
      </c>
      <c r="FK25" s="62">
        <f t="shared" si="48"/>
        <v>196.05343924817117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5.4</v>
      </c>
      <c r="FZ25" s="13">
        <f>IF('Données projet'!$A$244&gt;35,FZ24+FY25-GH24,IF(A25&lt;'Données projet'!$A$244,$FW$205^A25,IF(A25='Données projet'!$A$244,'Données projet'!$B$244,FZ24+FY25-GH24)))</f>
        <v>64.800000000000011</v>
      </c>
      <c r="GA25" s="18">
        <f>FZ25*VLOOKUP('Données projet'!$B$17,Paramètres!$A$1:$I$89,3,0)*VLOOKUP('Données projet'!$B$17,Paramètres!$A$1:$I$89,5,0)</f>
        <v>42.456960000000009</v>
      </c>
      <c r="GB25" s="14">
        <f t="shared" si="49"/>
        <v>12.647587950844969</v>
      </c>
      <c r="GC25" s="22">
        <f t="shared" si="25"/>
        <v>95.973754347721652</v>
      </c>
      <c r="GD25" s="62">
        <f t="shared" si="26"/>
        <v>379.52930990327718</v>
      </c>
      <c r="GE25" s="62">
        <f ca="1">AVERAGE(OFFSET($GD$3,0,0,'Données projet'!$E$17+1,1))-AVERAGE(OFFSET($H$3,0,0,'Données projet'!$E$17+1,1))</f>
        <v>142.93037460866543</v>
      </c>
      <c r="GF25" s="62">
        <f t="shared" si="50"/>
        <v>146.18554498808049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3</v>
      </c>
      <c r="GU25" s="13">
        <f>IF('Données projet'!$A$270&gt;35,GU24+GT25-HC24,IF(A25&lt;'Données projet'!$A$270,$GR$205^A25,IF(A25='Données projet'!$A$270,'Données projet'!$B$270,GU24+GT25-HC24)))</f>
        <v>27</v>
      </c>
      <c r="GV25" s="18">
        <f>GU25*VLOOKUP('Données projet'!$B$18,Paramètres!$A$1:$I$89,3,0)*VLOOKUP('Données projet'!$B$18,Paramètres!$A$1:$I$89,5,0)</f>
        <v>23.166000000000004</v>
      </c>
      <c r="GW25" s="14">
        <f t="shared" si="51"/>
        <v>7.4051601339723527</v>
      </c>
      <c r="GX25" s="22">
        <f t="shared" si="28"/>
        <v>53.244770566668514</v>
      </c>
      <c r="GY25" s="62">
        <f t="shared" si="29"/>
        <v>336.80032612222408</v>
      </c>
      <c r="GZ25" s="62">
        <f ca="1">AVERAGE(OFFSET($GY$3,0,0,'Données projet'!$E$18+1,1))-AVERAGE(OFFSET($H$3,0,0,'Données projet'!$E$18+1,1))</f>
        <v>188.08607733149256</v>
      </c>
      <c r="HA25" s="62">
        <f t="shared" si="52"/>
        <v>119.95698016603842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6.8770000000000033</v>
      </c>
      <c r="D26" s="12">
        <f t="shared" si="32"/>
        <v>2.5320824479527548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72.631513633319543</v>
      </c>
      <c r="H26" s="70">
        <f t="shared" si="1"/>
        <v>273.05415193018439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</v>
      </c>
      <c r="N26" s="14">
        <f>IF('Données projet'!$A$36&gt;35,N25+M26-V25,IF(A26&lt;'Données projet'!$A$36,$K$205^A26,IF(A26='Données projet'!$A$36,'Données projet'!$B$36,N25+M26-V25)))</f>
        <v>30</v>
      </c>
      <c r="O26" s="14">
        <f>N26*VLOOKUP('Données projet'!$B$9,Paramètres!$A$1:$I$89,3,0)*VLOOKUP('Données projet'!$B$9,Paramètres!$A$1:$I$89,5,0)</f>
        <v>32.292000000000002</v>
      </c>
      <c r="P26" s="14">
        <f t="shared" si="33"/>
        <v>9.9308942483743401</v>
      </c>
      <c r="Q26" s="22">
        <f t="shared" si="2"/>
        <v>73.538207482585321</v>
      </c>
      <c r="R26" s="62">
        <f t="shared" si="0"/>
        <v>358.31598526036311</v>
      </c>
      <c r="S26" s="62">
        <f ca="1">AVERAGE(OFFSET($R$3,0,0,'Données projet'!$E$9+1,1))-AVERAGE(OFFSET($H$3,0,0,'Données projet'!$E$9+1,1))</f>
        <v>236.98575892380046</v>
      </c>
      <c r="T26" s="62">
        <f t="shared" si="34"/>
        <v>145.77678223659774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4.4723076923076919</v>
      </c>
      <c r="AI26" s="14">
        <f>IF('Données projet'!$A$62&gt;35,AI25+AH26-AQ25,IF(A26&lt;'Données projet'!$A$62,$AF$205^A26,IF(A26='Données projet'!$A$62,'Données projet'!$B$62,AI25+AH26-AQ25)))</f>
        <v>49.593846153846151</v>
      </c>
      <c r="AJ26" s="14">
        <f>AI26*VLOOKUP('Données projet'!$B$10,Paramètres!$A$1:$I$89,3,0)*VLOOKUP('Données projet'!$B$10,Paramètres!$A$1:$I$89,5,0)</f>
        <v>29.0124</v>
      </c>
      <c r="AK26" s="14">
        <f t="shared" si="35"/>
        <v>9.0342266890744032</v>
      </c>
      <c r="AL26" s="22">
        <f t="shared" si="4"/>
        <v>66.264541483471248</v>
      </c>
      <c r="AM26" s="62">
        <f t="shared" si="5"/>
        <v>351.04231926124902</v>
      </c>
      <c r="AN26" s="62">
        <f ca="1">AVERAGE(OFFSET($AM$3,0,0,'Données projet'!$E$10+1,1))-AVERAGE(OFFSET($H$3,0,0,'Données projet'!$E$10+1,1))</f>
        <v>140.04898296125504</v>
      </c>
      <c r="AO26" s="62">
        <f t="shared" si="36"/>
        <v>129.5395511270716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3.4425641025641025</v>
      </c>
      <c r="BD26" s="13">
        <f>IF('Données projet'!$A$88&gt;35,BD25+BC26-BL25,IF(A26&lt;'Données projet'!$A$88,$BA$205^A26,IF(A26='Données projet'!$A$88,'Données projet'!$B$88,BD25+BC26-BL25)))</f>
        <v>35.000092281482424</v>
      </c>
      <c r="BE26" s="14">
        <f>BD26*VLOOKUP('Données projet'!$B$11,Paramètres!$A$1:$I$89,3,0)*VLOOKUP('Données projet'!$B$11,Paramètres!$A$1:$I$89,5,0)</f>
        <v>16.380043187733772</v>
      </c>
      <c r="BF26" s="14">
        <f t="shared" si="37"/>
        <v>5.4515605034859353</v>
      </c>
      <c r="BG26" s="22">
        <f t="shared" si="7"/>
        <v>38.023376428874322</v>
      </c>
      <c r="BH26" s="62">
        <f t="shared" si="8"/>
        <v>322.80115420665209</v>
      </c>
      <c r="BI26" s="62">
        <f ca="1">AVERAGE(OFFSET($BH$3,0,0,'Données projet'!$E$11+1,1))-AVERAGE(OFFSET($H$3,0,0,'Données projet'!$E$11+1,1))</f>
        <v>207.84100251878419</v>
      </c>
      <c r="BJ26" s="62">
        <f t="shared" si="38"/>
        <v>124.34917784241952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4.74</v>
      </c>
      <c r="BY26" s="13">
        <f>IF('Données projet'!$A$114&gt;35,BY25+BX26-CG25,IF(A26&lt;'Données projet'!$A$114,$BV$205^A26,IF(A26='Données projet'!$A$114,'Données projet'!$B$114,BY25+BX26-CG25)))</f>
        <v>99.92</v>
      </c>
      <c r="BZ26" s="14">
        <f>BY26*VLOOKUP('Données projet'!$B$12,Paramètres!$A$1:$I$89,3,0)*VLOOKUP('Données projet'!$B$12,Paramètres!$A$1:$I$89,5,0)</f>
        <v>51.958400000000005</v>
      </c>
      <c r="CA26" s="14">
        <f t="shared" si="39"/>
        <v>15.118388537073713</v>
      </c>
      <c r="CB26" s="22">
        <f t="shared" si="10"/>
        <v>116.82540670207005</v>
      </c>
      <c r="CC26" s="62">
        <f t="shared" si="11"/>
        <v>401.60318447984781</v>
      </c>
      <c r="CD26" s="62">
        <f ca="1">AVERAGE(OFFSET($CC$3,0,0,'Données projet'!$E$12+1,1))-AVERAGE(OFFSET($H$3,0,0,'Données projet'!$E$12+1,1))</f>
        <v>211.05980622218578</v>
      </c>
      <c r="CE26" s="62">
        <f t="shared" si="40"/>
        <v>168.57746894604855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1.9887500000000009</v>
      </c>
      <c r="CT26" s="13">
        <f>IF('Données projet'!$A$140&gt;35,CT25+CS26-DB25,IF(A26&lt;'Données projet'!$A$140,$CQ$205^A26,IF(A26='Données projet'!$A$140,'Données projet'!$B$140,CT25+CS26-DB25)))</f>
        <v>40.866250000000015</v>
      </c>
      <c r="CU26" s="18">
        <f>CT26*VLOOKUP('Données projet'!$B$13,Paramètres!$A$1:$I$89,3,0)*VLOOKUP('Données projet'!$B$13,Paramètres!$A$1:$I$89,5,0)</f>
        <v>47.077920000000013</v>
      </c>
      <c r="CV26" s="14">
        <f t="shared" si="41"/>
        <v>13.856495389760431</v>
      </c>
      <c r="CW26" s="22">
        <f t="shared" si="13"/>
        <v>106.1274401371661</v>
      </c>
      <c r="CX26" s="62">
        <f t="shared" si="14"/>
        <v>390.90521791494388</v>
      </c>
      <c r="CY26" s="62">
        <f ca="1">AVERAGE(OFFSET($CX$3,0,0,'Données projet'!$E$13+1,1))-AVERAGE(OFFSET($H$3,0,0,'Données projet'!$E$13+1,1))</f>
        <v>191.79777926975839</v>
      </c>
      <c r="CZ26" s="62">
        <f t="shared" si="42"/>
        <v>156.66161375678712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1.8956</v>
      </c>
      <c r="DO26" s="13">
        <f>IF('Données projet'!$A$166&gt;35,DO25+DN26-DW25,IF(A26&lt;'Données projet'!$A$166,$DL$205^A26,IF(A26='Données projet'!$A$166,'Données projet'!$B$166,DO25+DN26-DW25)))</f>
        <v>34.804209325715114</v>
      </c>
      <c r="DP26" s="18">
        <f>DO26*VLOOKUP('Données projet'!$B$14,Paramètres!$A$1:$I$89,3,0)*VLOOKUP('Données projet'!$B$14,Paramètres!$A$1:$I$89,5,0)</f>
        <v>38.006196583680904</v>
      </c>
      <c r="DQ26" s="14">
        <f t="shared" si="43"/>
        <v>11.4686268332831</v>
      </c>
      <c r="DR26" s="22">
        <f t="shared" si="16"/>
        <v>86.168650784545619</v>
      </c>
      <c r="DS26" s="62">
        <f t="shared" si="17"/>
        <v>370.94642856232338</v>
      </c>
      <c r="DT26" s="62">
        <f ca="1">AVERAGE(OFFSET($DS$3,0,0,'Données projet'!$E$14+1,1))-AVERAGE(OFFSET($H$3,0,0,'Données projet'!$E$14+1,1))</f>
        <v>541.0854688453461</v>
      </c>
      <c r="DU26" s="62">
        <f t="shared" si="44"/>
        <v>171.04847168584473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5</v>
      </c>
      <c r="EJ26" s="13">
        <f>IF('Données projet'!$A$192&gt;35,EJ25+EI26-ER25,IF(A26&lt;'Données projet'!$A$192,$EG$205^A26,IF(A26='Données projet'!$A$192,'Données projet'!$B$192,EJ25+EI26-ER25)))</f>
        <v>51.783144070445161</v>
      </c>
      <c r="EK26" s="18">
        <f>EJ26*VLOOKUP('Données projet'!$B$15,Paramètres!$A$1:$I$89,3,0)*VLOOKUP('Données projet'!$B$15,Paramètres!$A$1:$I$89,5,0)</f>
        <v>30.966320154126205</v>
      </c>
      <c r="EL26" s="14">
        <f t="shared" si="45"/>
        <v>9.5697835510807412</v>
      </c>
      <c r="EM26" s="22">
        <f t="shared" si="19"/>
        <v>70.600380619902097</v>
      </c>
      <c r="EN26" s="62">
        <f t="shared" si="20"/>
        <v>355.37815839767984</v>
      </c>
      <c r="EO26" s="62">
        <f ca="1">AVERAGE(OFFSET($EN$3,0,0,'Données projet'!$E$15+1,1))-AVERAGE(OFFSET($H$3,0,0,'Données projet'!$E$15+1,1))</f>
        <v>244.01698421598974</v>
      </c>
      <c r="EP26" s="62">
        <f t="shared" si="46"/>
        <v>156.96653202915024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7.6</v>
      </c>
      <c r="FE26" s="13">
        <f>IF('Données projet'!$A$218&gt;35,FE25+FD26-FM25,IF(A26&lt;'Données projet'!$A$218,$FB$205^A26,IF(A26='Données projet'!$A$218,'Données projet'!$B$218,FE25+FD26-FM25)))</f>
        <v>40.800000000000004</v>
      </c>
      <c r="FF26" s="18">
        <f>FE26*VLOOKUP('Données projet'!$B$16,Paramètres!$A$1:$I$89,3,0)*VLOOKUP('Données projet'!$B$16,Paramètres!$A$1:$I$89,5,0)</f>
        <v>35.642880000000012</v>
      </c>
      <c r="FG26" s="14">
        <f t="shared" si="47"/>
        <v>10.836155304531358</v>
      </c>
      <c r="FH26" s="22">
        <f t="shared" si="22"/>
        <v>80.950986488725476</v>
      </c>
      <c r="FI26" s="62">
        <f t="shared" si="23"/>
        <v>365.72876426650328</v>
      </c>
      <c r="FJ26" s="62">
        <f ca="1">AVERAGE(OFFSET($FI$3,0,0,'Données projet'!$E$16+1,1))-AVERAGE(OFFSET($H$3,0,0,'Données projet'!$E$16+1,1))</f>
        <v>175.08726167127026</v>
      </c>
      <c r="FK26" s="62">
        <f t="shared" si="48"/>
        <v>196.05343924817117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5.4</v>
      </c>
      <c r="FZ26" s="13">
        <f>IF('Données projet'!$A$244&gt;35,FZ25+FY26-GH25,IF(A26&lt;'Données projet'!$A$244,$FW$205^A26,IF(A26='Données projet'!$A$244,'Données projet'!$B$244,FZ25+FY26-GH25)))</f>
        <v>70.200000000000017</v>
      </c>
      <c r="GA26" s="18">
        <f>FZ26*VLOOKUP('Données projet'!$B$17,Paramètres!$A$1:$I$89,3,0)*VLOOKUP('Données projet'!$B$17,Paramètres!$A$1:$I$89,5,0)</f>
        <v>45.99504000000001</v>
      </c>
      <c r="GB26" s="14">
        <f t="shared" si="49"/>
        <v>13.574489478968964</v>
      </c>
      <c r="GC26" s="22">
        <f t="shared" si="25"/>
        <v>103.75026384253762</v>
      </c>
      <c r="GD26" s="62">
        <f t="shared" si="26"/>
        <v>388.52804162031538</v>
      </c>
      <c r="GE26" s="62">
        <f ca="1">AVERAGE(OFFSET($GD$3,0,0,'Données projet'!$E$17+1,1))-AVERAGE(OFFSET($H$3,0,0,'Données projet'!$E$17+1,1))</f>
        <v>142.93037460866543</v>
      </c>
      <c r="GF26" s="62">
        <f t="shared" si="50"/>
        <v>146.18554498808049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3</v>
      </c>
      <c r="GU26" s="13">
        <f>IF('Données projet'!$A$270&gt;35,GU25+GT26-HC25,IF(A26&lt;'Données projet'!$A$270,$GR$205^A26,IF(A26='Données projet'!$A$270,'Données projet'!$B$270,GU25+GT26-HC25)))</f>
        <v>30</v>
      </c>
      <c r="GV26" s="18">
        <f>GU26*VLOOKUP('Données projet'!$B$18,Paramètres!$A$1:$I$89,3,0)*VLOOKUP('Données projet'!$B$18,Paramètres!$A$1:$I$89,5,0)</f>
        <v>25.740000000000002</v>
      </c>
      <c r="GW26" s="14">
        <f t="shared" si="51"/>
        <v>8.1276645919917723</v>
      </c>
      <c r="GX26" s="22">
        <f t="shared" si="28"/>
        <v>58.986182497719007</v>
      </c>
      <c r="GY26" s="62">
        <f t="shared" si="29"/>
        <v>343.7639602754968</v>
      </c>
      <c r="GZ26" s="62">
        <f ca="1">AVERAGE(OFFSET($GY$3,0,0,'Données projet'!$E$18+1,1))-AVERAGE(OFFSET($H$3,0,0,'Données projet'!$E$18+1,1))</f>
        <v>188.08607733149256</v>
      </c>
      <c r="HA26" s="62">
        <f t="shared" si="52"/>
        <v>119.95698016603842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7.1760000000000037</v>
      </c>
      <c r="D27" s="12">
        <f t="shared" si="32"/>
        <v>2.6291161930289704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75.688616226890318</v>
      </c>
      <c r="H27" s="70">
        <f t="shared" si="1"/>
        <v>273.74391070285884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</v>
      </c>
      <c r="N27" s="14">
        <f>IF('Données projet'!$A$36&gt;35,N26+M27-V26,IF(A27&lt;'Données projet'!$A$36,$K$205^A27,IF(A27='Données projet'!$A$36,'Données projet'!$B$36,N26+M27-V26)))</f>
        <v>33</v>
      </c>
      <c r="O27" s="14">
        <f>N27*VLOOKUP('Données projet'!$B$9,Paramètres!$A$1:$I$89,3,0)*VLOOKUP('Données projet'!$B$9,Paramètres!$A$1:$I$89,5,0)</f>
        <v>35.5212</v>
      </c>
      <c r="P27" s="14">
        <f t="shared" si="33"/>
        <v>10.803461630334509</v>
      </c>
      <c r="Q27" s="22">
        <f t="shared" si="2"/>
        <v>80.682119006165934</v>
      </c>
      <c r="R27" s="62">
        <f t="shared" si="0"/>
        <v>366.68211900616592</v>
      </c>
      <c r="S27" s="62">
        <f ca="1">AVERAGE(OFFSET($R$3,0,0,'Données projet'!$E$9+1,1))-AVERAGE(OFFSET($H$3,0,0,'Données projet'!$E$9+1,1))</f>
        <v>236.98575892380046</v>
      </c>
      <c r="T27" s="62">
        <f t="shared" si="34"/>
        <v>145.77678223659774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4.4723076923076919</v>
      </c>
      <c r="AI27" s="14">
        <f>IF('Données projet'!$A$62&gt;35,AI26+AH27-AQ26,IF(A27&lt;'Données projet'!$A$62,$AF$205^A27,IF(A27='Données projet'!$A$62,'Données projet'!$B$62,AI26+AH27-AQ26)))</f>
        <v>54.066153846153846</v>
      </c>
      <c r="AJ27" s="14">
        <f>AI27*VLOOKUP('Données projet'!$B$10,Paramètres!$A$1:$I$89,3,0)*VLOOKUP('Données projet'!$B$10,Paramètres!$A$1:$I$89,5,0)</f>
        <v>31.628700000000002</v>
      </c>
      <c r="AK27" s="14">
        <f t="shared" si="35"/>
        <v>9.7504338131068167</v>
      </c>
      <c r="AL27" s="22">
        <f t="shared" si="4"/>
        <v>72.068658057827705</v>
      </c>
      <c r="AM27" s="62">
        <f t="shared" si="5"/>
        <v>358.06865805782769</v>
      </c>
      <c r="AN27" s="62">
        <f ca="1">AVERAGE(OFFSET($AM$3,0,0,'Données projet'!$E$10+1,1))-AVERAGE(OFFSET($H$3,0,0,'Données projet'!$E$10+1,1))</f>
        <v>140.04898296125504</v>
      </c>
      <c r="AO27" s="62">
        <f t="shared" si="36"/>
        <v>129.5395511270716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3.4425641025641025</v>
      </c>
      <c r="BD27" s="13">
        <f>IF('Données projet'!$A$88&gt;35,BD26+BC27-BL26,IF(A27&lt;'Données projet'!$A$88,$BA$205^A27,IF(A27='Données projet'!$A$88,'Données projet'!$B$88,BD26+BC27-BL26)))</f>
        <v>40.850994379880916</v>
      </c>
      <c r="BE27" s="14">
        <f>BD27*VLOOKUP('Données projet'!$B$11,Paramètres!$A$1:$I$89,3,0)*VLOOKUP('Données projet'!$B$11,Paramètres!$A$1:$I$89,5,0)</f>
        <v>19.118265369784268</v>
      </c>
      <c r="BF27" s="14">
        <f t="shared" si="37"/>
        <v>6.2494233631643379</v>
      </c>
      <c r="BG27" s="22">
        <f t="shared" si="7"/>
        <v>44.182057876552157</v>
      </c>
      <c r="BH27" s="62">
        <f t="shared" si="8"/>
        <v>330.18205787655216</v>
      </c>
      <c r="BI27" s="62">
        <f ca="1">AVERAGE(OFFSET($BH$3,0,0,'Données projet'!$E$11+1,1))-AVERAGE(OFFSET($H$3,0,0,'Données projet'!$E$11+1,1))</f>
        <v>207.84100251878419</v>
      </c>
      <c r="BJ27" s="62">
        <f t="shared" si="38"/>
        <v>124.34917784241952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4.74</v>
      </c>
      <c r="BY27" s="13">
        <f>IF('Données projet'!$A$114&gt;35,BY26+BX27-CG26,IF(A27&lt;'Données projet'!$A$114,$BV$205^A27,IF(A27='Données projet'!$A$114,'Données projet'!$B$114,BY26+BX27-CG26)))</f>
        <v>104.66</v>
      </c>
      <c r="BZ27" s="14">
        <f>BY27*VLOOKUP('Données projet'!$B$12,Paramètres!$A$1:$I$89,3,0)*VLOOKUP('Données projet'!$B$12,Paramètres!$A$1:$I$89,5,0)</f>
        <v>54.423200000000008</v>
      </c>
      <c r="CA27" s="14">
        <f t="shared" si="39"/>
        <v>15.750374069493635</v>
      </c>
      <c r="CB27" s="22">
        <f t="shared" si="10"/>
        <v>122.21897483770141</v>
      </c>
      <c r="CC27" s="62">
        <f t="shared" si="11"/>
        <v>408.21897483770141</v>
      </c>
      <c r="CD27" s="62">
        <f ca="1">AVERAGE(OFFSET($CC$3,0,0,'Données projet'!$E$12+1,1))-AVERAGE(OFFSET($H$3,0,0,'Données projet'!$E$12+1,1))</f>
        <v>211.05980622218578</v>
      </c>
      <c r="CE27" s="62">
        <f t="shared" si="40"/>
        <v>168.57746894604855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1.9887500000000009</v>
      </c>
      <c r="CT27" s="13">
        <f>IF('Données projet'!$A$140&gt;35,CT26+CS27-DB26,IF(A27&lt;'Données projet'!$A$140,$CQ$205^A27,IF(A27='Données projet'!$A$140,'Données projet'!$B$140,CT26+CS27-DB26)))</f>
        <v>42.855000000000018</v>
      </c>
      <c r="CU27" s="18">
        <f>CT27*VLOOKUP('Données projet'!$B$13,Paramètres!$A$1:$I$89,3,0)*VLOOKUP('Données projet'!$B$13,Paramètres!$A$1:$I$89,5,0)</f>
        <v>49.368960000000015</v>
      </c>
      <c r="CV27" s="14">
        <f t="shared" si="41"/>
        <v>14.450670560048829</v>
      </c>
      <c r="CW27" s="22">
        <f t="shared" si="13"/>
        <v>111.15252322541839</v>
      </c>
      <c r="CX27" s="62">
        <f t="shared" si="14"/>
        <v>397.15252322541841</v>
      </c>
      <c r="CY27" s="62">
        <f ca="1">AVERAGE(OFFSET($CX$3,0,0,'Données projet'!$E$13+1,1))-AVERAGE(OFFSET($H$3,0,0,'Données projet'!$E$13+1,1))</f>
        <v>191.79777926975839</v>
      </c>
      <c r="CZ27" s="62">
        <f t="shared" si="42"/>
        <v>156.66161375678712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1.8956</v>
      </c>
      <c r="DO27" s="13">
        <f>IF('Données projet'!$A$166&gt;35,DO26+DN27-DW26,IF(A27&lt;'Données projet'!$A$166,$DL$205^A27,IF(A27='Données projet'!$A$166,'Données projet'!$B$166,DO26+DN27-DW26)))</f>
        <v>40.612454739225463</v>
      </c>
      <c r="DP27" s="18">
        <f>DO27*VLOOKUP('Données projet'!$B$14,Paramètres!$A$1:$I$89,3,0)*VLOOKUP('Données projet'!$B$14,Paramètres!$A$1:$I$89,5,0)</f>
        <v>44.3488005752342</v>
      </c>
      <c r="DQ27" s="14">
        <f t="shared" si="43"/>
        <v>13.144282754855581</v>
      </c>
      <c r="DR27" s="22">
        <f t="shared" si="16"/>
        <v>100.13378679990637</v>
      </c>
      <c r="DS27" s="62">
        <f t="shared" si="17"/>
        <v>386.13378679990637</v>
      </c>
      <c r="DT27" s="62">
        <f ca="1">AVERAGE(OFFSET($DS$3,0,0,'Données projet'!$E$14+1,1))-AVERAGE(OFFSET($H$3,0,0,'Données projet'!$E$14+1,1))</f>
        <v>541.0854688453461</v>
      </c>
      <c r="DU27" s="62">
        <f t="shared" si="44"/>
        <v>171.04847168584473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5</v>
      </c>
      <c r="EJ27" s="13">
        <f>IF('Données projet'!$A$192&gt;35,EJ26+EI27-ER26,IF(A27&lt;'Données projet'!$A$192,$EG$205^A27,IF(A27='Données projet'!$A$192,'Données projet'!$B$192,EJ26+EI27-ER26)))</f>
        <v>61.477804093719847</v>
      </c>
      <c r="EK27" s="18">
        <f>EJ27*VLOOKUP('Données projet'!$B$15,Paramètres!$A$1:$I$89,3,0)*VLOOKUP('Données projet'!$B$15,Paramètres!$A$1:$I$89,5,0)</f>
        <v>36.76372684804447</v>
      </c>
      <c r="EL27" s="14">
        <f t="shared" si="45"/>
        <v>11.136706189128647</v>
      </c>
      <c r="EM27" s="22">
        <f t="shared" si="19"/>
        <v>83.426587539743181</v>
      </c>
      <c r="EN27" s="62">
        <f t="shared" si="20"/>
        <v>369.4265875397432</v>
      </c>
      <c r="EO27" s="62">
        <f ca="1">AVERAGE(OFFSET($EN$3,0,0,'Données projet'!$E$15+1,1))-AVERAGE(OFFSET($H$3,0,0,'Données projet'!$E$15+1,1))</f>
        <v>244.01698421598974</v>
      </c>
      <c r="EP27" s="62">
        <f t="shared" si="46"/>
        <v>156.96653202915024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7.6</v>
      </c>
      <c r="FE27" s="13">
        <f>IF('Données projet'!$A$218&gt;35,FE26+FD27-FM26,IF(A27&lt;'Données projet'!$A$218,$FB$205^A27,IF(A27='Données projet'!$A$218,'Données projet'!$B$218,FE26+FD27-FM26)))</f>
        <v>48.400000000000006</v>
      </c>
      <c r="FF27" s="18">
        <f>FE27*VLOOKUP('Données projet'!$B$16,Paramètres!$A$1:$I$89,3,0)*VLOOKUP('Données projet'!$B$16,Paramètres!$A$1:$I$89,5,0)</f>
        <v>42.282240000000009</v>
      </c>
      <c r="FG27" s="14">
        <f t="shared" si="47"/>
        <v>12.60158758294113</v>
      </c>
      <c r="FH27" s="22">
        <f t="shared" si="22"/>
        <v>95.589333040289148</v>
      </c>
      <c r="FI27" s="62">
        <f t="shared" si="23"/>
        <v>381.58933304028915</v>
      </c>
      <c r="FJ27" s="62">
        <f ca="1">AVERAGE(OFFSET($FI$3,0,0,'Données projet'!$E$16+1,1))-AVERAGE(OFFSET($H$3,0,0,'Données projet'!$E$16+1,1))</f>
        <v>175.08726167127026</v>
      </c>
      <c r="FK27" s="62">
        <f t="shared" si="48"/>
        <v>196.05343924817117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5.4</v>
      </c>
      <c r="FZ27" s="13">
        <f>IF('Données projet'!$A$244&gt;35,FZ26+FY27-GH26,IF(A27&lt;'Données projet'!$A$244,$FW$205^A27,IF(A27='Données projet'!$A$244,'Données projet'!$B$244,FZ26+FY27-GH26)))</f>
        <v>75.600000000000023</v>
      </c>
      <c r="GA27" s="18">
        <f>FZ27*VLOOKUP('Données projet'!$B$17,Paramètres!$A$1:$I$89,3,0)*VLOOKUP('Données projet'!$B$17,Paramètres!$A$1:$I$89,5,0)</f>
        <v>49.533120000000018</v>
      </c>
      <c r="GB27" s="14">
        <f t="shared" si="49"/>
        <v>14.493120113047395</v>
      </c>
      <c r="GC27" s="22">
        <f t="shared" si="25"/>
        <v>111.5123681968909</v>
      </c>
      <c r="GD27" s="62">
        <f t="shared" si="26"/>
        <v>397.51236819689092</v>
      </c>
      <c r="GE27" s="62">
        <f ca="1">AVERAGE(OFFSET($GD$3,0,0,'Données projet'!$E$17+1,1))-AVERAGE(OFFSET($H$3,0,0,'Données projet'!$E$17+1,1))</f>
        <v>142.93037460866543</v>
      </c>
      <c r="GF27" s="62">
        <f t="shared" si="50"/>
        <v>146.18554498808049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3</v>
      </c>
      <c r="GU27" s="13">
        <f>IF('Données projet'!$A$270&gt;35,GU26+GT27-HC26,IF(A27&lt;'Données projet'!$A$270,$GR$205^A27,IF(A27='Données projet'!$A$270,'Données projet'!$B$270,GU26+GT27-HC26)))</f>
        <v>33</v>
      </c>
      <c r="GV27" s="18">
        <f>GU27*VLOOKUP('Données projet'!$B$18,Paramètres!$A$1:$I$89,3,0)*VLOOKUP('Données projet'!$B$18,Paramètres!$A$1:$I$89,5,0)</f>
        <v>28.314000000000004</v>
      </c>
      <c r="GW27" s="14">
        <f t="shared" si="51"/>
        <v>8.8417931323944252</v>
      </c>
      <c r="GX27" s="22">
        <f t="shared" si="28"/>
        <v>64.713006372253631</v>
      </c>
      <c r="GY27" s="62">
        <f t="shared" si="29"/>
        <v>350.71300637225363</v>
      </c>
      <c r="GZ27" s="62">
        <f ca="1">AVERAGE(OFFSET($GY$3,0,0,'Données projet'!$E$18+1,1))-AVERAGE(OFFSET($H$3,0,0,'Données projet'!$E$18+1,1))</f>
        <v>188.08607733149256</v>
      </c>
      <c r="HA27" s="62">
        <f t="shared" si="52"/>
        <v>119.95698016603842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7.4750000000000041</v>
      </c>
      <c r="D28" s="12">
        <f t="shared" si="32"/>
        <v>2.7256803203316724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78.742093700805924</v>
      </c>
      <c r="H28" s="70">
        <f t="shared" si="1"/>
        <v>274.43285155791102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36</v>
      </c>
      <c r="L28" s="13">
        <f>VLOOKUP(A28,'Données projet'!$A$35:$I$55,9,0)</f>
        <v>3</v>
      </c>
      <c r="M28" s="13">
        <f t="array" ref="M28">INDEX(L:L,MIN(IF(ISNUMBER(L28:L224),ROW(L28:L224),"")))</f>
        <v>3</v>
      </c>
      <c r="N28" s="14">
        <f>IF('Données projet'!$A$36&gt;35,N27+M28-V27,IF(A28&lt;'Données projet'!$A$36,$K$205^A28,IF(A28='Données projet'!$A$36,'Données projet'!$B$36,N27+M28-V27)))</f>
        <v>36</v>
      </c>
      <c r="O28" s="14">
        <f>N28*VLOOKUP('Données projet'!$B$9,Paramètres!$A$1:$I$89,3,0)*VLOOKUP('Données projet'!$B$9,Paramètres!$A$1:$I$89,5,0)</f>
        <v>38.750399999999999</v>
      </c>
      <c r="P28" s="14">
        <f t="shared" si="33"/>
        <v>11.666830981019302</v>
      </c>
      <c r="Q28" s="22">
        <f t="shared" si="2"/>
        <v>87.810010625275268</v>
      </c>
      <c r="R28" s="62">
        <f t="shared" si="0"/>
        <v>375.03223284749748</v>
      </c>
      <c r="S28" s="62">
        <f ca="1">AVERAGE(OFFSET($R$3,0,0,'Données projet'!$E$9+1,1))-AVERAGE(OFFSET($H$3,0,0,'Données projet'!$E$9+1,1))</f>
        <v>236.98575892380046</v>
      </c>
      <c r="T28" s="62">
        <f t="shared" si="34"/>
        <v>145.77678223659774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58.538461538461533</v>
      </c>
      <c r="AG28" s="13">
        <f>VLOOKUP(A28,'Données projet'!$A$61:$I$81,9,0)</f>
        <v>4.4723076923076919</v>
      </c>
      <c r="AH28" s="13">
        <f t="array" ref="AH28">INDEX(AG:AG,MIN(IF(ISNUMBER(AG28:AG224),ROW(AG28:AG224),"")))</f>
        <v>4.4723076923076919</v>
      </c>
      <c r="AI28" s="14">
        <f>IF('Données projet'!$A$62&gt;35,AI27+AH28-AQ27,IF(A28&lt;'Données projet'!$A$62,$AF$205^A28,IF(A28='Données projet'!$A$62,'Données projet'!$B$62,AI27+AH28-AQ27)))</f>
        <v>58.53846153846154</v>
      </c>
      <c r="AJ28" s="14">
        <f>AI28*VLOOKUP('Données projet'!$B$10,Paramètres!$A$1:$I$89,3,0)*VLOOKUP('Données projet'!$B$10,Paramètres!$A$1:$I$89,5,0)</f>
        <v>34.244999999999997</v>
      </c>
      <c r="AK28" s="14">
        <f t="shared" si="35"/>
        <v>10.459769755154808</v>
      </c>
      <c r="AL28" s="22">
        <f t="shared" si="4"/>
        <v>77.860807323561289</v>
      </c>
      <c r="AM28" s="62">
        <f t="shared" si="5"/>
        <v>365.08302954578352</v>
      </c>
      <c r="AN28" s="62">
        <f ca="1">AVERAGE(OFFSET($AM$3,0,0,'Données projet'!$E$10+1,1))-AVERAGE(OFFSET($H$3,0,0,'Données projet'!$E$10+1,1))</f>
        <v>140.04898296125504</v>
      </c>
      <c r="AO28" s="62">
        <f t="shared" si="36"/>
        <v>129.5395511270716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3.4425641025641025</v>
      </c>
      <c r="BD28" s="13">
        <f>IF('Données projet'!$A$88&gt;35,BD27+BC28-BL27,IF(A28&lt;'Données projet'!$A$88,$BA$205^A28,IF(A28='Données projet'!$A$88,'Données projet'!$B$88,BD27+BC28-BL27)))</f>
        <v>47.679981195591871</v>
      </c>
      <c r="BE28" s="14">
        <f>BD28*VLOOKUP('Données projet'!$B$11,Paramètres!$A$1:$I$89,3,0)*VLOOKUP('Données projet'!$B$11,Paramètres!$A$1:$I$89,5,0)</f>
        <v>22.314231199536998</v>
      </c>
      <c r="BF28" s="14">
        <f t="shared" si="37"/>
        <v>7.1640574010122027</v>
      </c>
      <c r="BG28" s="22">
        <f t="shared" si="7"/>
        <v>51.341352645956526</v>
      </c>
      <c r="BH28" s="62">
        <f t="shared" si="8"/>
        <v>338.56357486817876</v>
      </c>
      <c r="BI28" s="62">
        <f ca="1">AVERAGE(OFFSET($BH$3,0,0,'Données projet'!$E$11+1,1))-AVERAGE(OFFSET($H$3,0,0,'Données projet'!$E$11+1,1))</f>
        <v>207.84100251878419</v>
      </c>
      <c r="BJ28" s="62">
        <f t="shared" si="38"/>
        <v>124.34917784241952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109.4</v>
      </c>
      <c r="BW28" s="13">
        <f>VLOOKUP(A28,'Données projet'!$A$113:$I$133,9,0)</f>
        <v>4.74</v>
      </c>
      <c r="BX28" s="13">
        <f t="array" ref="BX28">INDEX(BW:BW,MIN(IF(ISNUMBER(BW28:BW224),ROW(BW28:BW224),"")))</f>
        <v>4.74</v>
      </c>
      <c r="BY28" s="13">
        <f>IF('Données projet'!$A$114&gt;35,BY27+BX28-CG27,IF(A28&lt;'Données projet'!$A$114,$BV$205^A28,IF(A28='Données projet'!$A$114,'Données projet'!$B$114,BY27+BX28-CG27)))</f>
        <v>109.39999999999999</v>
      </c>
      <c r="BZ28" s="14">
        <f>BY28*VLOOKUP('Données projet'!$B$12,Paramètres!$A$1:$I$89,3,0)*VLOOKUP('Données projet'!$B$12,Paramètres!$A$1:$I$89,5,0)</f>
        <v>56.887999999999998</v>
      </c>
      <c r="CA28" s="14">
        <f t="shared" si="39"/>
        <v>16.379035530880738</v>
      </c>
      <c r="CB28" s="22">
        <f t="shared" si="10"/>
        <v>127.60675354961728</v>
      </c>
      <c r="CC28" s="62">
        <f t="shared" si="11"/>
        <v>414.82897577183951</v>
      </c>
      <c r="CD28" s="62">
        <f ca="1">AVERAGE(OFFSET($CC$3,0,0,'Données projet'!$E$12+1,1))-AVERAGE(OFFSET($H$3,0,0,'Données projet'!$E$12+1,1))</f>
        <v>211.05980622218578</v>
      </c>
      <c r="CE28" s="62">
        <f t="shared" si="40"/>
        <v>168.57746894604855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1.9887500000000009</v>
      </c>
      <c r="CT28" s="13">
        <f>IF('Données projet'!$A$140&gt;35,CT27+CS28-DB27,IF(A28&lt;'Données projet'!$A$140,$CQ$205^A28,IF(A28='Données projet'!$A$140,'Données projet'!$B$140,CT27+CS28-DB27)))</f>
        <v>44.843750000000021</v>
      </c>
      <c r="CU28" s="18">
        <f>CT28*VLOOKUP('Données projet'!$B$13,Paramètres!$A$1:$I$89,3,0)*VLOOKUP('Données projet'!$B$13,Paramètres!$A$1:$I$89,5,0)</f>
        <v>51.660000000000018</v>
      </c>
      <c r="CV28" s="14">
        <f t="shared" si="41"/>
        <v>15.041643604774535</v>
      </c>
      <c r="CW28" s="22">
        <f t="shared" si="13"/>
        <v>116.17202927831566</v>
      </c>
      <c r="CX28" s="62">
        <f t="shared" si="14"/>
        <v>403.39425150053791</v>
      </c>
      <c r="CY28" s="62">
        <f ca="1">AVERAGE(OFFSET($CX$3,0,0,'Données projet'!$E$13+1,1))-AVERAGE(OFFSET($H$3,0,0,'Données projet'!$E$13+1,1))</f>
        <v>191.79777926975839</v>
      </c>
      <c r="CZ28" s="62">
        <f t="shared" si="42"/>
        <v>156.66161375678712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47.39</v>
      </c>
      <c r="DM28" s="13">
        <f>VLOOKUP(A28,'Données projet'!$A$165:$I$185,9,0)</f>
        <v>1.8956</v>
      </c>
      <c r="DN28" s="13">
        <f t="array" ref="DN28">INDEX(DM:DM,MIN(IF(ISNUMBER(DM28:DM224),ROW(DM28:DM224),"")))</f>
        <v>1.8956</v>
      </c>
      <c r="DO28" s="13">
        <f>IF('Données projet'!$A$166&gt;35,DO27+DN28-DW27,IF(A28&lt;'Données projet'!$A$166,$DL$205^A28,IF(A28='Données projet'!$A$166,'Données projet'!$B$166,DO27+DN28-DW27)))</f>
        <v>47.39</v>
      </c>
      <c r="DP28" s="18">
        <f>DO28*VLOOKUP('Données projet'!$B$14,Paramètres!$A$1:$I$89,3,0)*VLOOKUP('Données projet'!$B$14,Paramètres!$A$1:$I$89,5,0)</f>
        <v>51.749880000000005</v>
      </c>
      <c r="DQ28" s="14">
        <f t="shared" si="43"/>
        <v>15.064765089242595</v>
      </c>
      <c r="DR28" s="22">
        <f t="shared" si="16"/>
        <v>116.36884019709753</v>
      </c>
      <c r="DS28" s="62">
        <f t="shared" si="17"/>
        <v>403.59106241931977</v>
      </c>
      <c r="DT28" s="62">
        <f ca="1">AVERAGE(OFFSET($DS$3,0,0,'Données projet'!$E$14+1,1))-AVERAGE(OFFSET($H$3,0,0,'Données projet'!$E$14+1,1))</f>
        <v>541.0854688453461</v>
      </c>
      <c r="DU28" s="62">
        <f t="shared" si="44"/>
        <v>171.04847168584473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9.52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5</v>
      </c>
      <c r="EJ28" s="13">
        <f>IF('Données projet'!$A$192&gt;35,EJ27+EI28-ER27,IF(A28&lt;'Données projet'!$A$192,$EG$205^A28,IF(A28='Données projet'!$A$192,'Données projet'!$B$192,EJ27+EI28-ER27)))</f>
        <v>72.987464628338969</v>
      </c>
      <c r="EK28" s="18">
        <f>EJ28*VLOOKUP('Données projet'!$B$15,Paramètres!$A$1:$I$89,3,0)*VLOOKUP('Données projet'!$B$15,Paramètres!$A$1:$I$89,5,0)</f>
        <v>43.6465038477467</v>
      </c>
      <c r="EL28" s="14">
        <f t="shared" si="45"/>
        <v>12.96019121863729</v>
      </c>
      <c r="EM28" s="22">
        <f t="shared" si="19"/>
        <v>98.589993907285461</v>
      </c>
      <c r="EN28" s="62">
        <f t="shared" si="20"/>
        <v>385.8122161295077</v>
      </c>
      <c r="EO28" s="62">
        <f ca="1">AVERAGE(OFFSET($EN$3,0,0,'Données projet'!$E$15+1,1))-AVERAGE(OFFSET($H$3,0,0,'Données projet'!$E$15+1,1))</f>
        <v>244.01698421598974</v>
      </c>
      <c r="EP28" s="62">
        <f t="shared" si="46"/>
        <v>156.96653202915024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56</v>
      </c>
      <c r="FC28" s="13">
        <f>VLOOKUP(A28,'Données projet'!$A$217:$I$237,9,0)</f>
        <v>7.6</v>
      </c>
      <c r="FD28" s="13">
        <f t="array" ref="FD28">INDEX(FC:FC,MIN(IF(ISNUMBER(FC28:FC224),ROW(FC28:FC224),"")))</f>
        <v>7.6</v>
      </c>
      <c r="FE28" s="13">
        <f>IF('Données projet'!$A$218&gt;35,FE27+FD28-FM27,IF(A28&lt;'Données projet'!$A$218,$FB$205^A28,IF(A28='Données projet'!$A$218,'Données projet'!$B$218,FE27+FD28-FM27)))</f>
        <v>56.000000000000007</v>
      </c>
      <c r="FF28" s="18">
        <f>FE28*VLOOKUP('Données projet'!$B$16,Paramètres!$A$1:$I$89,3,0)*VLOOKUP('Données projet'!$B$16,Paramètres!$A$1:$I$89,5,0)</f>
        <v>48.921600000000012</v>
      </c>
      <c r="FG28" s="14">
        <f t="shared" si="47"/>
        <v>14.334905731333873</v>
      </c>
      <c r="FH28" s="22">
        <f t="shared" si="22"/>
        <v>110.1717474820732</v>
      </c>
      <c r="FI28" s="62">
        <f t="shared" si="23"/>
        <v>397.39396970429544</v>
      </c>
      <c r="FJ28" s="62">
        <f ca="1">AVERAGE(OFFSET($FI$3,0,0,'Données projet'!$E$16+1,1))-AVERAGE(OFFSET($H$3,0,0,'Données projet'!$E$16+1,1))</f>
        <v>175.08726167127026</v>
      </c>
      <c r="FK28" s="62">
        <f t="shared" si="48"/>
        <v>196.05343924817117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81</v>
      </c>
      <c r="FX28" s="13">
        <f>VLOOKUP(A28,'Données projet'!$A$243:$I$263,9,0)</f>
        <v>5.4</v>
      </c>
      <c r="FY28" s="13">
        <f t="array" ref="FY28">INDEX(FX:FX,MIN(IF(ISNUMBER(FX28:FX224),ROW(FX28:FX224),"")))</f>
        <v>5.4</v>
      </c>
      <c r="FZ28" s="13">
        <f>IF('Données projet'!$A$244&gt;35,FZ27+FY28-GH27,IF(A28&lt;'Données projet'!$A$244,$FW$205^A28,IF(A28='Données projet'!$A$244,'Données projet'!$B$244,FZ27+FY28-GH27)))</f>
        <v>81.000000000000028</v>
      </c>
      <c r="GA28" s="18">
        <f>FZ28*VLOOKUP('Données projet'!$B$17,Paramètres!$A$1:$I$89,3,0)*VLOOKUP('Données projet'!$B$17,Paramètres!$A$1:$I$89,5,0)</f>
        <v>53.071200000000019</v>
      </c>
      <c r="GB28" s="14">
        <f t="shared" si="49"/>
        <v>15.404137822648023</v>
      </c>
      <c r="GC28" s="22">
        <f t="shared" si="25"/>
        <v>119.26121337444533</v>
      </c>
      <c r="GD28" s="62">
        <f t="shared" si="26"/>
        <v>406.48343559666756</v>
      </c>
      <c r="GE28" s="62">
        <f ca="1">AVERAGE(OFFSET($GD$3,0,0,'Données projet'!$E$17+1,1))-AVERAGE(OFFSET($H$3,0,0,'Données projet'!$E$17+1,1))</f>
        <v>142.93037460866543</v>
      </c>
      <c r="GF28" s="62">
        <f t="shared" si="50"/>
        <v>146.18554498808049</v>
      </c>
      <c r="GG28" s="16">
        <f>IF(ISNA(VLOOKUP(A28,'Données projet'!$A$243:$I$263,3,0)),0,VLOOKUP(A28,'Données projet'!$A$243:$I$263,3,0))</f>
        <v>1</v>
      </c>
      <c r="GH28" s="16">
        <f>IF(ISNA(VLOOKUP(A28,'Données projet'!$A$243:$I$263,4,0)),0,VLOOKUP(A28,'Données projet'!$A$243:$I$263,4,0))</f>
        <v>18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36</v>
      </c>
      <c r="GS28" s="13">
        <f>VLOOKUP(A28,'Données projet'!$A$269:$I$289,9,0)</f>
        <v>3</v>
      </c>
      <c r="GT28" s="13">
        <f t="array" ref="GT28">INDEX(GS:GS,MIN(IF(ISNUMBER(GS28:GS224),ROW(GS28:GS224),"")))</f>
        <v>3</v>
      </c>
      <c r="GU28" s="13">
        <f>IF('Données projet'!$A$270&gt;35,GU27+GT28-HC27,IF(A28&lt;'Données projet'!$A$270,$GR$205^A28,IF(A28='Données projet'!$A$270,'Données projet'!$B$270,GU27+GT28-HC27)))</f>
        <v>36</v>
      </c>
      <c r="GV28" s="18">
        <f>GU28*VLOOKUP('Données projet'!$B$18,Paramètres!$A$1:$I$89,3,0)*VLOOKUP('Données projet'!$B$18,Paramètres!$A$1:$I$89,5,0)</f>
        <v>30.888000000000002</v>
      </c>
      <c r="GW28" s="14">
        <f t="shared" si="51"/>
        <v>9.5483937995519081</v>
      </c>
      <c r="GX28" s="22">
        <f t="shared" si="28"/>
        <v>70.426719200886239</v>
      </c>
      <c r="GY28" s="62">
        <f t="shared" si="29"/>
        <v>357.64894142310845</v>
      </c>
      <c r="GZ28" s="62">
        <f ca="1">AVERAGE(OFFSET($GY$3,0,0,'Données projet'!$E$18+1,1))-AVERAGE(OFFSET($H$3,0,0,'Données projet'!$E$18+1,1))</f>
        <v>188.08607733149256</v>
      </c>
      <c r="HA28" s="62">
        <f t="shared" si="52"/>
        <v>119.95698016603842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7.7740000000000045</v>
      </c>
      <c r="D29" s="12">
        <f t="shared" si="32"/>
        <v>2.821795763742792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81.792107649944384</v>
      </c>
      <c r="H29" s="70">
        <f t="shared" si="1"/>
        <v>275.1210109551854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3.6</v>
      </c>
      <c r="N29" s="14">
        <f>IF('Données projet'!$A$36&gt;35,N28+M29-V28,IF(A29&lt;'Données projet'!$A$36,$K$205^A29,IF(A29='Données projet'!$A$36,'Données projet'!$B$36,N28+M29-V28)))</f>
        <v>39.6</v>
      </c>
      <c r="O29" s="14">
        <f>N29*VLOOKUP('Données projet'!$B$9,Paramètres!$A$1:$I$89,3,0)*VLOOKUP('Données projet'!$B$9,Paramètres!$A$1:$I$89,5,0)</f>
        <v>42.625439999999998</v>
      </c>
      <c r="P29" s="14">
        <f t="shared" si="33"/>
        <v>12.691924583898647</v>
      </c>
      <c r="Q29" s="22">
        <f t="shared" si="2"/>
        <v>96.344409983623464</v>
      </c>
      <c r="R29" s="62">
        <f t="shared" si="0"/>
        <v>384.78885442806791</v>
      </c>
      <c r="S29" s="62">
        <f ca="1">AVERAGE(OFFSET($R$3,0,0,'Données projet'!$E$9+1,1))-AVERAGE(OFFSET($H$3,0,0,'Données projet'!$E$9+1,1))</f>
        <v>236.98575892380046</v>
      </c>
      <c r="T29" s="62">
        <f t="shared" si="34"/>
        <v>145.77678223659774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5.6261538461538461</v>
      </c>
      <c r="AI29" s="14">
        <f>IF('Données projet'!$A$62&gt;35,AI28+AH29-AQ28,IF(A29&lt;'Données projet'!$A$62,$AF$205^A29,IF(A29='Données projet'!$A$62,'Données projet'!$B$62,AI28+AH29-AQ28)))</f>
        <v>64.164615384615388</v>
      </c>
      <c r="AJ29" s="14">
        <f>AI29*VLOOKUP('Données projet'!$B$10,Paramètres!$A$1:$I$89,3,0)*VLOOKUP('Données projet'!$B$10,Paramètres!$A$1:$I$89,5,0)</f>
        <v>37.536300000000004</v>
      </c>
      <c r="AK29" s="14">
        <f t="shared" si="35"/>
        <v>11.343246666320949</v>
      </c>
      <c r="AL29" s="22">
        <f t="shared" si="4"/>
        <v>85.131877110508995</v>
      </c>
      <c r="AM29" s="62">
        <f t="shared" si="5"/>
        <v>373.57632155495344</v>
      </c>
      <c r="AN29" s="62">
        <f ca="1">AVERAGE(OFFSET($AM$3,0,0,'Données projet'!$E$10+1,1))-AVERAGE(OFFSET($H$3,0,0,'Données projet'!$E$10+1,1))</f>
        <v>140.04898296125504</v>
      </c>
      <c r="AO29" s="62">
        <f t="shared" si="36"/>
        <v>129.5395511270716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3.4425641025641025</v>
      </c>
      <c r="BD29" s="13">
        <f>IF('Données projet'!$A$88&gt;35,BD28+BC29-BL28,IF(A29&lt;'Données projet'!$A$88,$BA$205^A29,IF(A29='Données projet'!$A$88,'Données projet'!$B$88,BD28+BC29-BL28)))</f>
        <v>55.650557381086244</v>
      </c>
      <c r="BE29" s="14">
        <f>BD29*VLOOKUP('Données projet'!$B$11,Paramètres!$A$1:$I$89,3,0)*VLOOKUP('Données projet'!$B$11,Paramètres!$A$1:$I$89,5,0)</f>
        <v>26.044460854348362</v>
      </c>
      <c r="BF29" s="14">
        <f t="shared" si="37"/>
        <v>8.2125526568599181</v>
      </c>
      <c r="BG29" s="22">
        <f t="shared" si="7"/>
        <v>59.664298532021071</v>
      </c>
      <c r="BH29" s="62">
        <f t="shared" si="8"/>
        <v>348.10874297646552</v>
      </c>
      <c r="BI29" s="62">
        <f ca="1">AVERAGE(OFFSET($BH$3,0,0,'Données projet'!$E$11+1,1))-AVERAGE(OFFSET($H$3,0,0,'Données projet'!$E$11+1,1))</f>
        <v>207.84100251878419</v>
      </c>
      <c r="BJ29" s="62">
        <f t="shared" si="38"/>
        <v>124.34917784241952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4.5</v>
      </c>
      <c r="BY29" s="13">
        <f>IF('Données projet'!$A$114&gt;35,BY28+BX29-CG28,IF(A29&lt;'Données projet'!$A$114,$BV$205^A29,IF(A29='Données projet'!$A$114,'Données projet'!$B$114,BY28+BX29-CG28)))</f>
        <v>113.89999999999999</v>
      </c>
      <c r="BZ29" s="14">
        <f>BY29*VLOOKUP('Données projet'!$B$12,Paramètres!$A$1:$I$89,3,0)*VLOOKUP('Données projet'!$B$12,Paramètres!$A$1:$I$89,5,0)</f>
        <v>59.228000000000002</v>
      </c>
      <c r="CA29" s="14">
        <f t="shared" si="39"/>
        <v>16.972936323405893</v>
      </c>
      <c r="CB29" s="22">
        <f t="shared" si="10"/>
        <v>132.71663076326527</v>
      </c>
      <c r="CC29" s="62">
        <f t="shared" si="11"/>
        <v>421.1610752077097</v>
      </c>
      <c r="CD29" s="62">
        <f ca="1">AVERAGE(OFFSET($CC$3,0,0,'Données projet'!$E$12+1,1))-AVERAGE(OFFSET($H$3,0,0,'Données projet'!$E$12+1,1))</f>
        <v>211.05980622218578</v>
      </c>
      <c r="CE29" s="62">
        <f t="shared" si="40"/>
        <v>168.57746894604855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1.9887500000000009</v>
      </c>
      <c r="CT29" s="13">
        <f>IF('Données projet'!$A$140&gt;35,CT28+CS29-DB28,IF(A29&lt;'Données projet'!$A$140,$CQ$205^A29,IF(A29='Données projet'!$A$140,'Données projet'!$B$140,CT28+CS29-DB28)))</f>
        <v>46.832500000000024</v>
      </c>
      <c r="CU29" s="18">
        <f>CT29*VLOOKUP('Données projet'!$B$13,Paramètres!$A$1:$I$89,3,0)*VLOOKUP('Données projet'!$B$13,Paramètres!$A$1:$I$89,5,0)</f>
        <v>53.951040000000027</v>
      </c>
      <c r="CV29" s="14">
        <f t="shared" si="41"/>
        <v>15.629572760496334</v>
      </c>
      <c r="CW29" s="22">
        <f t="shared" si="13"/>
        <v>121.18623389119783</v>
      </c>
      <c r="CX29" s="62">
        <f t="shared" si="14"/>
        <v>409.6306783356423</v>
      </c>
      <c r="CY29" s="62">
        <f ca="1">AVERAGE(OFFSET($CX$3,0,0,'Données projet'!$E$13+1,1))-AVERAGE(OFFSET($H$3,0,0,'Données projet'!$E$13+1,1))</f>
        <v>191.79777926975839</v>
      </c>
      <c r="CZ29" s="62">
        <f t="shared" si="42"/>
        <v>156.66161375678712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5.1959999999999997</v>
      </c>
      <c r="DO29" s="13">
        <f>IF('Données projet'!$A$166&gt;35,DO28+DN29-DW28,IF(A29&lt;'Données projet'!$A$166,$DL$205^A29,IF(A29='Données projet'!$A$166,'Données projet'!$B$166,DO28+DN29-DW28)))</f>
        <v>43.066000000000003</v>
      </c>
      <c r="DP29" s="18">
        <f>DO29*VLOOKUP('Données projet'!$B$14,Paramètres!$A$1:$I$89,3,0)*VLOOKUP('Données projet'!$B$14,Paramètres!$A$1:$I$89,5,0)</f>
        <v>47.028072000000002</v>
      </c>
      <c r="DQ29" s="14">
        <f t="shared" si="43"/>
        <v>13.843530573883823</v>
      </c>
      <c r="DR29" s="22">
        <f t="shared" si="16"/>
        <v>106.01804114951432</v>
      </c>
      <c r="DS29" s="62">
        <f t="shared" si="17"/>
        <v>394.46248559395877</v>
      </c>
      <c r="DT29" s="62">
        <f ca="1">AVERAGE(OFFSET($DS$3,0,0,'Données projet'!$E$14+1,1))-AVERAGE(OFFSET($H$3,0,0,'Données projet'!$E$14+1,1))</f>
        <v>541.0854688453461</v>
      </c>
      <c r="DU29" s="62">
        <f t="shared" si="44"/>
        <v>171.04847168584473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5</v>
      </c>
      <c r="EJ29" s="13">
        <f>IF('Données projet'!$A$192&gt;35,EJ28+EI29-ER28,IF(A29&lt;'Données projet'!$A$192,$EG$205^A29,IF(A29='Données projet'!$A$192,'Données projet'!$B$192,EJ28+EI29-ER28)))</f>
        <v>86.65192375368558</v>
      </c>
      <c r="EK29" s="18">
        <f>EJ29*VLOOKUP('Données projet'!$B$15,Paramètres!$A$1:$I$89,3,0)*VLOOKUP('Données projet'!$B$15,Paramètres!$A$1:$I$89,5,0)</f>
        <v>51.817850404703975</v>
      </c>
      <c r="EL29" s="14">
        <f t="shared" si="45"/>
        <v>15.082247261547371</v>
      </c>
      <c r="EM29" s="22">
        <f t="shared" si="19"/>
        <v>116.51767010205441</v>
      </c>
      <c r="EN29" s="62">
        <f t="shared" si="20"/>
        <v>404.96211454649887</v>
      </c>
      <c r="EO29" s="62">
        <f ca="1">AVERAGE(OFFSET($EN$3,0,0,'Données projet'!$E$15+1,1))-AVERAGE(OFFSET($H$3,0,0,'Données projet'!$E$15+1,1))</f>
        <v>244.01698421598974</v>
      </c>
      <c r="EP29" s="62">
        <f t="shared" si="46"/>
        <v>156.96653202915024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7.4</v>
      </c>
      <c r="FE29" s="13">
        <f>IF('Données projet'!$A$218&gt;35,FE28+FD29-FM28,IF(A29&lt;'Données projet'!$A$218,$FB$205^A29,IF(A29='Données projet'!$A$218,'Données projet'!$B$218,FE28+FD29-FM28)))</f>
        <v>63.400000000000006</v>
      </c>
      <c r="FF29" s="18">
        <f>FE29*VLOOKUP('Données projet'!$B$16,Paramètres!$A$1:$I$89,3,0)*VLOOKUP('Données projet'!$B$16,Paramètres!$A$1:$I$89,5,0)</f>
        <v>55.386240000000008</v>
      </c>
      <c r="FG29" s="14">
        <f t="shared" si="47"/>
        <v>15.996389447319554</v>
      </c>
      <c r="FH29" s="22">
        <f t="shared" si="22"/>
        <v>124.32474628741488</v>
      </c>
      <c r="FI29" s="62">
        <f t="shared" si="23"/>
        <v>412.76919073185934</v>
      </c>
      <c r="FJ29" s="62">
        <f ca="1">AVERAGE(OFFSET($FI$3,0,0,'Données projet'!$E$16+1,1))-AVERAGE(OFFSET($H$3,0,0,'Données projet'!$E$16+1,1))</f>
        <v>175.08726167127026</v>
      </c>
      <c r="FK29" s="62">
        <f t="shared" si="48"/>
        <v>196.05343924817117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5.2</v>
      </c>
      <c r="FZ29" s="13">
        <f>IF('Données projet'!$A$244&gt;35,FZ28+FY29-GH28,IF(A29&lt;'Données projet'!$A$244,$FW$205^A29,IF(A29='Données projet'!$A$244,'Données projet'!$B$244,FZ28+FY29-GH28)))</f>
        <v>68.200000000000031</v>
      </c>
      <c r="GA29" s="18">
        <f>FZ29*VLOOKUP('Données projet'!$B$17,Paramètres!$A$1:$I$89,3,0)*VLOOKUP('Données projet'!$B$17,Paramètres!$A$1:$I$89,5,0)</f>
        <v>44.684640000000023</v>
      </c>
      <c r="GB29" s="14">
        <f t="shared" si="49"/>
        <v>13.232195428322306</v>
      </c>
      <c r="GC29" s="22">
        <f t="shared" si="25"/>
        <v>100.87182170432806</v>
      </c>
      <c r="GD29" s="62">
        <f t="shared" si="26"/>
        <v>389.31626614877251</v>
      </c>
      <c r="GE29" s="62">
        <f ca="1">AVERAGE(OFFSET($GD$3,0,0,'Données projet'!$E$17+1,1))-AVERAGE(OFFSET($H$3,0,0,'Données projet'!$E$17+1,1))</f>
        <v>142.93037460866543</v>
      </c>
      <c r="GF29" s="62">
        <f t="shared" si="50"/>
        <v>146.18554498808049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3.6</v>
      </c>
      <c r="GU29" s="13">
        <f>IF('Données projet'!$A$270&gt;35,GU28+GT29-HC28,IF(A29&lt;'Données projet'!$A$270,$GR$205^A29,IF(A29='Données projet'!$A$270,'Données projet'!$B$270,GU28+GT29-HC28)))</f>
        <v>39.6</v>
      </c>
      <c r="GV29" s="18">
        <f>GU29*VLOOKUP('Données projet'!$B$18,Paramètres!$A$1:$I$89,3,0)*VLOOKUP('Données projet'!$B$18,Paramètres!$A$1:$I$89,5,0)</f>
        <v>33.976800000000004</v>
      </c>
      <c r="GW29" s="14">
        <f t="shared" si="51"/>
        <v>10.387353189434002</v>
      </c>
      <c r="GX29" s="22">
        <f t="shared" si="28"/>
        <v>77.267566804930894</v>
      </c>
      <c r="GY29" s="62">
        <f t="shared" si="29"/>
        <v>365.71201124937534</v>
      </c>
      <c r="GZ29" s="62">
        <f ca="1">AVERAGE(OFFSET($GY$3,0,0,'Données projet'!$E$18+1,1))-AVERAGE(OFFSET($H$3,0,0,'Données projet'!$E$18+1,1))</f>
        <v>188.08607733149256</v>
      </c>
      <c r="HA29" s="62">
        <f t="shared" si="52"/>
        <v>119.95698016603842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8.073000000000004</v>
      </c>
      <c r="D30" s="12">
        <f t="shared" si="32"/>
        <v>2.9174817556523975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84.838806534860637</v>
      </c>
      <c r="H30" s="70">
        <f t="shared" si="1"/>
        <v>275.80842239109461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3.6</v>
      </c>
      <c r="N30" s="14">
        <f>IF('Données projet'!$A$36&gt;35,N29+M30-V29,IF(A30&lt;'Données projet'!$A$36,$K$205^A30,IF(A30='Données projet'!$A$36,'Données projet'!$B$36,N29+M30-V29)))</f>
        <v>43.2</v>
      </c>
      <c r="O30" s="14">
        <f>N30*VLOOKUP('Données projet'!$B$9,Paramètres!$A$1:$I$89,3,0)*VLOOKUP('Données projet'!$B$9,Paramètres!$A$1:$I$89,5,0)</f>
        <v>46.500480000000003</v>
      </c>
      <c r="P30" s="14">
        <f t="shared" si="33"/>
        <v>13.706212324429247</v>
      </c>
      <c r="Q30" s="22">
        <f t="shared" si="2"/>
        <v>104.85998913171427</v>
      </c>
      <c r="R30" s="62">
        <f t="shared" si="0"/>
        <v>394.52665579838094</v>
      </c>
      <c r="S30" s="62">
        <f ca="1">AVERAGE(OFFSET($R$3,0,0,'Données projet'!$E$9+1,1))-AVERAGE(OFFSET($H$3,0,0,'Données projet'!$E$9+1,1))</f>
        <v>236.98575892380046</v>
      </c>
      <c r="T30" s="62">
        <f t="shared" si="34"/>
        <v>145.77678223659774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5.6261538461538461</v>
      </c>
      <c r="AI30" s="14">
        <f>IF('Données projet'!$A$62&gt;35,AI29+AH30-AQ29,IF(A30&lt;'Données projet'!$A$62,$AF$205^A30,IF(A30='Données projet'!$A$62,'Données projet'!$B$62,AI29+AH30-AQ29)))</f>
        <v>69.790769230769229</v>
      </c>
      <c r="AJ30" s="14">
        <f>AI30*VLOOKUP('Données projet'!$B$10,Paramètres!$A$1:$I$89,3,0)*VLOOKUP('Données projet'!$B$10,Paramètres!$A$1:$I$89,5,0)</f>
        <v>40.827599999999997</v>
      </c>
      <c r="AK30" s="14">
        <f t="shared" si="35"/>
        <v>12.217740250965957</v>
      </c>
      <c r="AL30" s="22">
        <f t="shared" si="4"/>
        <v>92.387300937099027</v>
      </c>
      <c r="AM30" s="62">
        <f t="shared" si="5"/>
        <v>382.05396760376573</v>
      </c>
      <c r="AN30" s="62">
        <f ca="1">AVERAGE(OFFSET($AM$3,0,0,'Données projet'!$E$10+1,1))-AVERAGE(OFFSET($H$3,0,0,'Données projet'!$E$10+1,1))</f>
        <v>140.04898296125504</v>
      </c>
      <c r="AO30" s="62">
        <f t="shared" si="36"/>
        <v>129.5395511270716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3.4425641025641025</v>
      </c>
      <c r="BD30" s="13">
        <f>IF('Données projet'!$A$88&gt;35,BD29+BC30-BL29,IF(A30&lt;'Données projet'!$A$88,$BA$205^A30,IF(A30='Données projet'!$A$88,'Données projet'!$B$88,BD29+BC30-BL29)))</f>
        <v>64.953560365747308</v>
      </c>
      <c r="BE30" s="14">
        <f>BD30*VLOOKUP('Données projet'!$B$11,Paramètres!$A$1:$I$89,3,0)*VLOOKUP('Données projet'!$B$11,Paramètres!$A$1:$I$89,5,0)</f>
        <v>30.398266251169741</v>
      </c>
      <c r="BF30" s="14">
        <f t="shared" si="37"/>
        <v>9.4145003824463398</v>
      </c>
      <c r="BG30" s="22">
        <f t="shared" si="7"/>
        <v>69.340568553547996</v>
      </c>
      <c r="BH30" s="62">
        <f t="shared" si="8"/>
        <v>359.00723522021468</v>
      </c>
      <c r="BI30" s="62">
        <f ca="1">AVERAGE(OFFSET($BH$3,0,0,'Données projet'!$E$11+1,1))-AVERAGE(OFFSET($H$3,0,0,'Données projet'!$E$11+1,1))</f>
        <v>207.84100251878419</v>
      </c>
      <c r="BJ30" s="62">
        <f t="shared" si="38"/>
        <v>124.34917784241952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4.5</v>
      </c>
      <c r="BY30" s="13">
        <f>IF('Données projet'!$A$114&gt;35,BY29+BX30-CG29,IF(A30&lt;'Données projet'!$A$114,$BV$205^A30,IF(A30='Données projet'!$A$114,'Données projet'!$B$114,BY29+BX30-CG29)))</f>
        <v>118.39999999999999</v>
      </c>
      <c r="BZ30" s="14">
        <f>BY30*VLOOKUP('Données projet'!$B$12,Paramètres!$A$1:$I$89,3,0)*VLOOKUP('Données projet'!$B$12,Paramètres!$A$1:$I$89,5,0)</f>
        <v>61.567999999999998</v>
      </c>
      <c r="CA30" s="14">
        <f t="shared" si="39"/>
        <v>17.564111423853156</v>
      </c>
      <c r="CB30" s="22">
        <f t="shared" si="10"/>
        <v>137.82176072987758</v>
      </c>
      <c r="CC30" s="62">
        <f t="shared" si="11"/>
        <v>427.48842739654424</v>
      </c>
      <c r="CD30" s="62">
        <f ca="1">AVERAGE(OFFSET($CC$3,0,0,'Données projet'!$E$12+1,1))-AVERAGE(OFFSET($H$3,0,0,'Données projet'!$E$12+1,1))</f>
        <v>211.05980622218578</v>
      </c>
      <c r="CE30" s="62">
        <f t="shared" si="40"/>
        <v>168.57746894604855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1.9887500000000009</v>
      </c>
      <c r="CT30" s="13">
        <f>IF('Données projet'!$A$140&gt;35,CT29+CS30-DB29,IF(A30&lt;'Données projet'!$A$140,$CQ$205^A30,IF(A30='Données projet'!$A$140,'Données projet'!$B$140,CT29+CS30-DB29)))</f>
        <v>48.821250000000028</v>
      </c>
      <c r="CU30" s="18">
        <f>CT30*VLOOKUP('Données projet'!$B$13,Paramètres!$A$1:$I$89,3,0)*VLOOKUP('Données projet'!$B$13,Paramètres!$A$1:$I$89,5,0)</f>
        <v>56.242080000000023</v>
      </c>
      <c r="CV30" s="14">
        <f t="shared" si="41"/>
        <v>16.214602064519848</v>
      </c>
      <c r="CW30" s="22">
        <f t="shared" si="13"/>
        <v>126.19538792903876</v>
      </c>
      <c r="CX30" s="62">
        <f t="shared" si="14"/>
        <v>415.86205459570544</v>
      </c>
      <c r="CY30" s="62">
        <f ca="1">AVERAGE(OFFSET($CX$3,0,0,'Données projet'!$E$13+1,1))-AVERAGE(OFFSET($H$3,0,0,'Données projet'!$E$13+1,1))</f>
        <v>191.79777926975839</v>
      </c>
      <c r="CZ30" s="62">
        <f t="shared" si="42"/>
        <v>156.66161375678712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5.1959999999999997</v>
      </c>
      <c r="DO30" s="13">
        <f>IF('Données projet'!$A$166&gt;35,DO29+DN30-DW29,IF(A30&lt;'Données projet'!$A$166,$DL$205^A30,IF(A30='Données projet'!$A$166,'Données projet'!$B$166,DO29+DN30-DW29)))</f>
        <v>48.262</v>
      </c>
      <c r="DP30" s="18">
        <f>DO30*VLOOKUP('Données projet'!$B$14,Paramètres!$A$1:$I$89,3,0)*VLOOKUP('Données projet'!$B$14,Paramètres!$A$1:$I$89,5,0)</f>
        <v>52.702104000000006</v>
      </c>
      <c r="DQ30" s="14">
        <f t="shared" si="43"/>
        <v>15.309437874296394</v>
      </c>
      <c r="DR30" s="22">
        <f t="shared" si="16"/>
        <v>118.45343543106621</v>
      </c>
      <c r="DS30" s="62">
        <f t="shared" si="17"/>
        <v>408.12010209773291</v>
      </c>
      <c r="DT30" s="62">
        <f ca="1">AVERAGE(OFFSET($DS$3,0,0,'Données projet'!$E$14+1,1))-AVERAGE(OFFSET($H$3,0,0,'Données projet'!$E$14+1,1))</f>
        <v>541.0854688453461</v>
      </c>
      <c r="DU30" s="62">
        <f t="shared" si="44"/>
        <v>171.04847168584473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5</v>
      </c>
      <c r="EJ30" s="13">
        <f>IF('Données projet'!$A$192&gt;35,EJ29+EI30-ER29,IF(A30&lt;'Données projet'!$A$192,$EG$205^A30,IF(A30='Données projet'!$A$192,'Données projet'!$B$192,EJ29+EI30-ER29)))</f>
        <v>102.87459536303965</v>
      </c>
      <c r="EK30" s="18">
        <f>EJ30*VLOOKUP('Données projet'!$B$15,Paramètres!$A$1:$I$89,3,0)*VLOOKUP('Données projet'!$B$15,Paramètres!$A$1:$I$89,5,0)</f>
        <v>61.519008027097712</v>
      </c>
      <c r="EL30" s="14">
        <f t="shared" si="45"/>
        <v>17.551761283532294</v>
      </c>
      <c r="EM30" s="22">
        <f t="shared" si="19"/>
        <v>137.71492321601389</v>
      </c>
      <c r="EN30" s="62">
        <f t="shared" si="20"/>
        <v>427.3815898826806</v>
      </c>
      <c r="EO30" s="62">
        <f ca="1">AVERAGE(OFFSET($EN$3,0,0,'Données projet'!$E$15+1,1))-AVERAGE(OFFSET($H$3,0,0,'Données projet'!$E$15+1,1))</f>
        <v>244.01698421598974</v>
      </c>
      <c r="EP30" s="62">
        <f t="shared" si="46"/>
        <v>156.96653202915024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7.4</v>
      </c>
      <c r="FE30" s="13">
        <f>IF('Données projet'!$A$218&gt;35,FE29+FD30-FM29,IF(A30&lt;'Données projet'!$A$218,$FB$205^A30,IF(A30='Données projet'!$A$218,'Données projet'!$B$218,FE29+FD30-FM29)))</f>
        <v>70.800000000000011</v>
      </c>
      <c r="FF30" s="18">
        <f>FE30*VLOOKUP('Données projet'!$B$16,Paramètres!$A$1:$I$89,3,0)*VLOOKUP('Données projet'!$B$16,Paramètres!$A$1:$I$89,5,0)</f>
        <v>61.850880000000018</v>
      </c>
      <c r="FG30" s="14">
        <f t="shared" si="47"/>
        <v>17.635398883369188</v>
      </c>
      <c r="FH30" s="22">
        <f t="shared" si="22"/>
        <v>138.43860238853472</v>
      </c>
      <c r="FI30" s="62">
        <f t="shared" si="23"/>
        <v>428.1052690552014</v>
      </c>
      <c r="FJ30" s="62">
        <f ca="1">AVERAGE(OFFSET($FI$3,0,0,'Données projet'!$E$16+1,1))-AVERAGE(OFFSET($H$3,0,0,'Données projet'!$E$16+1,1))</f>
        <v>175.08726167127026</v>
      </c>
      <c r="FK30" s="62">
        <f t="shared" si="48"/>
        <v>196.05343924817117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5.2</v>
      </c>
      <c r="FZ30" s="13">
        <f>IF('Données projet'!$A$244&gt;35,FZ29+FY30-GH29,IF(A30&lt;'Données projet'!$A$244,$FW$205^A30,IF(A30='Données projet'!$A$244,'Données projet'!$B$244,FZ29+FY30-GH29)))</f>
        <v>73.400000000000034</v>
      </c>
      <c r="GA30" s="18">
        <f>FZ30*VLOOKUP('Données projet'!$B$17,Paramètres!$A$1:$I$89,3,0)*VLOOKUP('Données projet'!$B$17,Paramètres!$A$1:$I$89,5,0)</f>
        <v>48.091680000000025</v>
      </c>
      <c r="GB30" s="14">
        <f t="shared" si="49"/>
        <v>14.119817111769661</v>
      </c>
      <c r="GC30" s="22">
        <f t="shared" si="25"/>
        <v>108.35169080299886</v>
      </c>
      <c r="GD30" s="62">
        <f t="shared" si="26"/>
        <v>398.01835746966555</v>
      </c>
      <c r="GE30" s="62">
        <f ca="1">AVERAGE(OFFSET($GD$3,0,0,'Données projet'!$E$17+1,1))-AVERAGE(OFFSET($H$3,0,0,'Données projet'!$E$17+1,1))</f>
        <v>142.93037460866543</v>
      </c>
      <c r="GF30" s="62">
        <f t="shared" si="50"/>
        <v>146.18554498808049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3.6</v>
      </c>
      <c r="GU30" s="13">
        <f>IF('Données projet'!$A$270&gt;35,GU29+GT30-HC29,IF(A30&lt;'Données projet'!$A$270,$GR$205^A30,IF(A30='Données projet'!$A$270,'Données projet'!$B$270,GU29+GT30-HC29)))</f>
        <v>43.2</v>
      </c>
      <c r="GV30" s="18">
        <f>GU30*VLOOKUP('Données projet'!$B$18,Paramètres!$A$1:$I$89,3,0)*VLOOKUP('Données projet'!$B$18,Paramètres!$A$1:$I$89,5,0)</f>
        <v>37.065600000000011</v>
      </c>
      <c r="GW30" s="14">
        <f t="shared" si="51"/>
        <v>11.217468821382392</v>
      </c>
      <c r="GX30" s="22">
        <f t="shared" si="28"/>
        <v>84.093011530574344</v>
      </c>
      <c r="GY30" s="62">
        <f t="shared" si="29"/>
        <v>373.75967819724104</v>
      </c>
      <c r="GZ30" s="62">
        <f ca="1">AVERAGE(OFFSET($GY$3,0,0,'Données projet'!$E$18+1,1))-AVERAGE(OFFSET($H$3,0,0,'Données projet'!$E$18+1,1))</f>
        <v>188.08607733149256</v>
      </c>
      <c r="HA30" s="62">
        <f t="shared" si="52"/>
        <v>119.95698016603842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8.3720000000000034</v>
      </c>
      <c r="D31" s="12">
        <f t="shared" si="32"/>
        <v>3.0127560231104051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87.882327195939993</v>
      </c>
      <c r="H31" s="70">
        <f t="shared" si="1"/>
        <v>276.49511674025064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3.6</v>
      </c>
      <c r="N31" s="14">
        <f>IF('Données projet'!$A$36&gt;35,N30+M31-V30,IF(A31&lt;'Données projet'!$A$36,$K$205^A31,IF(A31='Données projet'!$A$36,'Données projet'!$B$36,N30+M31-V30)))</f>
        <v>46.800000000000004</v>
      </c>
      <c r="O31" s="14">
        <f>N31*VLOOKUP('Données projet'!$B$9,Paramètres!$A$1:$I$89,3,0)*VLOOKUP('Données projet'!$B$9,Paramètres!$A$1:$I$89,5,0)</f>
        <v>50.375520000000002</v>
      </c>
      <c r="P31" s="14">
        <f t="shared" si="33"/>
        <v>14.710697068688855</v>
      </c>
      <c r="Q31" s="22">
        <f t="shared" si="2"/>
        <v>113.3584947279664</v>
      </c>
      <c r="R31" s="62">
        <f t="shared" si="0"/>
        <v>404.24738361685525</v>
      </c>
      <c r="S31" s="62">
        <f ca="1">AVERAGE(OFFSET($R$3,0,0,'Données projet'!$E$9+1,1))-AVERAGE(OFFSET($H$3,0,0,'Données projet'!$E$9+1,1))</f>
        <v>236.98575892380046</v>
      </c>
      <c r="T31" s="62">
        <f t="shared" si="34"/>
        <v>145.77678223659774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5.6261538461538461</v>
      </c>
      <c r="AI31" s="14">
        <f>IF('Données projet'!$A$62&gt;35,AI30+AH31-AQ30,IF(A31&lt;'Données projet'!$A$62,$AF$205^A31,IF(A31='Données projet'!$A$62,'Données projet'!$B$62,AI30+AH31-AQ30)))</f>
        <v>75.416923076923069</v>
      </c>
      <c r="AJ31" s="14">
        <f>AI31*VLOOKUP('Données projet'!$B$10,Paramètres!$A$1:$I$89,3,0)*VLOOKUP('Données projet'!$B$10,Paramètres!$A$1:$I$89,5,0)</f>
        <v>44.118900000000004</v>
      </c>
      <c r="AK31" s="14">
        <f t="shared" si="35"/>
        <v>13.084057029220077</v>
      </c>
      <c r="AL31" s="22">
        <f t="shared" si="4"/>
        <v>99.628483492558303</v>
      </c>
      <c r="AM31" s="62">
        <f t="shared" si="5"/>
        <v>390.51737238144716</v>
      </c>
      <c r="AN31" s="62">
        <f ca="1">AVERAGE(OFFSET($AM$3,0,0,'Données projet'!$E$10+1,1))-AVERAGE(OFFSET($H$3,0,0,'Données projet'!$E$10+1,1))</f>
        <v>140.04898296125504</v>
      </c>
      <c r="AO31" s="62">
        <f t="shared" si="36"/>
        <v>129.5395511270716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3.4425641025641025</v>
      </c>
      <c r="BD31" s="13">
        <f>IF('Données projet'!$A$88&gt;35,BD30+BC31-BL30,IF(A31&lt;'Données projet'!$A$88,$BA$205^A31,IF(A31='Données projet'!$A$88,'Données projet'!$B$88,BD30+BC31-BL30)))</f>
        <v>75.81172952673181</v>
      </c>
      <c r="BE31" s="14">
        <f>BD31*VLOOKUP('Données projet'!$B$11,Paramètres!$A$1:$I$89,3,0)*VLOOKUP('Données projet'!$B$11,Paramètres!$A$1:$I$89,5,0)</f>
        <v>35.479889418510488</v>
      </c>
      <c r="BF31" s="14">
        <f t="shared" si="37"/>
        <v>10.7923591061602</v>
      </c>
      <c r="BG31" s="22">
        <f t="shared" si="7"/>
        <v>80.590832847134777</v>
      </c>
      <c r="BH31" s="62">
        <f t="shared" si="8"/>
        <v>371.47972173602363</v>
      </c>
      <c r="BI31" s="62">
        <f ca="1">AVERAGE(OFFSET($BH$3,0,0,'Données projet'!$E$11+1,1))-AVERAGE(OFFSET($H$3,0,0,'Données projet'!$E$11+1,1))</f>
        <v>207.84100251878419</v>
      </c>
      <c r="BJ31" s="62">
        <f t="shared" si="38"/>
        <v>124.34917784241952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4.5</v>
      </c>
      <c r="BY31" s="13">
        <f>IF('Données projet'!$A$114&gt;35,BY30+BX31-CG30,IF(A31&lt;'Données projet'!$A$114,$BV$205^A31,IF(A31='Données projet'!$A$114,'Données projet'!$B$114,BY30+BX31-CG30)))</f>
        <v>122.89999999999999</v>
      </c>
      <c r="BZ31" s="14">
        <f>BY31*VLOOKUP('Données projet'!$B$12,Paramètres!$A$1:$I$89,3,0)*VLOOKUP('Données projet'!$B$12,Paramètres!$A$1:$I$89,5,0)</f>
        <v>63.908000000000001</v>
      </c>
      <c r="CA31" s="14">
        <f t="shared" si="39"/>
        <v>18.152676286503855</v>
      </c>
      <c r="CB31" s="22">
        <f t="shared" si="10"/>
        <v>142.92234453232751</v>
      </c>
      <c r="CC31" s="62">
        <f t="shared" si="11"/>
        <v>433.81123342121634</v>
      </c>
      <c r="CD31" s="62">
        <f ca="1">AVERAGE(OFFSET($CC$3,0,0,'Données projet'!$E$12+1,1))-AVERAGE(OFFSET($H$3,0,0,'Données projet'!$E$12+1,1))</f>
        <v>211.05980622218578</v>
      </c>
      <c r="CE31" s="62">
        <f t="shared" si="40"/>
        <v>168.57746894604855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1.9887500000000009</v>
      </c>
      <c r="CT31" s="13">
        <f>IF('Données projet'!$A$140&gt;35,CT30+CS31-DB30,IF(A31&lt;'Données projet'!$A$140,$CQ$205^A31,IF(A31='Données projet'!$A$140,'Données projet'!$B$140,CT30+CS31-DB30)))</f>
        <v>50.810000000000031</v>
      </c>
      <c r="CU31" s="18">
        <f>CT31*VLOOKUP('Données projet'!$B$13,Paramètres!$A$1:$I$89,3,0)*VLOOKUP('Données projet'!$B$13,Paramètres!$A$1:$I$89,5,0)</f>
        <v>58.533120000000032</v>
      </c>
      <c r="CV31" s="14">
        <f t="shared" si="41"/>
        <v>16.79686315525263</v>
      </c>
      <c r="CW31" s="22">
        <f t="shared" si="13"/>
        <v>131.19972066206506</v>
      </c>
      <c r="CX31" s="62">
        <f t="shared" si="14"/>
        <v>422.08860955095395</v>
      </c>
      <c r="CY31" s="62">
        <f ca="1">AVERAGE(OFFSET($CX$3,0,0,'Données projet'!$E$13+1,1))-AVERAGE(OFFSET($H$3,0,0,'Données projet'!$E$13+1,1))</f>
        <v>191.79777926975839</v>
      </c>
      <c r="CZ31" s="62">
        <f t="shared" si="42"/>
        <v>156.66161375678712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5.1959999999999997</v>
      </c>
      <c r="DO31" s="13">
        <f>IF('Données projet'!$A$166&gt;35,DO30+DN31-DW30,IF(A31&lt;'Données projet'!$A$166,$DL$205^A31,IF(A31='Données projet'!$A$166,'Données projet'!$B$166,DO30+DN31-DW30)))</f>
        <v>53.457999999999998</v>
      </c>
      <c r="DP31" s="18">
        <f>DO31*VLOOKUP('Données projet'!$B$14,Paramètres!$A$1:$I$89,3,0)*VLOOKUP('Données projet'!$B$14,Paramètres!$A$1:$I$89,5,0)</f>
        <v>58.376135999999988</v>
      </c>
      <c r="DQ31" s="14">
        <f t="shared" si="43"/>
        <v>16.757051937708432</v>
      </c>
      <c r="DR31" s="22">
        <f t="shared" si="16"/>
        <v>130.85696899150881</v>
      </c>
      <c r="DS31" s="62">
        <f t="shared" si="17"/>
        <v>421.74585788039769</v>
      </c>
      <c r="DT31" s="62">
        <f ca="1">AVERAGE(OFFSET($DS$3,0,0,'Données projet'!$E$14+1,1))-AVERAGE(OFFSET($H$3,0,0,'Données projet'!$E$14+1,1))</f>
        <v>541.0854688453461</v>
      </c>
      <c r="DU31" s="62">
        <f t="shared" si="44"/>
        <v>171.04847168584473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5</v>
      </c>
      <c r="EJ31" s="13">
        <f>IF('Données projet'!$A$192&gt;35,EJ30+EI31-ER30,IF(A31&lt;'Données projet'!$A$192,$EG$205^A31,IF(A31='Données projet'!$A$192,'Données projet'!$B$192,EJ30+EI31-ER30)))</f>
        <v>122.13441909486748</v>
      </c>
      <c r="EK31" s="18">
        <f>EJ31*VLOOKUP('Données projet'!$B$15,Paramètres!$A$1:$I$89,3,0)*VLOOKUP('Données projet'!$B$15,Paramètres!$A$1:$I$89,5,0)</f>
        <v>73.036382618730755</v>
      </c>
      <c r="EL31" s="14">
        <f t="shared" si="45"/>
        <v>20.425624829764068</v>
      </c>
      <c r="EM31" s="22">
        <f t="shared" si="19"/>
        <v>162.77966297279517</v>
      </c>
      <c r="EN31" s="62">
        <f t="shared" si="20"/>
        <v>453.66855186168402</v>
      </c>
      <c r="EO31" s="62">
        <f ca="1">AVERAGE(OFFSET($EN$3,0,0,'Données projet'!$E$15+1,1))-AVERAGE(OFFSET($H$3,0,0,'Données projet'!$E$15+1,1))</f>
        <v>244.01698421598974</v>
      </c>
      <c r="EP31" s="62">
        <f t="shared" si="46"/>
        <v>156.96653202915024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7.4</v>
      </c>
      <c r="FE31" s="13">
        <f>IF('Données projet'!$A$218&gt;35,FE30+FD31-FM30,IF(A31&lt;'Données projet'!$A$218,$FB$205^A31,IF(A31='Données projet'!$A$218,'Données projet'!$B$218,FE30+FD31-FM30)))</f>
        <v>78.200000000000017</v>
      </c>
      <c r="FF31" s="18">
        <f>FE31*VLOOKUP('Données projet'!$B$16,Paramètres!$A$1:$I$89,3,0)*VLOOKUP('Données projet'!$B$16,Paramètres!$A$1:$I$89,5,0)</f>
        <v>68.315520000000021</v>
      </c>
      <c r="FG31" s="14">
        <f t="shared" si="47"/>
        <v>19.254550643039188</v>
      </c>
      <c r="FH31" s="22">
        <f t="shared" si="22"/>
        <v>152.51787303662658</v>
      </c>
      <c r="FI31" s="62">
        <f t="shared" si="23"/>
        <v>443.40676192551541</v>
      </c>
      <c r="FJ31" s="62">
        <f ca="1">AVERAGE(OFFSET($FI$3,0,0,'Données projet'!$E$16+1,1))-AVERAGE(OFFSET($H$3,0,0,'Données projet'!$E$16+1,1))</f>
        <v>175.08726167127026</v>
      </c>
      <c r="FK31" s="62">
        <f t="shared" si="48"/>
        <v>196.05343924817117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5.2</v>
      </c>
      <c r="FZ31" s="13">
        <f>IF('Données projet'!$A$244&gt;35,FZ30+FY31-GH30,IF(A31&lt;'Données projet'!$A$244,$FW$205^A31,IF(A31='Données projet'!$A$244,'Données projet'!$B$244,FZ30+FY31-GH30)))</f>
        <v>78.600000000000037</v>
      </c>
      <c r="GA31" s="18">
        <f>FZ31*VLOOKUP('Données projet'!$B$17,Paramètres!$A$1:$I$89,3,0)*VLOOKUP('Données projet'!$B$17,Paramètres!$A$1:$I$89,5,0)</f>
        <v>51.498720000000027</v>
      </c>
      <c r="GB31" s="14">
        <f t="shared" si="49"/>
        <v>15.000142839101374</v>
      </c>
      <c r="GC31" s="22">
        <f t="shared" si="25"/>
        <v>115.8188527781016</v>
      </c>
      <c r="GD31" s="62">
        <f t="shared" si="26"/>
        <v>406.70774166699044</v>
      </c>
      <c r="GE31" s="62">
        <f ca="1">AVERAGE(OFFSET($GD$3,0,0,'Données projet'!$E$17+1,1))-AVERAGE(OFFSET($H$3,0,0,'Données projet'!$E$17+1,1))</f>
        <v>142.93037460866543</v>
      </c>
      <c r="GF31" s="62">
        <f t="shared" si="50"/>
        <v>146.18554498808049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3.6</v>
      </c>
      <c r="GU31" s="13">
        <f>IF('Données projet'!$A$270&gt;35,GU30+GT31-HC30,IF(A31&lt;'Données projet'!$A$270,$GR$205^A31,IF(A31='Données projet'!$A$270,'Données projet'!$B$270,GU30+GT31-HC30)))</f>
        <v>46.800000000000004</v>
      </c>
      <c r="GV31" s="18">
        <f>GU31*VLOOKUP('Données projet'!$B$18,Paramètres!$A$1:$I$89,3,0)*VLOOKUP('Données projet'!$B$18,Paramètres!$A$1:$I$89,5,0)</f>
        <v>40.15440000000001</v>
      </c>
      <c r="GW31" s="14">
        <f t="shared" si="51"/>
        <v>12.039561463286329</v>
      </c>
      <c r="GX31" s="22">
        <f t="shared" si="28"/>
        <v>90.904482881890374</v>
      </c>
      <c r="GY31" s="62">
        <f t="shared" si="29"/>
        <v>381.79337177077923</v>
      </c>
      <c r="GZ31" s="62">
        <f ca="1">AVERAGE(OFFSET($GY$3,0,0,'Données projet'!$E$18+1,1))-AVERAGE(OFFSET($H$3,0,0,'Données projet'!$E$18+1,1))</f>
        <v>188.08607733149256</v>
      </c>
      <c r="HA31" s="62">
        <f t="shared" si="52"/>
        <v>119.95698016603842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8.6710000000000029</v>
      </c>
      <c r="D32" s="12">
        <f t="shared" si="32"/>
        <v>3.1076349551691478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90.922796145165378</v>
      </c>
      <c r="H32" s="70">
        <f t="shared" si="1"/>
        <v>277.1811225469196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3.6</v>
      </c>
      <c r="N32" s="14">
        <f>IF('Données projet'!$A$36&gt;35,N31+M32-V31,IF(A32&lt;'Données projet'!$A$36,$K$205^A32,IF(A32='Données projet'!$A$36,'Données projet'!$B$36,N31+M32-V31)))</f>
        <v>50.400000000000006</v>
      </c>
      <c r="O32" s="14">
        <f>N32*VLOOKUP('Données projet'!$B$9,Paramètres!$A$1:$I$89,3,0)*VLOOKUP('Données projet'!$B$9,Paramètres!$A$1:$I$89,5,0)</f>
        <v>54.250560000000007</v>
      </c>
      <c r="P32" s="14">
        <f t="shared" si="33"/>
        <v>15.706218631166928</v>
      </c>
      <c r="Q32" s="22">
        <f t="shared" si="2"/>
        <v>121.84138944928242</v>
      </c>
      <c r="R32" s="62">
        <f t="shared" si="0"/>
        <v>413.95250056039356</v>
      </c>
      <c r="S32" s="62">
        <f ca="1">AVERAGE(OFFSET($R$3,0,0,'Données projet'!$E$9+1,1))-AVERAGE(OFFSET($H$3,0,0,'Données projet'!$E$9+1,1))</f>
        <v>236.98575892380046</v>
      </c>
      <c r="T32" s="62">
        <f t="shared" si="34"/>
        <v>145.77678223659774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5.6261538461538461</v>
      </c>
      <c r="AI32" s="14">
        <f>IF('Données projet'!$A$62&gt;35,AI31+AH32-AQ31,IF(A32&lt;'Données projet'!$A$62,$AF$205^A32,IF(A32='Données projet'!$A$62,'Données projet'!$B$62,AI31+AH32-AQ31)))</f>
        <v>81.04307692307691</v>
      </c>
      <c r="AJ32" s="14">
        <f>AI32*VLOOKUP('Données projet'!$B$10,Paramètres!$A$1:$I$89,3,0)*VLOOKUP('Données projet'!$B$10,Paramètres!$A$1:$I$89,5,0)</f>
        <v>47.410199999999996</v>
      </c>
      <c r="AK32" s="14">
        <f t="shared" si="35"/>
        <v>13.94287635938028</v>
      </c>
      <c r="AL32" s="22">
        <f t="shared" si="4"/>
        <v>106.85660799258731</v>
      </c>
      <c r="AM32" s="62">
        <f t="shared" si="5"/>
        <v>398.96771910369847</v>
      </c>
      <c r="AN32" s="62">
        <f ca="1">AVERAGE(OFFSET($AM$3,0,0,'Données projet'!$E$10+1,1))-AVERAGE(OFFSET($H$3,0,0,'Données projet'!$E$10+1,1))</f>
        <v>140.04898296125504</v>
      </c>
      <c r="AO32" s="62">
        <f t="shared" si="36"/>
        <v>129.5395511270716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3.4425641025641025</v>
      </c>
      <c r="BD32" s="13">
        <f>IF('Données projet'!$A$88&gt;35,BD31+BC32-BL31,IF(A32&lt;'Données projet'!$A$88,$BA$205^A32,IF(A32='Données projet'!$A$88,'Données projet'!$B$88,BD31+BC32-BL31)))</f>
        <v>88.485039179856727</v>
      </c>
      <c r="BE32" s="14">
        <f>BD32*VLOOKUP('Données projet'!$B$11,Paramètres!$A$1:$I$89,3,0)*VLOOKUP('Données projet'!$B$11,Paramètres!$A$1:$I$89,5,0)</f>
        <v>41.410998336172952</v>
      </c>
      <c r="BF32" s="14">
        <f t="shared" si="37"/>
        <v>12.371874273168087</v>
      </c>
      <c r="BG32" s="22">
        <f t="shared" si="7"/>
        <v>93.671836461268967</v>
      </c>
      <c r="BH32" s="62">
        <f t="shared" si="8"/>
        <v>385.78294757238012</v>
      </c>
      <c r="BI32" s="62">
        <f ca="1">AVERAGE(OFFSET($BH$3,0,0,'Données projet'!$E$11+1,1))-AVERAGE(OFFSET($H$3,0,0,'Données projet'!$E$11+1,1))</f>
        <v>207.84100251878419</v>
      </c>
      <c r="BJ32" s="62">
        <f t="shared" si="38"/>
        <v>124.34917784241952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4.5</v>
      </c>
      <c r="BY32" s="13">
        <f>IF('Données projet'!$A$114&gt;35,BY31+BX32-CG31,IF(A32&lt;'Données projet'!$A$114,$BV$205^A32,IF(A32='Données projet'!$A$114,'Données projet'!$B$114,BY31+BX32-CG31)))</f>
        <v>127.39999999999999</v>
      </c>
      <c r="BZ32" s="14">
        <f>BY32*VLOOKUP('Données projet'!$B$12,Paramètres!$A$1:$I$89,3,0)*VLOOKUP('Données projet'!$B$12,Paramètres!$A$1:$I$89,5,0)</f>
        <v>66.248000000000005</v>
      </c>
      <c r="CA32" s="14">
        <f t="shared" si="39"/>
        <v>18.738737431772371</v>
      </c>
      <c r="CB32" s="22">
        <f t="shared" si="10"/>
        <v>148.01856769367024</v>
      </c>
      <c r="CC32" s="62">
        <f t="shared" si="11"/>
        <v>440.12967880478141</v>
      </c>
      <c r="CD32" s="62">
        <f ca="1">AVERAGE(OFFSET($CC$3,0,0,'Données projet'!$E$12+1,1))-AVERAGE(OFFSET($H$3,0,0,'Données projet'!$E$12+1,1))</f>
        <v>211.05980622218578</v>
      </c>
      <c r="CE32" s="62">
        <f t="shared" si="40"/>
        <v>168.57746894604855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1.9887500000000009</v>
      </c>
      <c r="CT32" s="13">
        <f>IF('Données projet'!$A$140&gt;35,CT31+CS32-DB31,IF(A32&lt;'Données projet'!$A$140,$CQ$205^A32,IF(A32='Données projet'!$A$140,'Données projet'!$B$140,CT31+CS32-DB31)))</f>
        <v>52.798750000000034</v>
      </c>
      <c r="CU32" s="18">
        <f>CT32*VLOOKUP('Données projet'!$B$13,Paramètres!$A$1:$I$89,3,0)*VLOOKUP('Données projet'!$B$13,Paramètres!$A$1:$I$89,5,0)</f>
        <v>60.824160000000035</v>
      </c>
      <c r="CV32" s="14">
        <f t="shared" si="41"/>
        <v>17.376476782758175</v>
      </c>
      <c r="CW32" s="22">
        <f t="shared" si="13"/>
        <v>136.19944239663721</v>
      </c>
      <c r="CX32" s="62">
        <f t="shared" si="14"/>
        <v>428.31055350774835</v>
      </c>
      <c r="CY32" s="62">
        <f ca="1">AVERAGE(OFFSET($CX$3,0,0,'Données projet'!$E$13+1,1))-AVERAGE(OFFSET($H$3,0,0,'Données projet'!$E$13+1,1))</f>
        <v>191.79777926975839</v>
      </c>
      <c r="CZ32" s="62">
        <f t="shared" si="42"/>
        <v>156.66161375678712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5.1959999999999997</v>
      </c>
      <c r="DO32" s="13">
        <f>IF('Données projet'!$A$166&gt;35,DO31+DN32-DW31,IF(A32&lt;'Données projet'!$A$166,$DL$205^A32,IF(A32='Données projet'!$A$166,'Données projet'!$B$166,DO31+DN32-DW31)))</f>
        <v>58.653999999999996</v>
      </c>
      <c r="DP32" s="18">
        <f>DO32*VLOOKUP('Données projet'!$B$14,Paramètres!$A$1:$I$89,3,0)*VLOOKUP('Données projet'!$B$14,Paramètres!$A$1:$I$89,5,0)</f>
        <v>64.050167999999985</v>
      </c>
      <c r="DQ32" s="14">
        <f t="shared" si="43"/>
        <v>18.188353161956105</v>
      </c>
      <c r="DR32" s="22">
        <f t="shared" si="16"/>
        <v>143.23209102374017</v>
      </c>
      <c r="DS32" s="62">
        <f t="shared" si="17"/>
        <v>435.34320213485131</v>
      </c>
      <c r="DT32" s="62">
        <f ca="1">AVERAGE(OFFSET($DS$3,0,0,'Données projet'!$E$14+1,1))-AVERAGE(OFFSET($H$3,0,0,'Données projet'!$E$14+1,1))</f>
        <v>541.0854688453461</v>
      </c>
      <c r="DU32" s="62">
        <f t="shared" si="44"/>
        <v>171.04847168584473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>
        <f>VLOOKUP(A32,'Données projet'!$A$191:$I$211,2,0)</f>
        <v>145</v>
      </c>
      <c r="EH32" s="13">
        <f>VLOOKUP(A32,'Données projet'!$A$191:$I$211,9,0)</f>
        <v>5</v>
      </c>
      <c r="EI32" s="13">
        <f t="array" ref="EI32">INDEX(EH:EH,MIN(IF(ISNUMBER(EH32:EH228),ROW(EH32:EH228),"")))</f>
        <v>5</v>
      </c>
      <c r="EJ32" s="13">
        <f>IF('Données projet'!$A$192&gt;35,EJ31+EI32-ER31,IF(A32&lt;'Données projet'!$A$192,$EG$205^A32,IF(A32='Données projet'!$A$192,'Données projet'!$B$192,EJ31+EI32-ER31)))</f>
        <v>145</v>
      </c>
      <c r="EK32" s="18">
        <f>EJ32*VLOOKUP('Données projet'!$B$15,Paramètres!$A$1:$I$89,3,0)*VLOOKUP('Données projet'!$B$15,Paramètres!$A$1:$I$89,5,0)</f>
        <v>86.710000000000008</v>
      </c>
      <c r="EL32" s="14">
        <f t="shared" si="45"/>
        <v>23.770044666555087</v>
      </c>
      <c r="EM32" s="22">
        <f t="shared" si="19"/>
        <v>192.41941112758346</v>
      </c>
      <c r="EN32" s="62">
        <f t="shared" si="20"/>
        <v>484.53052223869463</v>
      </c>
      <c r="EO32" s="62">
        <f ca="1">AVERAGE(OFFSET($EN$3,0,0,'Données projet'!$E$15+1,1))-AVERAGE(OFFSET($H$3,0,0,'Données projet'!$E$15+1,1))</f>
        <v>244.01698421598974</v>
      </c>
      <c r="EP32" s="62">
        <f t="shared" si="46"/>
        <v>156.96653202915024</v>
      </c>
      <c r="EQ32" s="16">
        <f>IF(ISNA(VLOOKUP(A32,'Données projet'!$A$191:$I$211,3,0)),0,VLOOKUP(A32,'Données projet'!$A$191:$I$211,3,0))</f>
        <v>1</v>
      </c>
      <c r="ER32" s="16">
        <f>IF(ISNA(VLOOKUP(A32,'Données projet'!$A$191:$I$211,4,0)),0,VLOOKUP(A32,'Données projet'!$A$191:$I$211,4,0))</f>
        <v>52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9.0000000000000011E-2</v>
      </c>
      <c r="EU32" s="17">
        <f>IF(ISNA(VLOOKUP(A32,'Données projet'!$A$191:$I$211,7,0)),0%,VLOOKUP(A32,'Données projet'!$A$191:$I$211,7,0))</f>
        <v>0.4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3.6979585198884344</v>
      </c>
      <c r="EX32" s="23">
        <f>EXP(-LN(2)/2)*EX31+(1-EXP(-LN(2)/2))/(LN(2)/2)*ER32*EU32*VLOOKUP('Données projet'!$B$15,Paramètres!$A$1:$I$89,3,0)*0.475*44/12</f>
        <v>14.083158209553192</v>
      </c>
      <c r="EY32" s="24">
        <f t="shared" si="21"/>
        <v>17.781116729441628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7.4</v>
      </c>
      <c r="FE32" s="13">
        <f>IF('Données projet'!$A$218&gt;35,FE31+FD32-FM31,IF(A32&lt;'Données projet'!$A$218,$FB$205^A32,IF(A32='Données projet'!$A$218,'Données projet'!$B$218,FE31+FD32-FM31)))</f>
        <v>85.600000000000023</v>
      </c>
      <c r="FF32" s="18">
        <f>FE32*VLOOKUP('Données projet'!$B$16,Paramètres!$A$1:$I$89,3,0)*VLOOKUP('Données projet'!$B$16,Paramètres!$A$1:$I$89,5,0)</f>
        <v>74.780160000000024</v>
      </c>
      <c r="FG32" s="14">
        <f t="shared" si="47"/>
        <v>20.85593761602691</v>
      </c>
      <c r="FH32" s="22">
        <f t="shared" si="22"/>
        <v>166.56620334791356</v>
      </c>
      <c r="FI32" s="62">
        <f t="shared" si="23"/>
        <v>458.67731445902473</v>
      </c>
      <c r="FJ32" s="62">
        <f ca="1">AVERAGE(OFFSET($FI$3,0,0,'Données projet'!$E$16+1,1))-AVERAGE(OFFSET($H$3,0,0,'Données projet'!$E$16+1,1))</f>
        <v>175.08726167127026</v>
      </c>
      <c r="FK32" s="62">
        <f t="shared" si="48"/>
        <v>196.05343924817117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5.2</v>
      </c>
      <c r="FZ32" s="13">
        <f>IF('Données projet'!$A$244&gt;35,FZ31+FY32-GH31,IF(A32&lt;'Données projet'!$A$244,$FW$205^A32,IF(A32='Données projet'!$A$244,'Données projet'!$B$244,FZ31+FY32-GH31)))</f>
        <v>83.80000000000004</v>
      </c>
      <c r="GA32" s="18">
        <f>FZ32*VLOOKUP('Données projet'!$B$17,Paramètres!$A$1:$I$89,3,0)*VLOOKUP('Données projet'!$B$17,Paramètres!$A$1:$I$89,5,0)</f>
        <v>54.905760000000022</v>
      </c>
      <c r="GB32" s="14">
        <f t="shared" si="49"/>
        <v>15.873710219448874</v>
      </c>
      <c r="GC32" s="22">
        <f t="shared" si="25"/>
        <v>123.27424396554015</v>
      </c>
      <c r="GD32" s="62">
        <f t="shared" si="26"/>
        <v>415.38535507665131</v>
      </c>
      <c r="GE32" s="62">
        <f ca="1">AVERAGE(OFFSET($GD$3,0,0,'Données projet'!$E$17+1,1))-AVERAGE(OFFSET($H$3,0,0,'Données projet'!$E$17+1,1))</f>
        <v>142.93037460866543</v>
      </c>
      <c r="GF32" s="62">
        <f t="shared" si="50"/>
        <v>146.18554498808049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3.6</v>
      </c>
      <c r="GU32" s="13">
        <f>IF('Données projet'!$A$270&gt;35,GU31+GT32-HC31,IF(A32&lt;'Données projet'!$A$270,$GR$205^A32,IF(A32='Données projet'!$A$270,'Données projet'!$B$270,GU31+GT32-HC31)))</f>
        <v>50.400000000000006</v>
      </c>
      <c r="GV32" s="18">
        <f>GU32*VLOOKUP('Données projet'!$B$18,Paramètres!$A$1:$I$89,3,0)*VLOOKUP('Données projet'!$B$18,Paramètres!$A$1:$I$89,5,0)</f>
        <v>43.243200000000009</v>
      </c>
      <c r="GW32" s="14">
        <f t="shared" si="51"/>
        <v>12.854318437990987</v>
      </c>
      <c r="GX32" s="22">
        <f t="shared" si="28"/>
        <v>97.703177946167656</v>
      </c>
      <c r="GY32" s="62">
        <f t="shared" si="29"/>
        <v>389.81428905727881</v>
      </c>
      <c r="GZ32" s="62">
        <f ca="1">AVERAGE(OFFSET($GY$3,0,0,'Données projet'!$E$18+1,1))-AVERAGE(OFFSET($H$3,0,0,'Données projet'!$E$18+1,1))</f>
        <v>188.08607733149256</v>
      </c>
      <c r="HA32" s="62">
        <f t="shared" si="52"/>
        <v>119.95698016603842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8.9700000000000024</v>
      </c>
      <c r="D33" s="12">
        <f t="shared" si="32"/>
        <v>3.2021337464957664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93.960330674704196</v>
      </c>
      <c r="H33" s="70">
        <f t="shared" si="1"/>
        <v>277.86646627514682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54</v>
      </c>
      <c r="L33" s="13">
        <f>VLOOKUP(A33,'Données projet'!$A$35:$I$55,9,0)</f>
        <v>3.6</v>
      </c>
      <c r="M33" s="13">
        <f t="array" ref="M33">INDEX(L:L,MIN(IF(ISNUMBER(L33:L229),ROW(L33:L229),"")))</f>
        <v>3.6</v>
      </c>
      <c r="N33" s="14">
        <f>IF('Données projet'!$A$36&gt;35,N32+M33-V32,IF(A33&lt;'Données projet'!$A$36,$K$205^A33,IF(A33='Données projet'!$A$36,'Données projet'!$B$36,N32+M33-V32)))</f>
        <v>54.000000000000007</v>
      </c>
      <c r="O33" s="14">
        <f>N33*VLOOKUP('Données projet'!$B$9,Paramètres!$A$1:$I$89,3,0)*VLOOKUP('Données projet'!$B$9,Paramètres!$A$1:$I$89,5,0)</f>
        <v>58.125600000000013</v>
      </c>
      <c r="P33" s="14">
        <f t="shared" si="33"/>
        <v>16.693490054590175</v>
      </c>
      <c r="Q33" s="22">
        <f t="shared" si="2"/>
        <v>130.30991517841125</v>
      </c>
      <c r="R33" s="62">
        <f t="shared" si="0"/>
        <v>423.64324851174456</v>
      </c>
      <c r="S33" s="62">
        <f ca="1">AVERAGE(OFFSET($R$3,0,0,'Données projet'!$E$9+1,1))-AVERAGE(OFFSET($H$3,0,0,'Données projet'!$E$9+1,1))</f>
        <v>236.98575892380046</v>
      </c>
      <c r="T33" s="62">
        <f t="shared" si="34"/>
        <v>145.77678223659774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86.669230769230765</v>
      </c>
      <c r="AG33" s="13">
        <f>VLOOKUP(A33,'Données projet'!$A$61:$I$81,9,0)</f>
        <v>5.6261538461538461</v>
      </c>
      <c r="AH33" s="13">
        <f t="array" ref="AH33">INDEX(AG:AG,MIN(IF(ISNUMBER(AG33:AG229),ROW(AG33:AG229),"")))</f>
        <v>5.6261538461538461</v>
      </c>
      <c r="AI33" s="14">
        <f>IF('Données projet'!$A$62&gt;35,AI32+AH33-AQ32,IF(A33&lt;'Données projet'!$A$62,$AF$205^A33,IF(A33='Données projet'!$A$62,'Données projet'!$B$62,AI32+AH33-AQ32)))</f>
        <v>86.669230769230751</v>
      </c>
      <c r="AJ33" s="14">
        <f>AI33*VLOOKUP('Données projet'!$B$10,Paramètres!$A$1:$I$89,3,0)*VLOOKUP('Données projet'!$B$10,Paramètres!$A$1:$I$89,5,0)</f>
        <v>50.701499999999996</v>
      </c>
      <c r="AK33" s="14">
        <f t="shared" si="35"/>
        <v>14.794777934288117</v>
      </c>
      <c r="AL33" s="22">
        <f t="shared" si="4"/>
        <v>114.07268406888512</v>
      </c>
      <c r="AM33" s="62">
        <f t="shared" si="5"/>
        <v>407.40601740221842</v>
      </c>
      <c r="AN33" s="62">
        <f ca="1">AVERAGE(OFFSET($AM$3,0,0,'Données projet'!$E$10+1,1))-AVERAGE(OFFSET($H$3,0,0,'Données projet'!$E$10+1,1))</f>
        <v>140.04898296125504</v>
      </c>
      <c r="AO33" s="62">
        <f t="shared" si="36"/>
        <v>129.5395511270716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103.27692307692307</v>
      </c>
      <c r="BB33" s="13">
        <f>VLOOKUP(A33,'Données projet'!$A$87:$I$107,9,0)</f>
        <v>3.4425641025641025</v>
      </c>
      <c r="BC33" s="13">
        <f t="array" ref="BC33">INDEX(BB:BB,MIN(IF(ISNUMBER(BB33:BB229),ROW(BB33:BB229),"")))</f>
        <v>3.4425641025641025</v>
      </c>
      <c r="BD33" s="13">
        <f>IF('Données projet'!$A$88&gt;35,BD32+BC33-BL32,IF(A33&lt;'Données projet'!$A$88,$BA$205^A33,IF(A33='Données projet'!$A$88,'Données projet'!$B$88,BD32+BC33-BL32)))</f>
        <v>103.27692307692307</v>
      </c>
      <c r="BE33" s="14">
        <f>BD33*VLOOKUP('Données projet'!$B$11,Paramètres!$A$1:$I$89,3,0)*VLOOKUP('Données projet'!$B$11,Paramètres!$A$1:$I$89,5,0)</f>
        <v>48.333599999999997</v>
      </c>
      <c r="BF33" s="14">
        <f t="shared" si="37"/>
        <v>14.182559301951969</v>
      </c>
      <c r="BG33" s="22">
        <f t="shared" si="7"/>
        <v>108.88231078423301</v>
      </c>
      <c r="BH33" s="62">
        <f t="shared" si="8"/>
        <v>402.21564411756634</v>
      </c>
      <c r="BI33" s="62">
        <f ca="1">AVERAGE(OFFSET($BH$3,0,0,'Données projet'!$E$11+1,1))-AVERAGE(OFFSET($H$3,0,0,'Données projet'!$E$11+1,1))</f>
        <v>207.84100251878419</v>
      </c>
      <c r="BJ33" s="62">
        <f t="shared" si="38"/>
        <v>124.34917784241952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131.9</v>
      </c>
      <c r="BW33" s="13">
        <f>VLOOKUP(A33,'Données projet'!$A$113:$I$133,9,0)</f>
        <v>4.5</v>
      </c>
      <c r="BX33" s="13">
        <f t="array" ref="BX33">INDEX(BW:BW,MIN(IF(ISNUMBER(BW33:BW229),ROW(BW33:BW229),"")))</f>
        <v>4.5</v>
      </c>
      <c r="BY33" s="13">
        <f>IF('Données projet'!$A$114&gt;35,BY32+BX33-CG32,IF(A33&lt;'Données projet'!$A$114,$BV$205^A33,IF(A33='Données projet'!$A$114,'Données projet'!$B$114,BY32+BX33-CG32)))</f>
        <v>131.89999999999998</v>
      </c>
      <c r="BZ33" s="14">
        <f>BY33*VLOOKUP('Données projet'!$B$12,Paramètres!$A$1:$I$89,3,0)*VLOOKUP('Données projet'!$B$12,Paramètres!$A$1:$I$89,5,0)</f>
        <v>68.587999999999994</v>
      </c>
      <c r="CA33" s="14">
        <f t="shared" si="39"/>
        <v>19.322393428437586</v>
      </c>
      <c r="CB33" s="22">
        <f t="shared" si="10"/>
        <v>153.11060188786209</v>
      </c>
      <c r="CC33" s="62">
        <f t="shared" si="11"/>
        <v>446.44393522119537</v>
      </c>
      <c r="CD33" s="62">
        <f ca="1">AVERAGE(OFFSET($CC$3,0,0,'Données projet'!$E$12+1,1))-AVERAGE(OFFSET($H$3,0,0,'Données projet'!$E$12+1,1))</f>
        <v>211.05980622218578</v>
      </c>
      <c r="CE33" s="62">
        <f t="shared" si="40"/>
        <v>168.57746894604855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54.787500000000009</v>
      </c>
      <c r="CR33" s="13">
        <f>VLOOKUP(A33,'Données projet'!$A$139:$I$159,9,0)</f>
        <v>1.9887500000000009</v>
      </c>
      <c r="CS33" s="13">
        <f t="array" ref="CS33">INDEX(CR:CR,MIN(IF(ISNUMBER(CR33:CR229),ROW(CR33:CR229),"")))</f>
        <v>1.9887500000000009</v>
      </c>
      <c r="CT33" s="13">
        <f>IF('Données projet'!$A$140&gt;35,CT32+CS33-DB32,IF(A33&lt;'Données projet'!$A$140,$CQ$205^A33,IF(A33='Données projet'!$A$140,'Données projet'!$B$140,CT32+CS33-DB32)))</f>
        <v>54.787500000000037</v>
      </c>
      <c r="CU33" s="18">
        <f>CT33*VLOOKUP('Données projet'!$B$13,Paramètres!$A$1:$I$89,3,0)*VLOOKUP('Données projet'!$B$13,Paramètres!$A$1:$I$89,5,0)</f>
        <v>63.115200000000037</v>
      </c>
      <c r="CV33" s="14">
        <f t="shared" si="41"/>
        <v>17.953554085320896</v>
      </c>
      <c r="CW33" s="22">
        <f t="shared" si="13"/>
        <v>141.19474669860062</v>
      </c>
      <c r="CX33" s="62">
        <f t="shared" si="14"/>
        <v>434.52808003193394</v>
      </c>
      <c r="CY33" s="62">
        <f ca="1">AVERAGE(OFFSET($CX$3,0,0,'Données projet'!$E$13+1,1))-AVERAGE(OFFSET($H$3,0,0,'Données projet'!$E$13+1,1))</f>
        <v>191.79777926975839</v>
      </c>
      <c r="CZ33" s="62">
        <f t="shared" si="42"/>
        <v>156.66161375678712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11.375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5.1959999999999997</v>
      </c>
      <c r="DO33" s="13">
        <f>IF('Données projet'!$A$166&gt;35,DO32+DN33-DW32,IF(A33&lt;'Données projet'!$A$166,$DL$205^A33,IF(A33='Données projet'!$A$166,'Données projet'!$B$166,DO32+DN33-DW32)))</f>
        <v>63.849999999999994</v>
      </c>
      <c r="DP33" s="18">
        <f>DO33*VLOOKUP('Données projet'!$B$14,Paramètres!$A$1:$I$89,3,0)*VLOOKUP('Données projet'!$B$14,Paramètres!$A$1:$I$89,5,0)</f>
        <v>69.724199999999996</v>
      </c>
      <c r="DQ33" s="14">
        <f t="shared" si="43"/>
        <v>19.604950982387521</v>
      </c>
      <c r="DR33" s="22">
        <f t="shared" si="16"/>
        <v>155.58160462765827</v>
      </c>
      <c r="DS33" s="62">
        <f t="shared" si="17"/>
        <v>448.91493796099155</v>
      </c>
      <c r="DT33" s="62">
        <f ca="1">AVERAGE(OFFSET($DS$3,0,0,'Données projet'!$E$14+1,1))-AVERAGE(OFFSET($H$3,0,0,'Données projet'!$E$14+1,1))</f>
        <v>541.0854688453461</v>
      </c>
      <c r="DU33" s="62">
        <f t="shared" si="44"/>
        <v>171.04847168584473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12.777777777777779</v>
      </c>
      <c r="EJ33" s="13">
        <f>IF('Données projet'!$A$192&gt;35,EJ32+EI33-ER32,IF(A33&lt;'Données projet'!$A$192,$EG$205^A33,IF(A33='Données projet'!$A$192,'Données projet'!$B$192,EJ32+EI33-ER32)))</f>
        <v>105.77777777777777</v>
      </c>
      <c r="EK33" s="18">
        <f>EJ33*VLOOKUP('Données projet'!$B$15,Paramètres!$A$1:$I$89,3,0)*VLOOKUP('Données projet'!$B$15,Paramètres!$A$1:$I$89,5,0)</f>
        <v>63.255111111111106</v>
      </c>
      <c r="EL33" s="14">
        <f t="shared" si="45"/>
        <v>17.988715666475738</v>
      </c>
      <c r="EM33" s="22">
        <f t="shared" si="19"/>
        <v>141.49966497096375</v>
      </c>
      <c r="EN33" s="62">
        <f t="shared" si="20"/>
        <v>434.83299830429706</v>
      </c>
      <c r="EO33" s="62">
        <f ca="1">AVERAGE(OFFSET($EN$3,0,0,'Données projet'!$E$15+1,1))-AVERAGE(OFFSET($H$3,0,0,'Données projet'!$E$15+1,1))</f>
        <v>244.01698421598974</v>
      </c>
      <c r="EP33" s="62">
        <f t="shared" si="46"/>
        <v>156.96653202915024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3.5968376496948982</v>
      </c>
      <c r="EX33" s="23">
        <f>EXP(-LN(2)/2)*EX32+(1-EXP(-LN(2)/2))/(LN(2)/2)*ER33*EU33*VLOOKUP('Données projet'!$B$15,Paramètres!$A$1:$I$89,3,0)*0.475*44/12</f>
        <v>9.9582966704980596</v>
      </c>
      <c r="EY33" s="24">
        <f t="shared" si="21"/>
        <v>13.555134320192957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93</v>
      </c>
      <c r="FC33" s="13">
        <f>VLOOKUP(A33,'Données projet'!$A$217:$I$237,9,0)</f>
        <v>7.4</v>
      </c>
      <c r="FD33" s="13">
        <f t="array" ref="FD33">INDEX(FC:FC,MIN(IF(ISNUMBER(FC33:FC229),ROW(FC33:FC229),"")))</f>
        <v>7.4</v>
      </c>
      <c r="FE33" s="13">
        <f>IF('Données projet'!$A$218&gt;35,FE32+FD33-FM32,IF(A33&lt;'Données projet'!$A$218,$FB$205^A33,IF(A33='Données projet'!$A$218,'Données projet'!$B$218,FE32+FD33-FM32)))</f>
        <v>93.000000000000028</v>
      </c>
      <c r="FF33" s="18">
        <f>FE33*VLOOKUP('Données projet'!$B$16,Paramètres!$A$1:$I$89,3,0)*VLOOKUP('Données projet'!$B$16,Paramètres!$A$1:$I$89,5,0)</f>
        <v>81.244800000000026</v>
      </c>
      <c r="FG33" s="14">
        <f t="shared" si="47"/>
        <v>22.441270156928962</v>
      </c>
      <c r="FH33" s="22">
        <f t="shared" si="22"/>
        <v>180.58657218998465</v>
      </c>
      <c r="FI33" s="62">
        <f t="shared" si="23"/>
        <v>473.91990552331799</v>
      </c>
      <c r="FJ33" s="62">
        <f ca="1">AVERAGE(OFFSET($FI$3,0,0,'Données projet'!$E$16+1,1))-AVERAGE(OFFSET($H$3,0,0,'Données projet'!$E$16+1,1))</f>
        <v>175.08726167127026</v>
      </c>
      <c r="FK33" s="62">
        <f t="shared" si="48"/>
        <v>196.05343924817117</v>
      </c>
      <c r="FL33" s="16">
        <f>IF(ISNA(VLOOKUP(A33,'Données projet'!$A$217:$I$237,3,0)),0,VLOOKUP(A33,'Données projet'!$A$217:$I$237,3,0))</f>
        <v>1</v>
      </c>
      <c r="FM33" s="16">
        <f>IF(ISNA(VLOOKUP(A33,'Données projet'!$A$217:$I$237,4,0)),0,VLOOKUP(A33,'Données projet'!$A$217:$I$237,4,0))</f>
        <v>31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89</v>
      </c>
      <c r="FX33" s="13">
        <f>VLOOKUP(A33,'Données projet'!$A$243:$I$263,9,0)</f>
        <v>5.2</v>
      </c>
      <c r="FY33" s="13">
        <f t="array" ref="FY33">INDEX(FX:FX,MIN(IF(ISNUMBER(FX33:FX229),ROW(FX33:FX229),"")))</f>
        <v>5.2</v>
      </c>
      <c r="FZ33" s="13">
        <f>IF('Données projet'!$A$244&gt;35,FZ32+FY33-GH32,IF(A33&lt;'Données projet'!$A$244,$FW$205^A33,IF(A33='Données projet'!$A$244,'Données projet'!$B$244,FZ32+FY33-GH32)))</f>
        <v>89.000000000000043</v>
      </c>
      <c r="GA33" s="18">
        <f>FZ33*VLOOKUP('Données projet'!$B$17,Paramètres!$A$1:$I$89,3,0)*VLOOKUP('Données projet'!$B$17,Paramètres!$A$1:$I$89,5,0)</f>
        <v>58.312800000000031</v>
      </c>
      <c r="GB33" s="14">
        <f t="shared" si="49"/>
        <v>16.740986371230964</v>
      </c>
      <c r="GC33" s="22">
        <f t="shared" si="25"/>
        <v>130.71867792989397</v>
      </c>
      <c r="GD33" s="62">
        <f t="shared" si="26"/>
        <v>424.05201126322731</v>
      </c>
      <c r="GE33" s="62">
        <f ca="1">AVERAGE(OFFSET($GD$3,0,0,'Données projet'!$E$17+1,1))-AVERAGE(OFFSET($H$3,0,0,'Données projet'!$E$17+1,1))</f>
        <v>142.93037460866543</v>
      </c>
      <c r="GF33" s="62">
        <f t="shared" si="50"/>
        <v>146.18554498808049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54</v>
      </c>
      <c r="GS33" s="13">
        <f>VLOOKUP(A33,'Données projet'!$A$269:$I$289,9,0)</f>
        <v>3.6</v>
      </c>
      <c r="GT33" s="13">
        <f t="array" ref="GT33">INDEX(GS:GS,MIN(IF(ISNUMBER(GS33:GS229),ROW(GS33:GS229),"")))</f>
        <v>3.6</v>
      </c>
      <c r="GU33" s="13">
        <f>IF('Données projet'!$A$270&gt;35,GU32+GT33-HC32,IF(A33&lt;'Données projet'!$A$270,$GR$205^A33,IF(A33='Données projet'!$A$270,'Données projet'!$B$270,GU32+GT33-HC32)))</f>
        <v>54.000000000000007</v>
      </c>
      <c r="GV33" s="18">
        <f>GU33*VLOOKUP('Données projet'!$B$18,Paramètres!$A$1:$I$89,3,0)*VLOOKUP('Données projet'!$B$18,Paramètres!$A$1:$I$89,5,0)</f>
        <v>46.332000000000015</v>
      </c>
      <c r="GW33" s="14">
        <f t="shared" si="51"/>
        <v>13.662323315513067</v>
      </c>
      <c r="GX33" s="22">
        <f t="shared" si="28"/>
        <v>104.49011310785194</v>
      </c>
      <c r="GY33" s="62">
        <f t="shared" si="29"/>
        <v>397.82344644118524</v>
      </c>
      <c r="GZ33" s="62">
        <f ca="1">AVERAGE(OFFSET($GY$3,0,0,'Données projet'!$E$18+1,1))-AVERAGE(OFFSET($H$3,0,0,'Données projet'!$E$18+1,1))</f>
        <v>188.08607733149256</v>
      </c>
      <c r="HA33" s="62">
        <f t="shared" si="52"/>
        <v>119.95698016603842</v>
      </c>
      <c r="HB33" s="16">
        <f>IF(ISNA(VLOOKUP(A33,'Données projet'!$A$269:$I$289,3,0)),0,VLOOKUP(A33,'Données projet'!$A$269:$I$289,3,0))</f>
        <v>1</v>
      </c>
      <c r="HC33" s="16">
        <f>IF(ISNA(VLOOKUP(A33,'Données projet'!$A$269:$I$289,4,0)),0,VLOOKUP(A33,'Données projet'!$A$269:$I$289,4,0))</f>
        <v>9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9.2690000000000019</v>
      </c>
      <c r="D34" s="12">
        <f t="shared" si="32"/>
        <v>3.296266521298354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96.995039813531164</v>
      </c>
      <c r="H34" s="70">
        <f t="shared" si="1"/>
        <v>278.55117252459468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3.6</v>
      </c>
      <c r="N34" s="14">
        <f>IF('Données projet'!$A$36&gt;35,N33+M34-V33,IF(A34&lt;'Données projet'!$A$36,$K$205^A34,IF(A34='Données projet'!$A$36,'Données projet'!$B$36,N33+M34-V33)))</f>
        <v>48.600000000000009</v>
      </c>
      <c r="O34" s="14">
        <f>N34*VLOOKUP('Données projet'!$B$9,Paramètres!$A$1:$I$89,3,0)*VLOOKUP('Données projet'!$B$9,Paramètres!$A$1:$I$89,5,0)</f>
        <v>52.313040000000008</v>
      </c>
      <c r="P34" s="14">
        <f t="shared" si="33"/>
        <v>15.209531059010045</v>
      </c>
      <c r="Q34" s="22">
        <f t="shared" si="2"/>
        <v>117.60181126110916</v>
      </c>
      <c r="R34" s="62">
        <f t="shared" si="0"/>
        <v>410.93514459444248</v>
      </c>
      <c r="S34" s="62">
        <f ca="1">AVERAGE(OFFSET($R$3,0,0,'Données projet'!$E$9+1,1))-AVERAGE(OFFSET($H$3,0,0,'Données projet'!$E$9+1,1))</f>
        <v>236.98575892380046</v>
      </c>
      <c r="T34" s="62">
        <f t="shared" si="34"/>
        <v>145.77678223659774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6.5333333333333341</v>
      </c>
      <c r="AI34" s="14">
        <f>IF('Données projet'!$A$62&gt;35,AI33+AH34-AQ33,IF(A34&lt;'Données projet'!$A$62,$AF$205^A34,IF(A34='Données projet'!$A$62,'Données projet'!$B$62,AI33+AH34-AQ33)))</f>
        <v>93.202564102564082</v>
      </c>
      <c r="AJ34" s="14">
        <f>AI34*VLOOKUP('Données projet'!$B$10,Paramètres!$A$1:$I$89,3,0)*VLOOKUP('Données projet'!$B$10,Paramètres!$A$1:$I$89,5,0)</f>
        <v>54.523499999999991</v>
      </c>
      <c r="AK34" s="14">
        <f t="shared" si="35"/>
        <v>15.776019906965951</v>
      </c>
      <c r="AL34" s="22">
        <f t="shared" si="4"/>
        <v>122.43833050463235</v>
      </c>
      <c r="AM34" s="62">
        <f t="shared" si="5"/>
        <v>415.77166383796566</v>
      </c>
      <c r="AN34" s="62">
        <f ca="1">AVERAGE(OFFSET($AM$3,0,0,'Données projet'!$E$10+1,1))-AVERAGE(OFFSET($H$3,0,0,'Données projet'!$E$10+1,1))</f>
        <v>140.04898296125504</v>
      </c>
      <c r="AO34" s="62">
        <f t="shared" si="36"/>
        <v>129.5395511270716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8.9230769230769198</v>
      </c>
      <c r="BD34" s="13">
        <f>IF('Données projet'!$A$88&gt;35,BD33+BC34-BL33,IF(A34&lt;'Données projet'!$A$88,$BA$205^A34,IF(A34='Données projet'!$A$88,'Données projet'!$B$88,BD33+BC34-BL33)))</f>
        <v>112.19999999999999</v>
      </c>
      <c r="BE34" s="14">
        <f>BD34*VLOOKUP('Données projet'!$B$11,Paramètres!$A$1:$I$89,3,0)*VLOOKUP('Données projet'!$B$11,Paramètres!$A$1:$I$89,5,0)</f>
        <v>52.509599999999999</v>
      </c>
      <c r="BF34" s="14">
        <f t="shared" si="37"/>
        <v>15.260016001659478</v>
      </c>
      <c r="BG34" s="22">
        <f t="shared" si="7"/>
        <v>118.03208120289025</v>
      </c>
      <c r="BH34" s="62">
        <f t="shared" si="8"/>
        <v>411.36541453622357</v>
      </c>
      <c r="BI34" s="62">
        <f ca="1">AVERAGE(OFFSET($BH$3,0,0,'Données projet'!$E$11+1,1))-AVERAGE(OFFSET($H$3,0,0,'Données projet'!$E$11+1,1))</f>
        <v>207.84100251878419</v>
      </c>
      <c r="BJ34" s="62">
        <f t="shared" si="38"/>
        <v>124.34917784241952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4.2199999999999989</v>
      </c>
      <c r="BY34" s="13">
        <f>IF('Données projet'!$A$114&gt;35,BY33+BX34-CG33,IF(A34&lt;'Données projet'!$A$114,$BV$205^A34,IF(A34='Données projet'!$A$114,'Données projet'!$B$114,BY33+BX34-CG33)))</f>
        <v>136.11999999999998</v>
      </c>
      <c r="BZ34" s="14">
        <f>BY34*VLOOKUP('Données projet'!$B$12,Paramètres!$A$1:$I$89,3,0)*VLOOKUP('Données projet'!$B$12,Paramètres!$A$1:$I$89,5,0)</f>
        <v>70.782399999999996</v>
      </c>
      <c r="CA34" s="14">
        <f t="shared" si="39"/>
        <v>19.867629196840106</v>
      </c>
      <c r="CB34" s="22">
        <f t="shared" si="10"/>
        <v>157.88213418449652</v>
      </c>
      <c r="CC34" s="62">
        <f t="shared" si="11"/>
        <v>451.21546751782984</v>
      </c>
      <c r="CD34" s="62">
        <f ca="1">AVERAGE(OFFSET($CC$3,0,0,'Données projet'!$E$12+1,1))-AVERAGE(OFFSET($H$3,0,0,'Données projet'!$E$12+1,1))</f>
        <v>211.05980622218578</v>
      </c>
      <c r="CE34" s="62">
        <f t="shared" si="40"/>
        <v>168.57746894604855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1.9254166666666663</v>
      </c>
      <c r="CT34" s="13">
        <f>IF('Données projet'!$A$140&gt;35,CT33+CS34-DB33,IF(A34&lt;'Données projet'!$A$140,$CQ$205^A34,IF(A34='Données projet'!$A$140,'Données projet'!$B$140,CT33+CS34-DB33)))</f>
        <v>45.3379166666667</v>
      </c>
      <c r="CU34" s="18">
        <f>CT34*VLOOKUP('Données projet'!$B$13,Paramètres!$A$1:$I$89,3,0)*VLOOKUP('Données projet'!$B$13,Paramètres!$A$1:$I$89,5,0)</f>
        <v>52.229280000000031</v>
      </c>
      <c r="CV34" s="14">
        <f t="shared" si="41"/>
        <v>15.188011234079523</v>
      </c>
      <c r="CW34" s="22">
        <f t="shared" si="13"/>
        <v>117.41844889935521</v>
      </c>
      <c r="CX34" s="62">
        <f t="shared" si="14"/>
        <v>410.75178223268853</v>
      </c>
      <c r="CY34" s="62">
        <f ca="1">AVERAGE(OFFSET($CX$3,0,0,'Données projet'!$E$13+1,1))-AVERAGE(OFFSET($H$3,0,0,'Données projet'!$E$13+1,1))</f>
        <v>191.79777926975839</v>
      </c>
      <c r="CZ34" s="62">
        <f t="shared" si="42"/>
        <v>156.66161375678712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5.1959999999999997</v>
      </c>
      <c r="DO34" s="13">
        <f>IF('Données projet'!$A$166&gt;35,DO33+DN34-DW33,IF(A34&lt;'Données projet'!$A$166,$DL$205^A34,IF(A34='Données projet'!$A$166,'Données projet'!$B$166,DO33+DN34-DW33)))</f>
        <v>69.045999999999992</v>
      </c>
      <c r="DP34" s="18">
        <f>DO34*VLOOKUP('Données projet'!$B$14,Paramètres!$A$1:$I$89,3,0)*VLOOKUP('Données projet'!$B$14,Paramètres!$A$1:$I$89,5,0)</f>
        <v>75.398231999999993</v>
      </c>
      <c r="DQ34" s="14">
        <f t="shared" si="43"/>
        <v>21.00817797007592</v>
      </c>
      <c r="DR34" s="22">
        <f t="shared" si="16"/>
        <v>167.90783069788219</v>
      </c>
      <c r="DS34" s="62">
        <f t="shared" si="17"/>
        <v>461.24116403121548</v>
      </c>
      <c r="DT34" s="62">
        <f ca="1">AVERAGE(OFFSET($DS$3,0,0,'Données projet'!$E$14+1,1))-AVERAGE(OFFSET($H$3,0,0,'Données projet'!$E$14+1,1))</f>
        <v>541.0854688453461</v>
      </c>
      <c r="DU34" s="62">
        <f t="shared" si="44"/>
        <v>171.04847168584473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12.777777777777779</v>
      </c>
      <c r="EJ34" s="13">
        <f>IF('Données projet'!$A$192&gt;35,EJ33+EI34-ER33,IF(A34&lt;'Données projet'!$A$192,$EG$205^A34,IF(A34='Données projet'!$A$192,'Données projet'!$B$192,EJ33+EI34-ER33)))</f>
        <v>118.55555555555554</v>
      </c>
      <c r="EK34" s="18">
        <f>EJ34*VLOOKUP('Données projet'!$B$15,Paramètres!$A$1:$I$89,3,0)*VLOOKUP('Données projet'!$B$15,Paramètres!$A$1:$I$89,5,0)</f>
        <v>70.896222222222221</v>
      </c>
      <c r="EL34" s="14">
        <f t="shared" si="45"/>
        <v>19.895856078765743</v>
      </c>
      <c r="EM34" s="22">
        <f t="shared" si="19"/>
        <v>158.12953637422072</v>
      </c>
      <c r="EN34" s="62">
        <f t="shared" si="20"/>
        <v>451.46286970755403</v>
      </c>
      <c r="EO34" s="62">
        <f ca="1">AVERAGE(OFFSET($EN$3,0,0,'Données projet'!$E$15+1,1))-AVERAGE(OFFSET($H$3,0,0,'Données projet'!$E$15+1,1))</f>
        <v>244.01698421598974</v>
      </c>
      <c r="EP34" s="62">
        <f t="shared" si="46"/>
        <v>156.96653202915024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3.49848193501452</v>
      </c>
      <c r="EX34" s="23">
        <f>EXP(-LN(2)/2)*EX33+(1-EXP(-LN(2)/2))/(LN(2)/2)*ER34*EU34*VLOOKUP('Données projet'!$B$15,Paramètres!$A$1:$I$89,3,0)*0.475*44/12</f>
        <v>7.0415791047765968</v>
      </c>
      <c r="EY34" s="24">
        <f t="shared" si="21"/>
        <v>10.540061039791116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6.6</v>
      </c>
      <c r="FE34" s="13">
        <f>IF('Données projet'!$A$218&gt;35,FE33+FD34-FM33,IF(A34&lt;'Données projet'!$A$218,$FB$205^A34,IF(A34='Données projet'!$A$218,'Données projet'!$B$218,FE33+FD34-FM33)))</f>
        <v>68.600000000000023</v>
      </c>
      <c r="FF34" s="18">
        <f>FE34*VLOOKUP('Données projet'!$B$16,Paramètres!$A$1:$I$89,3,0)*VLOOKUP('Données projet'!$B$16,Paramètres!$A$1:$I$89,5,0)</f>
        <v>59.928960000000032</v>
      </c>
      <c r="FG34" s="14">
        <f t="shared" si="47"/>
        <v>17.150306633391647</v>
      </c>
      <c r="FH34" s="22">
        <f t="shared" si="22"/>
        <v>134.24638938649051</v>
      </c>
      <c r="FI34" s="62">
        <f t="shared" si="23"/>
        <v>427.57972271982385</v>
      </c>
      <c r="FJ34" s="62">
        <f ca="1">AVERAGE(OFFSET($FI$3,0,0,'Données projet'!$E$16+1,1))-AVERAGE(OFFSET($H$3,0,0,'Données projet'!$E$16+1,1))</f>
        <v>175.08726167127026</v>
      </c>
      <c r="FK34" s="62">
        <f t="shared" si="48"/>
        <v>196.05343924817117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4.8</v>
      </c>
      <c r="FZ34" s="13">
        <f>IF('Données projet'!$A$244&gt;35,FZ33+FY34-GH33,IF(A34&lt;'Données projet'!$A$244,$FW$205^A34,IF(A34='Données projet'!$A$244,'Données projet'!$B$244,FZ33+FY34-GH33)))</f>
        <v>93.80000000000004</v>
      </c>
      <c r="GA34" s="18">
        <f>FZ34*VLOOKUP('Données projet'!$B$17,Paramètres!$A$1:$I$89,3,0)*VLOOKUP('Données projet'!$B$17,Paramètres!$A$1:$I$89,5,0)</f>
        <v>61.457760000000029</v>
      </c>
      <c r="GB34" s="14">
        <f t="shared" si="49"/>
        <v>17.536319965642669</v>
      </c>
      <c r="GC34" s="22">
        <f t="shared" si="25"/>
        <v>137.58135594016105</v>
      </c>
      <c r="GD34" s="62">
        <f t="shared" si="26"/>
        <v>430.91468927349433</v>
      </c>
      <c r="GE34" s="62">
        <f ca="1">AVERAGE(OFFSET($GD$3,0,0,'Données projet'!$E$17+1,1))-AVERAGE(OFFSET($H$3,0,0,'Données projet'!$E$17+1,1))</f>
        <v>142.93037460866543</v>
      </c>
      <c r="GF34" s="62">
        <f t="shared" si="50"/>
        <v>146.18554498808049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3.6</v>
      </c>
      <c r="GU34" s="13">
        <f>IF('Données projet'!$A$270&gt;35,GU33+GT34-HC33,IF(A34&lt;'Données projet'!$A$270,$GR$205^A34,IF(A34='Données projet'!$A$270,'Données projet'!$B$270,GU33+GT34-HC33)))</f>
        <v>48.600000000000009</v>
      </c>
      <c r="GV34" s="18">
        <f>GU34*VLOOKUP('Données projet'!$B$18,Paramètres!$A$1:$I$89,3,0)*VLOOKUP('Données projet'!$B$18,Paramètres!$A$1:$I$89,5,0)</f>
        <v>41.698800000000013</v>
      </c>
      <c r="GW34" s="14">
        <f t="shared" si="51"/>
        <v>12.447818288806266</v>
      </c>
      <c r="GX34" s="22">
        <f t="shared" si="28"/>
        <v>94.305360186337609</v>
      </c>
      <c r="GY34" s="62">
        <f t="shared" si="29"/>
        <v>387.63869351967094</v>
      </c>
      <c r="GZ34" s="62">
        <f ca="1">AVERAGE(OFFSET($GY$3,0,0,'Données projet'!$E$18+1,1))-AVERAGE(OFFSET($H$3,0,0,'Données projet'!$E$18+1,1))</f>
        <v>188.08607733149256</v>
      </c>
      <c r="HA34" s="62">
        <f t="shared" si="52"/>
        <v>119.95698016603842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35" s="12">
        <f t="shared" si="32"/>
        <v>3.3900464408124646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100.02702515714888</v>
      </c>
      <c r="H35" s="70">
        <f t="shared" si="1"/>
        <v>279.23526421774841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3.6</v>
      </c>
      <c r="N35" s="14">
        <f>IF('Données projet'!$A$36&gt;35,N34+M35-V34,IF(A35&lt;'Données projet'!$A$36,$K$205^A35,IF(A35='Données projet'!$A$36,'Données projet'!$B$36,N34+M35-V34)))</f>
        <v>52.20000000000001</v>
      </c>
      <c r="O35" s="14">
        <f>N35*VLOOKUP('Données projet'!$B$9,Paramètres!$A$1:$I$89,3,0)*VLOOKUP('Données projet'!$B$9,Paramètres!$A$1:$I$89,5,0)</f>
        <v>56.188080000000006</v>
      </c>
      <c r="P35" s="14">
        <f t="shared" si="33"/>
        <v>16.200845225214124</v>
      </c>
      <c r="Q35" s="22">
        <f t="shared" ref="Q35:Q66" si="53">(O35+P35)*0.475*44/12</f>
        <v>126.0773781005813</v>
      </c>
      <c r="R35" s="62">
        <f t="shared" si="0"/>
        <v>419.41071143391463</v>
      </c>
      <c r="S35" s="62">
        <f ca="1">AVERAGE(OFFSET($R$3,0,0,'Données projet'!$E$9+1,1))-AVERAGE(OFFSET($H$3,0,0,'Données projet'!$E$9+1,1))</f>
        <v>236.98575892380046</v>
      </c>
      <c r="T35" s="62">
        <f t="shared" si="34"/>
        <v>145.77678223659774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6.5333333333333341</v>
      </c>
      <c r="AI35" s="14">
        <f>IF('Données projet'!$A$62&gt;35,AI34+AH35-AQ34,IF(A35&lt;'Données projet'!$A$62,$AF$205^A35,IF(A35='Données projet'!$A$62,'Données projet'!$B$62,AI34+AH35-AQ34)))</f>
        <v>99.735897435897414</v>
      </c>
      <c r="AJ35" s="14">
        <f>AI35*VLOOKUP('Données projet'!$B$10,Paramètres!$A$1:$I$89,3,0)*VLOOKUP('Données projet'!$B$10,Paramètres!$A$1:$I$89,5,0)</f>
        <v>58.345499999999987</v>
      </c>
      <c r="AK35" s="14">
        <f t="shared" si="35"/>
        <v>16.749281181106795</v>
      </c>
      <c r="AL35" s="22">
        <f t="shared" si="4"/>
        <v>130.79007722376096</v>
      </c>
      <c r="AM35" s="62">
        <f t="shared" si="5"/>
        <v>424.1234105570943</v>
      </c>
      <c r="AN35" s="62">
        <f ca="1">AVERAGE(OFFSET($AM$3,0,0,'Données projet'!$E$10+1,1))-AVERAGE(OFFSET($H$3,0,0,'Données projet'!$E$10+1,1))</f>
        <v>140.04898296125504</v>
      </c>
      <c r="AO35" s="62">
        <f t="shared" si="36"/>
        <v>129.5395511270716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8.9230769230769198</v>
      </c>
      <c r="BD35" s="13">
        <f>IF('Données projet'!$A$88&gt;35,BD34+BC35-BL34,IF(A35&lt;'Données projet'!$A$88,$BA$205^A35,IF(A35='Données projet'!$A$88,'Données projet'!$B$88,BD34+BC35-BL34)))</f>
        <v>121.12307692307691</v>
      </c>
      <c r="BE35" s="14">
        <f>BD35*VLOOKUP('Données projet'!$B$11,Paramètres!$A$1:$I$89,3,0)*VLOOKUP('Données projet'!$B$11,Paramètres!$A$1:$I$89,5,0)</f>
        <v>56.685599999999994</v>
      </c>
      <c r="BF35" s="14">
        <f t="shared" si="37"/>
        <v>16.327533552386551</v>
      </c>
      <c r="BG35" s="22">
        <f t="shared" si="7"/>
        <v>127.16454093707324</v>
      </c>
      <c r="BH35" s="62">
        <f t="shared" si="8"/>
        <v>420.49787427040656</v>
      </c>
      <c r="BI35" s="62">
        <f ca="1">AVERAGE(OFFSET($BH$3,0,0,'Données projet'!$E$11+1,1))-AVERAGE(OFFSET($H$3,0,0,'Données projet'!$E$11+1,1))</f>
        <v>207.84100251878419</v>
      </c>
      <c r="BJ35" s="62">
        <f t="shared" si="38"/>
        <v>124.34917784241952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4.2199999999999989</v>
      </c>
      <c r="BY35" s="13">
        <f>IF('Données projet'!$A$114&gt;35,BY34+BX35-CG34,IF(A35&lt;'Données projet'!$A$114,$BV$205^A35,IF(A35='Données projet'!$A$114,'Données projet'!$B$114,BY34+BX35-CG34)))</f>
        <v>140.33999999999997</v>
      </c>
      <c r="BZ35" s="14">
        <f>BY35*VLOOKUP('Données projet'!$B$12,Paramètres!$A$1:$I$89,3,0)*VLOOKUP('Données projet'!$B$12,Paramètres!$A$1:$I$89,5,0)</f>
        <v>72.976799999999997</v>
      </c>
      <c r="CA35" s="14">
        <f t="shared" si="39"/>
        <v>20.410900619331521</v>
      </c>
      <c r="CB35" s="22">
        <f t="shared" si="10"/>
        <v>162.65024524533573</v>
      </c>
      <c r="CC35" s="62">
        <f t="shared" si="11"/>
        <v>455.98357857866904</v>
      </c>
      <c r="CD35" s="62">
        <f ca="1">AVERAGE(OFFSET($CC$3,0,0,'Données projet'!$E$12+1,1))-AVERAGE(OFFSET($H$3,0,0,'Données projet'!$E$12+1,1))</f>
        <v>211.05980622218578</v>
      </c>
      <c r="CE35" s="62">
        <f t="shared" si="40"/>
        <v>168.57746894604855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1.9254166666666663</v>
      </c>
      <c r="CT35" s="13">
        <f>IF('Données projet'!$A$140&gt;35,CT34+CS35-DB34,IF(A35&lt;'Données projet'!$A$140,$CQ$205^A35,IF(A35='Données projet'!$A$140,'Données projet'!$B$140,CT34+CS35-DB34)))</f>
        <v>47.263333333333364</v>
      </c>
      <c r="CU35" s="18">
        <f>CT35*VLOOKUP('Données projet'!$B$13,Paramètres!$A$1:$I$89,3,0)*VLOOKUP('Données projet'!$B$13,Paramètres!$A$1:$I$89,5,0)</f>
        <v>54.447360000000032</v>
      </c>
      <c r="CV35" s="14">
        <f t="shared" si="41"/>
        <v>15.756552073943871</v>
      </c>
      <c r="CW35" s="22">
        <f t="shared" si="13"/>
        <v>122.27181352878561</v>
      </c>
      <c r="CX35" s="62">
        <f t="shared" si="14"/>
        <v>415.60514686211894</v>
      </c>
      <c r="CY35" s="62">
        <f ca="1">AVERAGE(OFFSET($CX$3,0,0,'Données projet'!$E$13+1,1))-AVERAGE(OFFSET($H$3,0,0,'Données projet'!$E$13+1,1))</f>
        <v>191.79777926975839</v>
      </c>
      <c r="CZ35" s="62">
        <f t="shared" si="42"/>
        <v>156.66161375678712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5.1959999999999997</v>
      </c>
      <c r="DO35" s="13">
        <f>IF('Données projet'!$A$166&gt;35,DO34+DN35-DW34,IF(A35&lt;'Données projet'!$A$166,$DL$205^A35,IF(A35='Données projet'!$A$166,'Données projet'!$B$166,DO34+DN35-DW34)))</f>
        <v>74.24199999999999</v>
      </c>
      <c r="DP35" s="18">
        <f>DO35*VLOOKUP('Données projet'!$B$14,Paramètres!$A$1:$I$89,3,0)*VLOOKUP('Données projet'!$B$14,Paramètres!$A$1:$I$89,5,0)</f>
        <v>81.07226399999999</v>
      </c>
      <c r="DQ35" s="14">
        <f t="shared" si="43"/>
        <v>22.399154749240871</v>
      </c>
      <c r="DR35" s="22">
        <f t="shared" si="16"/>
        <v>180.21272098826114</v>
      </c>
      <c r="DS35" s="62">
        <f t="shared" si="17"/>
        <v>473.54605432159445</v>
      </c>
      <c r="DT35" s="62">
        <f ca="1">AVERAGE(OFFSET($DS$3,0,0,'Données projet'!$E$14+1,1))-AVERAGE(OFFSET($H$3,0,0,'Données projet'!$E$14+1,1))</f>
        <v>541.0854688453461</v>
      </c>
      <c r="DU35" s="62">
        <f t="shared" si="44"/>
        <v>171.04847168584473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12.777777777777779</v>
      </c>
      <c r="EJ35" s="13">
        <f>IF('Données projet'!$A$192&gt;35,EJ34+EI35-ER34,IF(A35&lt;'Données projet'!$A$192,$EG$205^A35,IF(A35='Données projet'!$A$192,'Données projet'!$B$192,EJ34+EI35-ER34)))</f>
        <v>131.33333333333331</v>
      </c>
      <c r="EK35" s="18">
        <f>EJ35*VLOOKUP('Données projet'!$B$15,Paramètres!$A$1:$I$89,3,0)*VLOOKUP('Données projet'!$B$15,Paramètres!$A$1:$I$89,5,0)</f>
        <v>78.537333333333322</v>
      </c>
      <c r="EL35" s="14">
        <f t="shared" si="45"/>
        <v>21.779171360072009</v>
      </c>
      <c r="EM35" s="22">
        <f t="shared" si="19"/>
        <v>174.71791234101428</v>
      </c>
      <c r="EN35" s="62">
        <f t="shared" si="20"/>
        <v>468.05124567434757</v>
      </c>
      <c r="EO35" s="62">
        <f ca="1">AVERAGE(OFFSET($EN$3,0,0,'Données projet'!$E$15+1,1))-AVERAGE(OFFSET($H$3,0,0,'Données projet'!$E$15+1,1))</f>
        <v>244.01698421598974</v>
      </c>
      <c r="EP35" s="62">
        <f t="shared" si="46"/>
        <v>156.96653202915024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3.4028157625243787</v>
      </c>
      <c r="EX35" s="23">
        <f>EXP(-LN(2)/2)*EX34+(1-EXP(-LN(2)/2))/(LN(2)/2)*ER35*EU35*VLOOKUP('Données projet'!$B$15,Paramètres!$A$1:$I$89,3,0)*0.475*44/12</f>
        <v>4.9791483352490307</v>
      </c>
      <c r="EY35" s="24">
        <f t="shared" si="21"/>
        <v>8.3819640977734089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6.6</v>
      </c>
      <c r="FE35" s="13">
        <f>IF('Données projet'!$A$218&gt;35,FE34+FD35-FM34,IF(A35&lt;'Données projet'!$A$218,$FB$205^A35,IF(A35='Données projet'!$A$218,'Données projet'!$B$218,FE34+FD35-FM34)))</f>
        <v>75.200000000000017</v>
      </c>
      <c r="FF35" s="18">
        <f>FE35*VLOOKUP('Données projet'!$B$16,Paramètres!$A$1:$I$89,3,0)*VLOOKUP('Données projet'!$B$16,Paramètres!$A$1:$I$89,5,0)</f>
        <v>65.694720000000032</v>
      </c>
      <c r="FG35" s="14">
        <f t="shared" si="47"/>
        <v>18.600387185619521</v>
      </c>
      <c r="FH35" s="22">
        <f t="shared" si="22"/>
        <v>146.81397834828738</v>
      </c>
      <c r="FI35" s="62">
        <f t="shared" si="23"/>
        <v>440.14731168162069</v>
      </c>
      <c r="FJ35" s="62">
        <f ca="1">AVERAGE(OFFSET($FI$3,0,0,'Données projet'!$E$16+1,1))-AVERAGE(OFFSET($H$3,0,0,'Données projet'!$E$16+1,1))</f>
        <v>175.08726167127026</v>
      </c>
      <c r="FK35" s="62">
        <f t="shared" si="48"/>
        <v>196.05343924817117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4.8</v>
      </c>
      <c r="FZ35" s="13">
        <f>IF('Données projet'!$A$244&gt;35,FZ34+FY35-GH34,IF(A35&lt;'Données projet'!$A$244,$FW$205^A35,IF(A35='Données projet'!$A$244,'Données projet'!$B$244,FZ34+FY35-GH34)))</f>
        <v>98.600000000000037</v>
      </c>
      <c r="GA35" s="18">
        <f>FZ35*VLOOKUP('Données projet'!$B$17,Paramètres!$A$1:$I$89,3,0)*VLOOKUP('Données projet'!$B$17,Paramètres!$A$1:$I$89,5,0)</f>
        <v>64.602720000000019</v>
      </c>
      <c r="GB35" s="14">
        <f t="shared" si="49"/>
        <v>18.326928056848999</v>
      </c>
      <c r="GC35" s="22">
        <f t="shared" si="25"/>
        <v>144.43580369901204</v>
      </c>
      <c r="GD35" s="62">
        <f t="shared" si="26"/>
        <v>437.76913703234538</v>
      </c>
      <c r="GE35" s="62">
        <f ca="1">AVERAGE(OFFSET($GD$3,0,0,'Données projet'!$E$17+1,1))-AVERAGE(OFFSET($H$3,0,0,'Données projet'!$E$17+1,1))</f>
        <v>142.93037460866543</v>
      </c>
      <c r="GF35" s="62">
        <f t="shared" si="50"/>
        <v>146.18554498808049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3.6</v>
      </c>
      <c r="GU35" s="13">
        <f>IF('Données projet'!$A$270&gt;35,GU34+GT35-HC34,IF(A35&lt;'Données projet'!$A$270,$GR$205^A35,IF(A35='Données projet'!$A$270,'Données projet'!$B$270,GU34+GT35-HC34)))</f>
        <v>52.20000000000001</v>
      </c>
      <c r="GV35" s="18">
        <f>GU35*VLOOKUP('Données projet'!$B$18,Paramètres!$A$1:$I$89,3,0)*VLOOKUP('Données projet'!$B$18,Paramètres!$A$1:$I$89,5,0)</f>
        <v>44.787600000000012</v>
      </c>
      <c r="GW35" s="14">
        <f t="shared" si="51"/>
        <v>13.259131836880305</v>
      </c>
      <c r="GX35" s="22">
        <f t="shared" si="28"/>
        <v>101.09805794923322</v>
      </c>
      <c r="GY35" s="62">
        <f t="shared" si="29"/>
        <v>394.43139128256655</v>
      </c>
      <c r="GZ35" s="62">
        <f ca="1">AVERAGE(OFFSET($GY$3,0,0,'Données projet'!$E$18+1,1))-AVERAGE(OFFSET($H$3,0,0,'Données projet'!$E$18+1,1))</f>
        <v>188.08607733149256</v>
      </c>
      <c r="HA35" s="62">
        <f t="shared" si="52"/>
        <v>119.95698016603842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9.8670000000000009</v>
      </c>
      <c r="D36" s="12">
        <f t="shared" si="32"/>
        <v>3.4834857969743536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103.05638159067922</v>
      </c>
      <c r="H36" s="70">
        <f t="shared" si="1"/>
        <v>279.91876276306368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3.6</v>
      </c>
      <c r="N36" s="14">
        <f>IF('Données projet'!$A$36&gt;35,N35+M36-V35,IF(A36&lt;'Données projet'!$A$36,$K$205^A36,IF(A36='Données projet'!$A$36,'Données projet'!$B$36,N35+M36-V35)))</f>
        <v>55.800000000000011</v>
      </c>
      <c r="O36" s="14">
        <f>N36*VLOOKUP('Données projet'!$B$9,Paramètres!$A$1:$I$89,3,0)*VLOOKUP('Données projet'!$B$9,Paramètres!$A$1:$I$89,5,0)</f>
        <v>60.063120000000005</v>
      </c>
      <c r="P36" s="14">
        <f t="shared" si="33"/>
        <v>17.184226752174279</v>
      </c>
      <c r="Q36" s="22">
        <f t="shared" si="53"/>
        <v>134.53912892670354</v>
      </c>
      <c r="R36" s="62">
        <f t="shared" si="0"/>
        <v>427.87246226003685</v>
      </c>
      <c r="S36" s="62">
        <f ca="1">AVERAGE(OFFSET($R$3,0,0,'Données projet'!$E$9+1,1))-AVERAGE(OFFSET($H$3,0,0,'Données projet'!$E$9+1,1))</f>
        <v>236.98575892380046</v>
      </c>
      <c r="T36" s="62">
        <f t="shared" si="34"/>
        <v>145.77678223659774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6.5333333333333341</v>
      </c>
      <c r="AI36" s="14">
        <f>IF('Données projet'!$A$62&gt;35,AI35+AH36-AQ35,IF(A36&lt;'Données projet'!$A$62,$AF$205^A36,IF(A36='Données projet'!$A$62,'Données projet'!$B$62,AI35+AH36-AQ35)))</f>
        <v>106.26923076923075</v>
      </c>
      <c r="AJ36" s="14">
        <f>AI36*VLOOKUP('Données projet'!$B$10,Paramètres!$A$1:$I$89,3,0)*VLOOKUP('Données projet'!$B$10,Paramètres!$A$1:$I$89,5,0)</f>
        <v>62.167499999999983</v>
      </c>
      <c r="AK36" s="14">
        <f t="shared" si="35"/>
        <v>17.715144035839788</v>
      </c>
      <c r="AL36" s="22">
        <f t="shared" si="4"/>
        <v>139.12893836242094</v>
      </c>
      <c r="AM36" s="62">
        <f t="shared" si="5"/>
        <v>432.46227169575423</v>
      </c>
      <c r="AN36" s="62">
        <f ca="1">AVERAGE(OFFSET($AM$3,0,0,'Données projet'!$E$10+1,1))-AVERAGE(OFFSET($H$3,0,0,'Données projet'!$E$10+1,1))</f>
        <v>140.04898296125504</v>
      </c>
      <c r="AO36" s="62">
        <f t="shared" si="36"/>
        <v>129.5395511270716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8.9230769230769198</v>
      </c>
      <c r="BD36" s="13">
        <f>IF('Données projet'!$A$88&gt;35,BD35+BC36-BL35,IF(A36&lt;'Données projet'!$A$88,$BA$205^A36,IF(A36='Données projet'!$A$88,'Données projet'!$B$88,BD35+BC36-BL35)))</f>
        <v>130.04615384615383</v>
      </c>
      <c r="BE36" s="14">
        <f>BD36*VLOOKUP('Données projet'!$B$11,Paramètres!$A$1:$I$89,3,0)*VLOOKUP('Données projet'!$B$11,Paramètres!$A$1:$I$89,5,0)</f>
        <v>60.861599999999989</v>
      </c>
      <c r="BF36" s="14">
        <f t="shared" si="37"/>
        <v>17.385927430951966</v>
      </c>
      <c r="BG36" s="22">
        <f t="shared" si="7"/>
        <v>136.28111027557466</v>
      </c>
      <c r="BH36" s="62">
        <f t="shared" si="8"/>
        <v>429.614443608908</v>
      </c>
      <c r="BI36" s="62">
        <f ca="1">AVERAGE(OFFSET($BH$3,0,0,'Données projet'!$E$11+1,1))-AVERAGE(OFFSET($H$3,0,0,'Données projet'!$E$11+1,1))</f>
        <v>207.84100251878419</v>
      </c>
      <c r="BJ36" s="62">
        <f t="shared" si="38"/>
        <v>124.34917784241952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4.2199999999999989</v>
      </c>
      <c r="BY36" s="13">
        <f>IF('Données projet'!$A$114&gt;35,BY35+BX36-CG35,IF(A36&lt;'Données projet'!$A$114,$BV$205^A36,IF(A36='Données projet'!$A$114,'Données projet'!$B$114,BY35+BX36-CG35)))</f>
        <v>144.55999999999997</v>
      </c>
      <c r="BZ36" s="14">
        <f>BY36*VLOOKUP('Données projet'!$B$12,Paramètres!$A$1:$I$89,3,0)*VLOOKUP('Données projet'!$B$12,Paramètres!$A$1:$I$89,5,0)</f>
        <v>75.171199999999985</v>
      </c>
      <c r="CA36" s="14">
        <f t="shared" si="39"/>
        <v>20.952273543776592</v>
      </c>
      <c r="CB36" s="22">
        <f t="shared" si="10"/>
        <v>167.41504975541088</v>
      </c>
      <c r="CC36" s="62">
        <f t="shared" si="11"/>
        <v>460.74838308874416</v>
      </c>
      <c r="CD36" s="62">
        <f ca="1">AVERAGE(OFFSET($CC$3,0,0,'Données projet'!$E$12+1,1))-AVERAGE(OFFSET($H$3,0,0,'Données projet'!$E$12+1,1))</f>
        <v>211.05980622218578</v>
      </c>
      <c r="CE36" s="62">
        <f t="shared" si="40"/>
        <v>168.57746894604855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1.9254166666666663</v>
      </c>
      <c r="CT36" s="13">
        <f>IF('Données projet'!$A$140&gt;35,CT35+CS36-DB35,IF(A36&lt;'Données projet'!$A$140,$CQ$205^A36,IF(A36='Données projet'!$A$140,'Données projet'!$B$140,CT35+CS36-DB35)))</f>
        <v>49.188750000000027</v>
      </c>
      <c r="CU36" s="18">
        <f>CT36*VLOOKUP('Données projet'!$B$13,Paramètres!$A$1:$I$89,3,0)*VLOOKUP('Données projet'!$B$13,Paramètres!$A$1:$I$89,5,0)</f>
        <v>56.665440000000025</v>
      </c>
      <c r="CV36" s="14">
        <f t="shared" si="41"/>
        <v>16.322402540008241</v>
      </c>
      <c r="CW36" s="22">
        <f t="shared" si="13"/>
        <v>127.12049242384775</v>
      </c>
      <c r="CX36" s="62">
        <f t="shared" si="14"/>
        <v>420.45382575718105</v>
      </c>
      <c r="CY36" s="62">
        <f ca="1">AVERAGE(OFFSET($CX$3,0,0,'Données projet'!$E$13+1,1))-AVERAGE(OFFSET($H$3,0,0,'Données projet'!$E$13+1,1))</f>
        <v>191.79777926975839</v>
      </c>
      <c r="CZ36" s="62">
        <f t="shared" si="42"/>
        <v>156.66161375678712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5.1959999999999997</v>
      </c>
      <c r="DO36" s="13">
        <f>IF('Données projet'!$A$166&gt;35,DO35+DN36-DW35,IF(A36&lt;'Données projet'!$A$166,$DL$205^A36,IF(A36='Données projet'!$A$166,'Données projet'!$B$166,DO35+DN36-DW35)))</f>
        <v>79.437999999999988</v>
      </c>
      <c r="DP36" s="18">
        <f>DO36*VLOOKUP('Données projet'!$B$14,Paramètres!$A$1:$I$89,3,0)*VLOOKUP('Données projet'!$B$14,Paramètres!$A$1:$I$89,5,0)</f>
        <v>86.746295999999987</v>
      </c>
      <c r="DQ36" s="14">
        <f t="shared" si="43"/>
        <v>23.778836201492044</v>
      </c>
      <c r="DR36" s="22">
        <f t="shared" si="16"/>
        <v>192.49793858426526</v>
      </c>
      <c r="DS36" s="62">
        <f t="shared" si="17"/>
        <v>485.83127191759854</v>
      </c>
      <c r="DT36" s="62">
        <f ca="1">AVERAGE(OFFSET($DS$3,0,0,'Données projet'!$E$14+1,1))-AVERAGE(OFFSET($H$3,0,0,'Données projet'!$E$14+1,1))</f>
        <v>541.0854688453461</v>
      </c>
      <c r="DU36" s="62">
        <f t="shared" si="44"/>
        <v>171.04847168584473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12.777777777777779</v>
      </c>
      <c r="EJ36" s="13">
        <f>IF('Données projet'!$A$192&gt;35,EJ35+EI36-ER35,IF(A36&lt;'Données projet'!$A$192,$EG$205^A36,IF(A36='Données projet'!$A$192,'Données projet'!$B$192,EJ35+EI36-ER35)))</f>
        <v>144.11111111111109</v>
      </c>
      <c r="EK36" s="18">
        <f>EJ36*VLOOKUP('Données projet'!$B$15,Paramètres!$A$1:$I$89,3,0)*VLOOKUP('Données projet'!$B$15,Paramètres!$A$1:$I$89,5,0)</f>
        <v>86.178444444444438</v>
      </c>
      <c r="EL36" s="14">
        <f t="shared" si="45"/>
        <v>23.641243304547441</v>
      </c>
      <c r="EM36" s="22">
        <f t="shared" si="19"/>
        <v>191.26928949616084</v>
      </c>
      <c r="EN36" s="62">
        <f t="shared" si="20"/>
        <v>484.60262282949418</v>
      </c>
      <c r="EO36" s="62">
        <f ca="1">AVERAGE(OFFSET($EN$3,0,0,'Données projet'!$E$15+1,1))-AVERAGE(OFFSET($H$3,0,0,'Données projet'!$E$15+1,1))</f>
        <v>244.01698421598974</v>
      </c>
      <c r="EP36" s="62">
        <f t="shared" si="46"/>
        <v>156.96653202915024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3.3097655865518458</v>
      </c>
      <c r="EX36" s="23">
        <f>EXP(-LN(2)/2)*EX35+(1-EXP(-LN(2)/2))/(LN(2)/2)*ER36*EU36*VLOOKUP('Données projet'!$B$15,Paramètres!$A$1:$I$89,3,0)*0.475*44/12</f>
        <v>3.5207895523882988</v>
      </c>
      <c r="EY36" s="24">
        <f t="shared" si="21"/>
        <v>6.8305551389401451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6.6</v>
      </c>
      <c r="FE36" s="13">
        <f>IF('Données projet'!$A$218&gt;35,FE35+FD36-FM35,IF(A36&lt;'Données projet'!$A$218,$FB$205^A36,IF(A36='Données projet'!$A$218,'Données projet'!$B$218,FE35+FD36-FM35)))</f>
        <v>81.800000000000011</v>
      </c>
      <c r="FF36" s="18">
        <f>FE36*VLOOKUP('Données projet'!$B$16,Paramètres!$A$1:$I$89,3,0)*VLOOKUP('Données projet'!$B$16,Paramètres!$A$1:$I$89,5,0)</f>
        <v>71.460480000000018</v>
      </c>
      <c r="FG36" s="14">
        <f t="shared" si="47"/>
        <v>20.035709203981977</v>
      </c>
      <c r="FH36" s="22">
        <f t="shared" si="22"/>
        <v>159.35586286360197</v>
      </c>
      <c r="FI36" s="62">
        <f t="shared" si="23"/>
        <v>452.68919619693531</v>
      </c>
      <c r="FJ36" s="62">
        <f ca="1">AVERAGE(OFFSET($FI$3,0,0,'Données projet'!$E$16+1,1))-AVERAGE(OFFSET($H$3,0,0,'Données projet'!$E$16+1,1))</f>
        <v>175.08726167127026</v>
      </c>
      <c r="FK36" s="62">
        <f t="shared" si="48"/>
        <v>196.05343924817117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4.8</v>
      </c>
      <c r="FZ36" s="13">
        <f>IF('Données projet'!$A$244&gt;35,FZ35+FY36-GH35,IF(A36&lt;'Données projet'!$A$244,$FW$205^A36,IF(A36='Données projet'!$A$244,'Données projet'!$B$244,FZ35+FY36-GH35)))</f>
        <v>103.40000000000003</v>
      </c>
      <c r="GA36" s="18">
        <f>FZ36*VLOOKUP('Données projet'!$B$17,Paramètres!$A$1:$I$89,3,0)*VLOOKUP('Données projet'!$B$17,Paramètres!$A$1:$I$89,5,0)</f>
        <v>67.747680000000017</v>
      </c>
      <c r="GB36" s="14">
        <f t="shared" si="49"/>
        <v>19.113066947779238</v>
      </c>
      <c r="GC36" s="22">
        <f t="shared" si="25"/>
        <v>151.28246760071553</v>
      </c>
      <c r="GD36" s="62">
        <f t="shared" si="26"/>
        <v>444.61580093404882</v>
      </c>
      <c r="GE36" s="62">
        <f ca="1">AVERAGE(OFFSET($GD$3,0,0,'Données projet'!$E$17+1,1))-AVERAGE(OFFSET($H$3,0,0,'Données projet'!$E$17+1,1))</f>
        <v>142.93037460866543</v>
      </c>
      <c r="GF36" s="62">
        <f t="shared" si="50"/>
        <v>146.18554498808049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3.6</v>
      </c>
      <c r="GU36" s="13">
        <f>IF('Données projet'!$A$270&gt;35,GU35+GT36-HC35,IF(A36&lt;'Données projet'!$A$270,$GR$205^A36,IF(A36='Données projet'!$A$270,'Données projet'!$B$270,GU35+GT36-HC35)))</f>
        <v>55.800000000000011</v>
      </c>
      <c r="GV36" s="18">
        <f>GU36*VLOOKUP('Données projet'!$B$18,Paramètres!$A$1:$I$89,3,0)*VLOOKUP('Données projet'!$B$18,Paramètres!$A$1:$I$89,5,0)</f>
        <v>47.876400000000018</v>
      </c>
      <c r="GW36" s="14">
        <f t="shared" si="51"/>
        <v>14.063953136674259</v>
      </c>
      <c r="GX36" s="22">
        <f t="shared" si="28"/>
        <v>107.8794483797077</v>
      </c>
      <c r="GY36" s="62">
        <f t="shared" si="29"/>
        <v>401.21278171304101</v>
      </c>
      <c r="GZ36" s="62">
        <f ca="1">AVERAGE(OFFSET($GY$3,0,0,'Données projet'!$E$18+1,1))-AVERAGE(OFFSET($H$3,0,0,'Données projet'!$E$18+1,1))</f>
        <v>188.08607733149256</v>
      </c>
      <c r="HA36" s="62">
        <f t="shared" si="52"/>
        <v>119.95698016603842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</v>
      </c>
      <c r="D37" s="12">
        <f t="shared" si="32"/>
        <v>3.5765960944208692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106.08319792184533</v>
      </c>
      <c r="H37" s="70">
        <f t="shared" si="1"/>
        <v>280.60168819778301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3.6</v>
      </c>
      <c r="N37" s="14">
        <f>IF('Données projet'!$A$36&gt;35,N36+M37-V36,IF(A37&lt;'Données projet'!$A$36,$K$205^A37,IF(A37='Données projet'!$A$36,'Données projet'!$B$36,N36+M37-V36)))</f>
        <v>59.400000000000013</v>
      </c>
      <c r="O37" s="14">
        <f>N37*VLOOKUP('Données projet'!$B$9,Paramètres!$A$1:$I$89,3,0)*VLOOKUP('Données projet'!$B$9,Paramètres!$A$1:$I$89,5,0)</f>
        <v>63.938160000000011</v>
      </c>
      <c r="P37" s="14">
        <f t="shared" si="33"/>
        <v>18.160245670792243</v>
      </c>
      <c r="Q37" s="22">
        <f t="shared" si="53"/>
        <v>142.98805654329652</v>
      </c>
      <c r="R37" s="62">
        <f t="shared" si="0"/>
        <v>436.32138987662984</v>
      </c>
      <c r="S37" s="62">
        <f ca="1">AVERAGE(OFFSET($R$3,0,0,'Données projet'!$E$9+1,1))-AVERAGE(OFFSET($H$3,0,0,'Données projet'!$E$9+1,1))</f>
        <v>236.98575892380046</v>
      </c>
      <c r="T37" s="62">
        <f t="shared" si="34"/>
        <v>145.77678223659774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6.5333333333333341</v>
      </c>
      <c r="AI37" s="14">
        <f>IF('Données projet'!$A$62&gt;35,AI36+AH37-AQ36,IF(A37&lt;'Données projet'!$A$62,$AF$205^A37,IF(A37='Données projet'!$A$62,'Données projet'!$B$62,AI36+AH37-AQ36)))</f>
        <v>112.80256410256408</v>
      </c>
      <c r="AJ37" s="14">
        <f>AI37*VLOOKUP('Données projet'!$B$10,Paramètres!$A$1:$I$89,3,0)*VLOOKUP('Données projet'!$B$10,Paramètres!$A$1:$I$89,5,0)</f>
        <v>65.989499999999992</v>
      </c>
      <c r="AK37" s="14">
        <f t="shared" si="35"/>
        <v>18.674115108430158</v>
      </c>
      <c r="AL37" s="22">
        <f t="shared" si="4"/>
        <v>147.45579631384916</v>
      </c>
      <c r="AM37" s="62">
        <f t="shared" si="5"/>
        <v>440.78912964718245</v>
      </c>
      <c r="AN37" s="62">
        <f ca="1">AVERAGE(OFFSET($AM$3,0,0,'Données projet'!$E$10+1,1))-AVERAGE(OFFSET($H$3,0,0,'Données projet'!$E$10+1,1))</f>
        <v>140.04898296125504</v>
      </c>
      <c r="AO37" s="62">
        <f t="shared" si="36"/>
        <v>129.5395511270716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8.9230769230769198</v>
      </c>
      <c r="BD37" s="13">
        <f>IF('Données projet'!$A$88&gt;35,BD36+BC37-BL36,IF(A37&lt;'Données projet'!$A$88,$BA$205^A37,IF(A37='Données projet'!$A$88,'Données projet'!$B$88,BD36+BC37-BL36)))</f>
        <v>138.96923076923076</v>
      </c>
      <c r="BE37" s="14">
        <f>BD37*VLOOKUP('Données projet'!$B$11,Paramètres!$A$1:$I$89,3,0)*VLOOKUP('Données projet'!$B$11,Paramètres!$A$1:$I$89,5,0)</f>
        <v>65.037599999999998</v>
      </c>
      <c r="BF37" s="14">
        <f t="shared" si="37"/>
        <v>18.435894871955274</v>
      </c>
      <c r="BG37" s="22">
        <f t="shared" si="7"/>
        <v>145.38300356865543</v>
      </c>
      <c r="BH37" s="62">
        <f t="shared" si="8"/>
        <v>438.71633690198871</v>
      </c>
      <c r="BI37" s="62">
        <f ca="1">AVERAGE(OFFSET($BH$3,0,0,'Données projet'!$E$11+1,1))-AVERAGE(OFFSET($H$3,0,0,'Données projet'!$E$11+1,1))</f>
        <v>207.84100251878419</v>
      </c>
      <c r="BJ37" s="62">
        <f t="shared" si="38"/>
        <v>124.34917784241952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4.2199999999999989</v>
      </c>
      <c r="BY37" s="13">
        <f>IF('Données projet'!$A$114&gt;35,BY36+BX37-CG36,IF(A37&lt;'Données projet'!$A$114,$BV$205^A37,IF(A37='Données projet'!$A$114,'Données projet'!$B$114,BY36+BX37-CG36)))</f>
        <v>148.77999999999997</v>
      </c>
      <c r="BZ37" s="14">
        <f>BY37*VLOOKUP('Données projet'!$B$12,Paramètres!$A$1:$I$89,3,0)*VLOOKUP('Données projet'!$B$12,Paramètres!$A$1:$I$89,5,0)</f>
        <v>77.365600000000001</v>
      </c>
      <c r="CA37" s="14">
        <f t="shared" si="39"/>
        <v>21.491809754983127</v>
      </c>
      <c r="CB37" s="22">
        <f t="shared" si="10"/>
        <v>172.17665532326225</v>
      </c>
      <c r="CC37" s="62">
        <f t="shared" si="11"/>
        <v>465.50998865659557</v>
      </c>
      <c r="CD37" s="62">
        <f ca="1">AVERAGE(OFFSET($CC$3,0,0,'Données projet'!$E$12+1,1))-AVERAGE(OFFSET($H$3,0,0,'Données projet'!$E$12+1,1))</f>
        <v>211.05980622218578</v>
      </c>
      <c r="CE37" s="62">
        <f t="shared" si="40"/>
        <v>168.57746894604855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1.9254166666666663</v>
      </c>
      <c r="CT37" s="13">
        <f>IF('Données projet'!$A$140&gt;35,CT36+CS37-DB36,IF(A37&lt;'Données projet'!$A$140,$CQ$205^A37,IF(A37='Données projet'!$A$140,'Données projet'!$B$140,CT36+CS37-DB36)))</f>
        <v>51.114166666666691</v>
      </c>
      <c r="CU37" s="18">
        <f>CT37*VLOOKUP('Données projet'!$B$13,Paramètres!$A$1:$I$89,3,0)*VLOOKUP('Données projet'!$B$13,Paramètres!$A$1:$I$89,5,0)</f>
        <v>58.883520000000026</v>
      </c>
      <c r="CV37" s="14">
        <f t="shared" si="41"/>
        <v>16.885679994502389</v>
      </c>
      <c r="CW37" s="22">
        <f t="shared" si="13"/>
        <v>131.96468999042506</v>
      </c>
      <c r="CX37" s="62">
        <f t="shared" si="14"/>
        <v>425.29802332375834</v>
      </c>
      <c r="CY37" s="62">
        <f ca="1">AVERAGE(OFFSET($CX$3,0,0,'Données projet'!$E$13+1,1))-AVERAGE(OFFSET($H$3,0,0,'Données projet'!$E$13+1,1))</f>
        <v>191.79777926975839</v>
      </c>
      <c r="CZ37" s="62">
        <f t="shared" si="42"/>
        <v>156.66161375678712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5.1959999999999997</v>
      </c>
      <c r="DO37" s="13">
        <f>IF('Données projet'!$A$166&gt;35,DO36+DN37-DW36,IF(A37&lt;'Données projet'!$A$166,$DL$205^A37,IF(A37='Données projet'!$A$166,'Données projet'!$B$166,DO36+DN37-DW36)))</f>
        <v>84.633999999999986</v>
      </c>
      <c r="DP37" s="18">
        <f>DO37*VLOOKUP('Données projet'!$B$14,Paramètres!$A$1:$I$89,3,0)*VLOOKUP('Données projet'!$B$14,Paramètres!$A$1:$I$89,5,0)</f>
        <v>92.420327999999984</v>
      </c>
      <c r="DQ37" s="14">
        <f t="shared" si="43"/>
        <v>25.148045227014997</v>
      </c>
      <c r="DR37" s="22">
        <f t="shared" si="16"/>
        <v>204.76491670371774</v>
      </c>
      <c r="DS37" s="62">
        <f t="shared" si="17"/>
        <v>498.09825003705106</v>
      </c>
      <c r="DT37" s="62">
        <f ca="1">AVERAGE(OFFSET($DS$3,0,0,'Données projet'!$E$14+1,1))-AVERAGE(OFFSET($H$3,0,0,'Données projet'!$E$14+1,1))</f>
        <v>541.0854688453461</v>
      </c>
      <c r="DU37" s="62">
        <f t="shared" si="44"/>
        <v>171.04847168584473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12.777777777777779</v>
      </c>
      <c r="EJ37" s="13">
        <f>IF('Données projet'!$A$192&gt;35,EJ36+EI37-ER36,IF(A37&lt;'Données projet'!$A$192,$EG$205^A37,IF(A37='Données projet'!$A$192,'Données projet'!$B$192,EJ36+EI37-ER36)))</f>
        <v>156.88888888888886</v>
      </c>
      <c r="EK37" s="18">
        <f>EJ37*VLOOKUP('Données projet'!$B$15,Paramètres!$A$1:$I$89,3,0)*VLOOKUP('Données projet'!$B$15,Paramètres!$A$1:$I$89,5,0)</f>
        <v>93.819555555555539</v>
      </c>
      <c r="EL37" s="14">
        <f t="shared" si="45"/>
        <v>25.484169659923545</v>
      </c>
      <c r="EM37" s="22">
        <f t="shared" si="19"/>
        <v>207.78732141695943</v>
      </c>
      <c r="EN37" s="62">
        <f t="shared" si="20"/>
        <v>501.12065475029272</v>
      </c>
      <c r="EO37" s="62">
        <f ca="1">AVERAGE(OFFSET($EN$3,0,0,'Données projet'!$E$15+1,1))-AVERAGE(OFFSET($H$3,0,0,'Données projet'!$E$15+1,1))</f>
        <v>244.01698421598974</v>
      </c>
      <c r="EP37" s="62">
        <f t="shared" si="46"/>
        <v>156.96653202915024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3.219259872534578</v>
      </c>
      <c r="EX37" s="23">
        <f>EXP(-LN(2)/2)*EX36+(1-EXP(-LN(2)/2))/(LN(2)/2)*ER37*EU37*VLOOKUP('Données projet'!$B$15,Paramètres!$A$1:$I$89,3,0)*0.475*44/12</f>
        <v>2.4895741676245158</v>
      </c>
      <c r="EY37" s="24">
        <f t="shared" si="21"/>
        <v>5.7088340401590933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6.6</v>
      </c>
      <c r="FE37" s="13">
        <f>IF('Données projet'!$A$218&gt;35,FE36+FD37-FM36,IF(A37&lt;'Données projet'!$A$218,$FB$205^A37,IF(A37='Données projet'!$A$218,'Données projet'!$B$218,FE36+FD37-FM36)))</f>
        <v>88.4</v>
      </c>
      <c r="FF37" s="18">
        <f>FE37*VLOOKUP('Données projet'!$B$16,Paramètres!$A$1:$I$89,3,0)*VLOOKUP('Données projet'!$B$16,Paramètres!$A$1:$I$89,5,0)</f>
        <v>77.226240000000004</v>
      </c>
      <c r="FG37" s="14">
        <f t="shared" si="47"/>
        <v>21.457598855530147</v>
      </c>
      <c r="FH37" s="22">
        <f t="shared" si="22"/>
        <v>171.87435267338171</v>
      </c>
      <c r="FI37" s="62">
        <f t="shared" si="23"/>
        <v>465.20768600671499</v>
      </c>
      <c r="FJ37" s="62">
        <f ca="1">AVERAGE(OFFSET($FI$3,0,0,'Données projet'!$E$16+1,1))-AVERAGE(OFFSET($H$3,0,0,'Données projet'!$E$16+1,1))</f>
        <v>175.08726167127026</v>
      </c>
      <c r="FK37" s="62">
        <f t="shared" si="48"/>
        <v>196.05343924817117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4.8</v>
      </c>
      <c r="FZ37" s="13">
        <f>IF('Données projet'!$A$244&gt;35,FZ36+FY37-GH36,IF(A37&lt;'Données projet'!$A$244,$FW$205^A37,IF(A37='Données projet'!$A$244,'Données projet'!$B$244,FZ36+FY37-GH36)))</f>
        <v>108.20000000000003</v>
      </c>
      <c r="GA37" s="18">
        <f>FZ37*VLOOKUP('Données projet'!$B$17,Paramètres!$A$1:$I$89,3,0)*VLOOKUP('Données projet'!$B$17,Paramètres!$A$1:$I$89,5,0)</f>
        <v>70.892640000000014</v>
      </c>
      <c r="GB37" s="14">
        <f t="shared" si="49"/>
        <v>19.894967800482011</v>
      </c>
      <c r="GC37" s="22">
        <f t="shared" si="25"/>
        <v>158.12175025250619</v>
      </c>
      <c r="GD37" s="62">
        <f t="shared" si="26"/>
        <v>451.45508358583947</v>
      </c>
      <c r="GE37" s="62">
        <f ca="1">AVERAGE(OFFSET($GD$3,0,0,'Données projet'!$E$17+1,1))-AVERAGE(OFFSET($H$3,0,0,'Données projet'!$E$17+1,1))</f>
        <v>142.93037460866543</v>
      </c>
      <c r="GF37" s="62">
        <f t="shared" si="50"/>
        <v>146.18554498808049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3.6</v>
      </c>
      <c r="GU37" s="13">
        <f>IF('Données projet'!$A$270&gt;35,GU36+GT37-HC36,IF(A37&lt;'Données projet'!$A$270,$GR$205^A37,IF(A37='Données projet'!$A$270,'Données projet'!$B$270,GU36+GT37-HC36)))</f>
        <v>59.400000000000013</v>
      </c>
      <c r="GV37" s="18">
        <f>GU37*VLOOKUP('Données projet'!$B$18,Paramètres!$A$1:$I$89,3,0)*VLOOKUP('Données projet'!$B$18,Paramètres!$A$1:$I$89,5,0)</f>
        <v>50.965200000000017</v>
      </c>
      <c r="GW37" s="14">
        <f t="shared" si="51"/>
        <v>14.862748714148452</v>
      </c>
      <c r="GX37" s="22">
        <f t="shared" si="28"/>
        <v>114.65034401047525</v>
      </c>
      <c r="GY37" s="62">
        <f t="shared" si="29"/>
        <v>407.98367734380855</v>
      </c>
      <c r="GZ37" s="62">
        <f ca="1">AVERAGE(OFFSET($GY$3,0,0,'Données projet'!$E$18+1,1))-AVERAGE(OFFSET($H$3,0,0,'Données projet'!$E$18+1,1))</f>
        <v>188.08607733149256</v>
      </c>
      <c r="HA37" s="62">
        <f t="shared" si="52"/>
        <v>119.95698016603842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10.465</v>
      </c>
      <c r="D38" s="12">
        <f t="shared" si="32"/>
        <v>3.6693881225712346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109.107557437392</v>
      </c>
      <c r="H38" s="70">
        <f t="shared" si="1"/>
        <v>281.28405931347822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63</v>
      </c>
      <c r="L38" s="13">
        <f>VLOOKUP(A38,'Données projet'!$A$35:$I$55,9,0)</f>
        <v>3.6</v>
      </c>
      <c r="M38" s="13">
        <f t="array" ref="M38">INDEX(L:L,MIN(IF(ISNUMBER(L38:L234),ROW(L38:L234),"")))</f>
        <v>3.6</v>
      </c>
      <c r="N38" s="14">
        <f>IF('Données projet'!$A$36&gt;35,N37+M38-V37,IF(A38&lt;'Données projet'!$A$36,$K$205^A38,IF(A38='Données projet'!$A$36,'Données projet'!$B$36,N37+M38-V37)))</f>
        <v>63.000000000000014</v>
      </c>
      <c r="O38" s="14">
        <f>N38*VLOOKUP('Données projet'!$B$9,Paramètres!$A$1:$I$89,3,0)*VLOOKUP('Données projet'!$B$9,Paramètres!$A$1:$I$89,5,0)</f>
        <v>67.813200000000009</v>
      </c>
      <c r="P38" s="14">
        <f t="shared" si="33"/>
        <v>19.12939901326985</v>
      </c>
      <c r="Q38" s="22">
        <f t="shared" si="53"/>
        <v>151.42502661477832</v>
      </c>
      <c r="R38" s="62">
        <f t="shared" si="0"/>
        <v>444.75835994811166</v>
      </c>
      <c r="S38" s="62">
        <f ca="1">AVERAGE(OFFSET($R$3,0,0,'Données projet'!$E$9+1,1))-AVERAGE(OFFSET($H$3,0,0,'Données projet'!$E$9+1,1))</f>
        <v>236.98575892380046</v>
      </c>
      <c r="T38" s="62">
        <f t="shared" si="34"/>
        <v>145.77678223659774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6.5333333333333341</v>
      </c>
      <c r="AI38" s="14">
        <f>IF('Données projet'!$A$62&gt;35,AI37+AH38-AQ37,IF(A38&lt;'Données projet'!$A$62,$AF$205^A38,IF(A38='Données projet'!$A$62,'Données projet'!$B$62,AI37+AH38-AQ37)))</f>
        <v>119.33589743589741</v>
      </c>
      <c r="AJ38" s="14">
        <f>AI38*VLOOKUP('Données projet'!$B$10,Paramètres!$A$1:$I$89,3,0)*VLOOKUP('Données projet'!$B$10,Paramètres!$A$1:$I$89,5,0)</f>
        <v>69.811499999999995</v>
      </c>
      <c r="AK38" s="14">
        <f t="shared" si="35"/>
        <v>19.626639033990816</v>
      </c>
      <c r="AL38" s="22">
        <f t="shared" si="4"/>
        <v>155.77142548420065</v>
      </c>
      <c r="AM38" s="62">
        <f t="shared" si="5"/>
        <v>449.10475881753393</v>
      </c>
      <c r="AN38" s="62">
        <f ca="1">AVERAGE(OFFSET($AM$3,0,0,'Données projet'!$E$10+1,1))-AVERAGE(OFFSET($H$3,0,0,'Données projet'!$E$10+1,1))</f>
        <v>140.04898296125504</v>
      </c>
      <c r="AO38" s="62">
        <f t="shared" si="36"/>
        <v>129.5395511270716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147.89230769230767</v>
      </c>
      <c r="BB38" s="13">
        <f>VLOOKUP(A38,'Données projet'!$A$87:$I$107,9,0)</f>
        <v>8.9230769230769198</v>
      </c>
      <c r="BC38" s="13">
        <f t="array" ref="BC38">INDEX(BB:BB,MIN(IF(ISNUMBER(BB38:BB234),ROW(BB38:BB234),"")))</f>
        <v>8.9230769230769198</v>
      </c>
      <c r="BD38" s="13">
        <f>IF('Données projet'!$A$88&gt;35,BD37+BC38-BL37,IF(A38&lt;'Données projet'!$A$88,$BA$205^A38,IF(A38='Données projet'!$A$88,'Données projet'!$B$88,BD37+BC38-BL37)))</f>
        <v>147.89230769230767</v>
      </c>
      <c r="BE38" s="14">
        <f>BD38*VLOOKUP('Données projet'!$B$11,Paramètres!$A$1:$I$89,3,0)*VLOOKUP('Données projet'!$B$11,Paramètres!$A$1:$I$89,5,0)</f>
        <v>69.213599999999985</v>
      </c>
      <c r="BF38" s="14">
        <f t="shared" si="37"/>
        <v>19.478038510077166</v>
      </c>
      <c r="BG38" s="22">
        <f t="shared" si="7"/>
        <v>154.47127040505103</v>
      </c>
      <c r="BH38" s="62">
        <f t="shared" si="8"/>
        <v>447.80460373838434</v>
      </c>
      <c r="BI38" s="62">
        <f ca="1">AVERAGE(OFFSET($BH$3,0,0,'Données projet'!$E$11+1,1))-AVERAGE(OFFSET($H$3,0,0,'Données projet'!$E$11+1,1))</f>
        <v>207.84100251878419</v>
      </c>
      <c r="BJ38" s="62">
        <f t="shared" si="38"/>
        <v>124.34917784241952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153</v>
      </c>
      <c r="BW38" s="13">
        <f>VLOOKUP(A38,'Données projet'!$A$113:$I$133,9,0)</f>
        <v>4.2199999999999989</v>
      </c>
      <c r="BX38" s="13">
        <f t="array" ref="BX38">INDEX(BW:BW,MIN(IF(ISNUMBER(BW38:BW234),ROW(BW38:BW234),"")))</f>
        <v>4.2199999999999989</v>
      </c>
      <c r="BY38" s="13">
        <f>IF('Données projet'!$A$114&gt;35,BY37+BX38-CG37,IF(A38&lt;'Données projet'!$A$114,$BV$205^A38,IF(A38='Données projet'!$A$114,'Données projet'!$B$114,BY37+BX38-CG37)))</f>
        <v>152.99999999999997</v>
      </c>
      <c r="BZ38" s="14">
        <f>BY38*VLOOKUP('Données projet'!$B$12,Paramètres!$A$1:$I$89,3,0)*VLOOKUP('Données projet'!$B$12,Paramètres!$A$1:$I$89,5,0)</f>
        <v>79.559999999999988</v>
      </c>
      <c r="CA38" s="14">
        <f t="shared" si="39"/>
        <v>22.029567333453311</v>
      </c>
      <c r="CB38" s="22">
        <f t="shared" si="10"/>
        <v>176.93516310576447</v>
      </c>
      <c r="CC38" s="62">
        <f t="shared" si="11"/>
        <v>470.26849643909782</v>
      </c>
      <c r="CD38" s="62">
        <f ca="1">AVERAGE(OFFSET($CC$3,0,0,'Données projet'!$E$12+1,1))-AVERAGE(OFFSET($H$3,0,0,'Données projet'!$E$12+1,1))</f>
        <v>211.05980622218578</v>
      </c>
      <c r="CE38" s="62">
        <f t="shared" si="40"/>
        <v>168.57746894604855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1.9254166666666663</v>
      </c>
      <c r="CT38" s="13">
        <f>IF('Données projet'!$A$140&gt;35,CT37+CS38-DB37,IF(A38&lt;'Données projet'!$A$140,$CQ$205^A38,IF(A38='Données projet'!$A$140,'Données projet'!$B$140,CT37+CS38-DB37)))</f>
        <v>53.039583333333354</v>
      </c>
      <c r="CU38" s="18">
        <f>CT38*VLOOKUP('Données projet'!$B$13,Paramètres!$A$1:$I$89,3,0)*VLOOKUP('Données projet'!$B$13,Paramètres!$A$1:$I$89,5,0)</f>
        <v>61.101600000000019</v>
      </c>
      <c r="CV38" s="14">
        <f t="shared" si="41"/>
        <v>17.446492456972504</v>
      </c>
      <c r="CW38" s="22">
        <f t="shared" si="13"/>
        <v>136.80459436256049</v>
      </c>
      <c r="CX38" s="62">
        <f t="shared" si="14"/>
        <v>430.13792769589384</v>
      </c>
      <c r="CY38" s="62">
        <f ca="1">AVERAGE(OFFSET($CX$3,0,0,'Données projet'!$E$13+1,1))-AVERAGE(OFFSET($H$3,0,0,'Données projet'!$E$13+1,1))</f>
        <v>191.79777926975839</v>
      </c>
      <c r="CZ38" s="62">
        <f t="shared" si="42"/>
        <v>156.66161375678712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5.1959999999999997</v>
      </c>
      <c r="DO38" s="13">
        <f>IF('Données projet'!$A$166&gt;35,DO37+DN38-DW37,IF(A38&lt;'Données projet'!$A$166,$DL$205^A38,IF(A38='Données projet'!$A$166,'Données projet'!$B$166,DO37+DN38-DW37)))</f>
        <v>89.829999999999984</v>
      </c>
      <c r="DP38" s="18">
        <f>DO38*VLOOKUP('Données projet'!$B$14,Paramètres!$A$1:$I$89,3,0)*VLOOKUP('Données projet'!$B$14,Paramètres!$A$1:$I$89,5,0)</f>
        <v>98.09435999999998</v>
      </c>
      <c r="DQ38" s="14">
        <f t="shared" si="43"/>
        <v>26.507497974285869</v>
      </c>
      <c r="DR38" s="22">
        <f t="shared" si="16"/>
        <v>217.01490263854782</v>
      </c>
      <c r="DS38" s="62">
        <f t="shared" si="17"/>
        <v>510.34823597188114</v>
      </c>
      <c r="DT38" s="62">
        <f ca="1">AVERAGE(OFFSET($DS$3,0,0,'Données projet'!$E$14+1,1))-AVERAGE(OFFSET($H$3,0,0,'Données projet'!$E$14+1,1))</f>
        <v>541.0854688453461</v>
      </c>
      <c r="DU38" s="62">
        <f t="shared" si="44"/>
        <v>171.04847168584473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12.777777777777779</v>
      </c>
      <c r="EJ38" s="13">
        <f>IF('Données projet'!$A$192&gt;35,EJ37+EI38-ER37,IF(A38&lt;'Données projet'!$A$192,$EG$205^A38,IF(A38='Données projet'!$A$192,'Données projet'!$B$192,EJ37+EI38-ER37)))</f>
        <v>169.66666666666663</v>
      </c>
      <c r="EK38" s="18">
        <f>EJ38*VLOOKUP('Données projet'!$B$15,Paramètres!$A$1:$I$89,3,0)*VLOOKUP('Données projet'!$B$15,Paramètres!$A$1:$I$89,5,0)</f>
        <v>101.46066666666665</v>
      </c>
      <c r="EL38" s="14">
        <f t="shared" si="45"/>
        <v>27.309687011536219</v>
      </c>
      <c r="EM38" s="22">
        <f t="shared" si="19"/>
        <v>224.27503265620331</v>
      </c>
      <c r="EN38" s="62">
        <f t="shared" si="20"/>
        <v>517.60836598953665</v>
      </c>
      <c r="EO38" s="62">
        <f ca="1">AVERAGE(OFFSET($EN$3,0,0,'Données projet'!$E$15+1,1))-AVERAGE(OFFSET($H$3,0,0,'Données projet'!$E$15+1,1))</f>
        <v>244.01698421598974</v>
      </c>
      <c r="EP38" s="62">
        <f t="shared" si="46"/>
        <v>156.96653202915024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3.1312290420266011</v>
      </c>
      <c r="EX38" s="23">
        <f>EXP(-LN(2)/2)*EX37+(1-EXP(-LN(2)/2))/(LN(2)/2)*ER38*EU38*VLOOKUP('Données projet'!$B$15,Paramètres!$A$1:$I$89,3,0)*0.475*44/12</f>
        <v>1.7603947761941499</v>
      </c>
      <c r="EY38" s="24">
        <f t="shared" si="21"/>
        <v>4.8916238182207508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95</v>
      </c>
      <c r="FC38" s="13">
        <f>VLOOKUP(A38,'Données projet'!$A$217:$I$237,9,0)</f>
        <v>6.6</v>
      </c>
      <c r="FD38" s="13">
        <f t="array" ref="FD38">INDEX(FC:FC,MIN(IF(ISNUMBER(FC38:FC234),ROW(FC38:FC234),"")))</f>
        <v>6.6</v>
      </c>
      <c r="FE38" s="13">
        <f>IF('Données projet'!$A$218&gt;35,FE37+FD38-FM37,IF(A38&lt;'Données projet'!$A$218,$FB$205^A38,IF(A38='Données projet'!$A$218,'Données projet'!$B$218,FE37+FD38-FM37)))</f>
        <v>95</v>
      </c>
      <c r="FF38" s="18">
        <f>FE38*VLOOKUP('Données projet'!$B$16,Paramètres!$A$1:$I$89,3,0)*VLOOKUP('Données projet'!$B$16,Paramètres!$A$1:$I$89,5,0)</f>
        <v>82.992000000000004</v>
      </c>
      <c r="FG38" s="14">
        <f t="shared" si="47"/>
        <v>22.867173045817324</v>
      </c>
      <c r="FH38" s="22">
        <f t="shared" si="22"/>
        <v>184.37139305479852</v>
      </c>
      <c r="FI38" s="62">
        <f t="shared" si="23"/>
        <v>477.7047263881318</v>
      </c>
      <c r="FJ38" s="62">
        <f ca="1">AVERAGE(OFFSET($FI$3,0,0,'Données projet'!$E$16+1,1))-AVERAGE(OFFSET($H$3,0,0,'Données projet'!$E$16+1,1))</f>
        <v>175.08726167127026</v>
      </c>
      <c r="FK38" s="62">
        <f t="shared" si="48"/>
        <v>196.05343924817117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113</v>
      </c>
      <c r="FX38" s="13">
        <f>VLOOKUP(A38,'Données projet'!$A$243:$I$263,9,0)</f>
        <v>4.8</v>
      </c>
      <c r="FY38" s="13">
        <f t="array" ref="FY38">INDEX(FX:FX,MIN(IF(ISNUMBER(FX38:FX234),ROW(FX38:FX234),"")))</f>
        <v>4.8</v>
      </c>
      <c r="FZ38" s="13">
        <f>IF('Données projet'!$A$244&gt;35,FZ37+FY38-GH37,IF(A38&lt;'Données projet'!$A$244,$FW$205^A38,IF(A38='Données projet'!$A$244,'Données projet'!$B$244,FZ37+FY38-GH37)))</f>
        <v>113.00000000000003</v>
      </c>
      <c r="GA38" s="18">
        <f>FZ38*VLOOKUP('Données projet'!$B$17,Paramètres!$A$1:$I$89,3,0)*VLOOKUP('Données projet'!$B$17,Paramètres!$A$1:$I$89,5,0)</f>
        <v>74.037600000000012</v>
      </c>
      <c r="GB38" s="14">
        <f t="shared" si="49"/>
        <v>20.67284010765167</v>
      </c>
      <c r="GC38" s="22">
        <f t="shared" si="25"/>
        <v>164.95401652082666</v>
      </c>
      <c r="GD38" s="62">
        <f t="shared" si="26"/>
        <v>458.28734985415997</v>
      </c>
      <c r="GE38" s="62">
        <f ca="1">AVERAGE(OFFSET($GD$3,0,0,'Données projet'!$E$17+1,1))-AVERAGE(OFFSET($H$3,0,0,'Données projet'!$E$17+1,1))</f>
        <v>142.93037460866543</v>
      </c>
      <c r="GF38" s="62">
        <f t="shared" si="50"/>
        <v>146.18554498808049</v>
      </c>
      <c r="GG38" s="16">
        <f>IF(ISNA(VLOOKUP(A38,'Données projet'!$A$243:$I$263,3,0)),0,VLOOKUP(A38,'Données projet'!$A$243:$I$263,3,0))</f>
        <v>2</v>
      </c>
      <c r="GH38" s="16">
        <f>IF(ISNA(VLOOKUP(A38,'Données projet'!$A$243:$I$263,4,0)),0,VLOOKUP(A38,'Données projet'!$A$243:$I$263,4,0))</f>
        <v>27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63</v>
      </c>
      <c r="GS38" s="13">
        <f>VLOOKUP(A38,'Données projet'!$A$269:$I$289,9,0)</f>
        <v>3.6</v>
      </c>
      <c r="GT38" s="13">
        <f t="array" ref="GT38">INDEX(GS:GS,MIN(IF(ISNUMBER(GS38:GS234),ROW(GS38:GS234),"")))</f>
        <v>3.6</v>
      </c>
      <c r="GU38" s="13">
        <f>IF('Données projet'!$A$270&gt;35,GU37+GT38-HC37,IF(A38&lt;'Données projet'!$A$270,$GR$205^A38,IF(A38='Données projet'!$A$270,'Données projet'!$B$270,GU37+GT38-HC37)))</f>
        <v>63.000000000000014</v>
      </c>
      <c r="GV38" s="18">
        <f>GU38*VLOOKUP('Données projet'!$B$18,Paramètres!$A$1:$I$89,3,0)*VLOOKUP('Données projet'!$B$18,Paramètres!$A$1:$I$89,5,0)</f>
        <v>54.054000000000023</v>
      </c>
      <c r="GW38" s="14">
        <f t="shared" si="51"/>
        <v>15.655925351504674</v>
      </c>
      <c r="GX38" s="22">
        <f t="shared" si="28"/>
        <v>121.41145332053732</v>
      </c>
      <c r="GY38" s="62">
        <f t="shared" si="29"/>
        <v>414.74478665387062</v>
      </c>
      <c r="GZ38" s="62">
        <f ca="1">AVERAGE(OFFSET($GY$3,0,0,'Données projet'!$E$18+1,1))-AVERAGE(OFFSET($H$3,0,0,'Données projet'!$E$18+1,1))</f>
        <v>188.08607733149256</v>
      </c>
      <c r="HA38" s="62">
        <f t="shared" si="52"/>
        <v>119.95698016603842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10.763999999999999</v>
      </c>
      <c r="D39" s="12">
        <f t="shared" si="32"/>
        <v>3.76187201923933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112.12953839412818</v>
      </c>
      <c r="H39" s="70">
        <f t="shared" si="1"/>
        <v>281.96589376684187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4</v>
      </c>
      <c r="N39" s="14">
        <f>IF('Données projet'!$A$36&gt;35,N38+M39-V38,IF(A39&lt;'Données projet'!$A$36,$K$205^A39,IF(A39='Données projet'!$A$36,'Données projet'!$B$36,N38+M39-V38)))</f>
        <v>67.000000000000014</v>
      </c>
      <c r="O39" s="14">
        <f>N39*VLOOKUP('Données projet'!$B$9,Paramètres!$A$1:$I$89,3,0)*VLOOKUP('Données projet'!$B$9,Paramètres!$A$1:$I$89,5,0)</f>
        <v>72.118800000000007</v>
      </c>
      <c r="P39" s="14">
        <f t="shared" si="33"/>
        <v>20.198713641862817</v>
      </c>
      <c r="Q39" s="22">
        <f t="shared" si="53"/>
        <v>160.78633625957775</v>
      </c>
      <c r="R39" s="62">
        <f t="shared" si="0"/>
        <v>454.11966959291107</v>
      </c>
      <c r="S39" s="62">
        <f ca="1">AVERAGE(OFFSET($R$3,0,0,'Données projet'!$E$9+1,1))-AVERAGE(OFFSET($H$3,0,0,'Données projet'!$E$9+1,1))</f>
        <v>236.98575892380046</v>
      </c>
      <c r="T39" s="62">
        <f t="shared" si="34"/>
        <v>145.77678223659774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125.86923076923077</v>
      </c>
      <c r="AG39" s="13">
        <f>VLOOKUP(A39,'Données projet'!$A$61:$I$81,9,0)</f>
        <v>6.5333333333333341</v>
      </c>
      <c r="AH39" s="13">
        <f t="array" ref="AH39">INDEX(AG:AG,MIN(IF(ISNUMBER(AG39:AG235),ROW(AG39:AG235),"")))</f>
        <v>6.5333333333333341</v>
      </c>
      <c r="AI39" s="14">
        <f>IF('Données projet'!$A$62&gt;35,AI38+AH39-AQ38,IF(A39&lt;'Données projet'!$A$62,$AF$205^A39,IF(A39='Données projet'!$A$62,'Données projet'!$B$62,AI38+AH39-AQ38)))</f>
        <v>125.86923076923074</v>
      </c>
      <c r="AJ39" s="14">
        <f>AI39*VLOOKUP('Données projet'!$B$10,Paramètres!$A$1:$I$89,3,0)*VLOOKUP('Données projet'!$B$10,Paramètres!$A$1:$I$89,5,0)</f>
        <v>73.633499999999984</v>
      </c>
      <c r="AK39" s="14">
        <f t="shared" si="35"/>
        <v>20.57310901272707</v>
      </c>
      <c r="AL39" s="22">
        <f t="shared" si="4"/>
        <v>164.07651069716627</v>
      </c>
      <c r="AM39" s="62">
        <f t="shared" si="5"/>
        <v>457.40984403049958</v>
      </c>
      <c r="AN39" s="62">
        <f ca="1">AVERAGE(OFFSET($AM$3,0,0,'Données projet'!$E$10+1,1))-AVERAGE(OFFSET($H$3,0,0,'Données projet'!$E$10+1,1))</f>
        <v>140.04898296125504</v>
      </c>
      <c r="AO39" s="62">
        <f t="shared" si="36"/>
        <v>129.5395511270716</v>
      </c>
      <c r="AP39" s="16">
        <f>IF(ISNA(VLOOKUP(A39,'Données projet'!$A$61:$I$81,3,0)),0,VLOOKUP(A39,'Données projet'!$A$61:$I$81,3,0))</f>
        <v>1</v>
      </c>
      <c r="AQ39" s="16">
        <f>IF(ISNA(VLOOKUP(A39,'Données projet'!$A$61:$I$81,4,0)),0,VLOOKUP(A39,'Données projet'!$A$61:$I$81,4,0))</f>
        <v>34.892307692307689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9.981538461538463</v>
      </c>
      <c r="BD39" s="13">
        <f>IF('Données projet'!$A$88&gt;35,BD38+BC39-BL38,IF(A39&lt;'Données projet'!$A$88,$BA$205^A39,IF(A39='Données projet'!$A$88,'Données projet'!$B$88,BD38+BC39-BL38)))</f>
        <v>157.87384615384613</v>
      </c>
      <c r="BE39" s="14">
        <f>BD39*VLOOKUP('Données projet'!$B$11,Paramètres!$A$1:$I$89,3,0)*VLOOKUP('Données projet'!$B$11,Paramètres!$A$1:$I$89,5,0)</f>
        <v>73.884959999999992</v>
      </c>
      <c r="BF39" s="14">
        <f t="shared" si="37"/>
        <v>20.635176317181511</v>
      </c>
      <c r="BG39" s="22">
        <f t="shared" si="7"/>
        <v>164.62257075242445</v>
      </c>
      <c r="BH39" s="62">
        <f t="shared" si="8"/>
        <v>457.95590408575777</v>
      </c>
      <c r="BI39" s="62">
        <f ca="1">AVERAGE(OFFSET($BH$3,0,0,'Données projet'!$E$11+1,1))-AVERAGE(OFFSET($H$3,0,0,'Données projet'!$E$11+1,1))</f>
        <v>207.84100251878419</v>
      </c>
      <c r="BJ39" s="62">
        <f t="shared" si="38"/>
        <v>124.34917784241952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4</v>
      </c>
      <c r="BY39" s="13">
        <f>IF('Données projet'!$A$114&gt;35,BY38+BX39-CG38,IF(A39&lt;'Données projet'!$A$114,$BV$205^A39,IF(A39='Données projet'!$A$114,'Données projet'!$B$114,BY38+BX39-CG38)))</f>
        <v>156.99999999999997</v>
      </c>
      <c r="BZ39" s="14">
        <f>BY39*VLOOKUP('Données projet'!$B$12,Paramètres!$A$1:$I$89,3,0)*VLOOKUP('Données projet'!$B$12,Paramètres!$A$1:$I$89,5,0)</f>
        <v>81.639999999999986</v>
      </c>
      <c r="CA39" s="14">
        <f t="shared" si="39"/>
        <v>22.537697845766751</v>
      </c>
      <c r="CB39" s="22">
        <f t="shared" si="10"/>
        <v>181.44282374804376</v>
      </c>
      <c r="CC39" s="62">
        <f t="shared" si="11"/>
        <v>474.77615708137705</v>
      </c>
      <c r="CD39" s="62">
        <f ca="1">AVERAGE(OFFSET($CC$3,0,0,'Données projet'!$E$12+1,1))-AVERAGE(OFFSET($H$3,0,0,'Données projet'!$E$12+1,1))</f>
        <v>211.05980622218578</v>
      </c>
      <c r="CE39" s="62">
        <f t="shared" si="40"/>
        <v>168.57746894604855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1.9254166666666663</v>
      </c>
      <c r="CT39" s="13">
        <f>IF('Données projet'!$A$140&gt;35,CT38+CS39-DB38,IF(A39&lt;'Données projet'!$A$140,$CQ$205^A39,IF(A39='Données projet'!$A$140,'Données projet'!$B$140,CT38+CS39-DB38)))</f>
        <v>54.965000000000018</v>
      </c>
      <c r="CU39" s="18">
        <f>CT39*VLOOKUP('Données projet'!$B$13,Paramètres!$A$1:$I$89,3,0)*VLOOKUP('Données projet'!$B$13,Paramètres!$A$1:$I$89,5,0)</f>
        <v>63.319680000000012</v>
      </c>
      <c r="CV39" s="14">
        <f t="shared" si="41"/>
        <v>18.004939659941751</v>
      </c>
      <c r="CW39" s="22">
        <f t="shared" si="13"/>
        <v>141.64037924106523</v>
      </c>
      <c r="CX39" s="62">
        <f t="shared" si="14"/>
        <v>434.97371257439852</v>
      </c>
      <c r="CY39" s="62">
        <f ca="1">AVERAGE(OFFSET($CX$3,0,0,'Données projet'!$E$13+1,1))-AVERAGE(OFFSET($H$3,0,0,'Données projet'!$E$13+1,1))</f>
        <v>191.79777926975839</v>
      </c>
      <c r="CZ39" s="62">
        <f t="shared" si="42"/>
        <v>156.66161375678712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5.1959999999999997</v>
      </c>
      <c r="DO39" s="13">
        <f>IF('Données projet'!$A$166&gt;35,DO38+DN39-DW38,IF(A39&lt;'Données projet'!$A$166,$DL$205^A39,IF(A39='Données projet'!$A$166,'Données projet'!$B$166,DO38+DN39-DW38)))</f>
        <v>95.025999999999982</v>
      </c>
      <c r="DP39" s="18">
        <f>DO39*VLOOKUP('Données projet'!$B$14,Paramètres!$A$1:$I$89,3,0)*VLOOKUP('Données projet'!$B$14,Paramètres!$A$1:$I$89,5,0)</f>
        <v>103.76839199999998</v>
      </c>
      <c r="DQ39" s="14">
        <f t="shared" si="43"/>
        <v>27.857823064292518</v>
      </c>
      <c r="DR39" s="22">
        <f t="shared" si="16"/>
        <v>229.24899123697605</v>
      </c>
      <c r="DS39" s="62">
        <f t="shared" si="17"/>
        <v>522.58232457030931</v>
      </c>
      <c r="DT39" s="62">
        <f ca="1">AVERAGE(OFFSET($DS$3,0,0,'Données projet'!$E$14+1,1))-AVERAGE(OFFSET($H$3,0,0,'Données projet'!$E$14+1,1))</f>
        <v>541.0854688453461</v>
      </c>
      <c r="DU39" s="62">
        <f t="shared" si="44"/>
        <v>171.04847168584473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12.777777777777779</v>
      </c>
      <c r="EJ39" s="13">
        <f>IF('Données projet'!$A$192&gt;35,EJ38+EI39-ER38,IF(A39&lt;'Données projet'!$A$192,$EG$205^A39,IF(A39='Données projet'!$A$192,'Données projet'!$B$192,EJ38+EI39-ER38)))</f>
        <v>182.4444444444444</v>
      </c>
      <c r="EK39" s="18">
        <f>EJ39*VLOOKUP('Données projet'!$B$15,Paramètres!$A$1:$I$89,3,0)*VLOOKUP('Données projet'!$B$15,Paramètres!$A$1:$I$89,5,0)</f>
        <v>109.10177777777777</v>
      </c>
      <c r="EL39" s="14">
        <f t="shared" si="45"/>
        <v>29.119255529760959</v>
      </c>
      <c r="EM39" s="22">
        <f t="shared" si="19"/>
        <v>240.73496634396329</v>
      </c>
      <c r="EN39" s="62">
        <f t="shared" si="20"/>
        <v>534.06829967729664</v>
      </c>
      <c r="EO39" s="62">
        <f ca="1">AVERAGE(OFFSET($EN$3,0,0,'Données projet'!$E$15+1,1))-AVERAGE(OFFSET($H$3,0,0,'Données projet'!$E$15+1,1))</f>
        <v>244.01698421598974</v>
      </c>
      <c r="EP39" s="62">
        <f t="shared" si="46"/>
        <v>156.96653202915024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3.0456054192082047</v>
      </c>
      <c r="EX39" s="23">
        <f>EXP(-LN(2)/2)*EX38+(1-EXP(-LN(2)/2))/(LN(2)/2)*ER39*EU39*VLOOKUP('Données projet'!$B$15,Paramètres!$A$1:$I$89,3,0)*0.475*44/12</f>
        <v>1.2447870838122581</v>
      </c>
      <c r="EY39" s="24">
        <f t="shared" si="21"/>
        <v>4.2903925030204633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5.6</v>
      </c>
      <c r="FE39" s="13">
        <f>IF('Données projet'!$A$218&gt;35,FE38+FD39-FM38,IF(A39&lt;'Données projet'!$A$218,$FB$205^A39,IF(A39='Données projet'!$A$218,'Données projet'!$B$218,FE38+FD39-FM38)))</f>
        <v>100.6</v>
      </c>
      <c r="FF39" s="18">
        <f>FE39*VLOOKUP('Données projet'!$B$16,Paramètres!$A$1:$I$89,3,0)*VLOOKUP('Données projet'!$B$16,Paramètres!$A$1:$I$89,5,0)</f>
        <v>87.884160000000008</v>
      </c>
      <c r="FG39" s="14">
        <f t="shared" si="47"/>
        <v>24.054230949481131</v>
      </c>
      <c r="FH39" s="22">
        <f t="shared" si="22"/>
        <v>194.95936423701301</v>
      </c>
      <c r="FI39" s="62">
        <f t="shared" si="23"/>
        <v>488.29269757034632</v>
      </c>
      <c r="FJ39" s="62">
        <f ca="1">AVERAGE(OFFSET($FI$3,0,0,'Données projet'!$E$16+1,1))-AVERAGE(OFFSET($H$3,0,0,'Données projet'!$E$16+1,1))</f>
        <v>175.08726167127026</v>
      </c>
      <c r="FK39" s="62">
        <f t="shared" si="48"/>
        <v>196.05343924817117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4.8</v>
      </c>
      <c r="FZ39" s="13">
        <f>IF('Données projet'!$A$244&gt;35,FZ38+FY39-GH38,IF(A39&lt;'Données projet'!$A$244,$FW$205^A39,IF(A39='Données projet'!$A$244,'Données projet'!$B$244,FZ38+FY39-GH38)))</f>
        <v>90.800000000000026</v>
      </c>
      <c r="GA39" s="18">
        <f>FZ39*VLOOKUP('Données projet'!$B$17,Paramètres!$A$1:$I$89,3,0)*VLOOKUP('Données projet'!$B$17,Paramètres!$A$1:$I$89,5,0)</f>
        <v>59.49216000000002</v>
      </c>
      <c r="GB39" s="14">
        <f t="shared" si="49"/>
        <v>17.039807677491442</v>
      </c>
      <c r="GC39" s="22">
        <f t="shared" si="25"/>
        <v>133.29317703829761</v>
      </c>
      <c r="GD39" s="62">
        <f t="shared" si="26"/>
        <v>426.62651037163096</v>
      </c>
      <c r="GE39" s="62">
        <f ca="1">AVERAGE(OFFSET($GD$3,0,0,'Données projet'!$E$17+1,1))-AVERAGE(OFFSET($H$3,0,0,'Données projet'!$E$17+1,1))</f>
        <v>142.93037460866543</v>
      </c>
      <c r="GF39" s="62">
        <f t="shared" si="50"/>
        <v>146.18554498808049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4</v>
      </c>
      <c r="GU39" s="13">
        <f>IF('Données projet'!$A$270&gt;35,GU38+GT39-HC38,IF(A39&lt;'Données projet'!$A$270,$GR$205^A39,IF(A39='Données projet'!$A$270,'Données projet'!$B$270,GU38+GT39-HC38)))</f>
        <v>67.000000000000014</v>
      </c>
      <c r="GV39" s="18">
        <f>GU39*VLOOKUP('Données projet'!$B$18,Paramètres!$A$1:$I$89,3,0)*VLOOKUP('Données projet'!$B$18,Paramètres!$A$1:$I$89,5,0)</f>
        <v>57.486000000000018</v>
      </c>
      <c r="GW39" s="14">
        <f t="shared" si="51"/>
        <v>16.531076211754396</v>
      </c>
      <c r="GX39" s="22">
        <f t="shared" si="28"/>
        <v>128.9130744021389</v>
      </c>
      <c r="GY39" s="62">
        <f t="shared" si="29"/>
        <v>422.24640773547219</v>
      </c>
      <c r="GZ39" s="62">
        <f ca="1">AVERAGE(OFFSET($GY$3,0,0,'Données projet'!$E$18+1,1))-AVERAGE(OFFSET($H$3,0,0,'Données projet'!$E$18+1,1))</f>
        <v>188.08607733149256</v>
      </c>
      <c r="HA39" s="62">
        <f t="shared" si="52"/>
        <v>119.95698016603842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40" s="12">
        <f t="shared" si="32"/>
        <v>3.8540573269792704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115.14921445387506</v>
      </c>
      <c r="H40" s="70">
        <f t="shared" si="1"/>
        <v>282.64720817782222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4</v>
      </c>
      <c r="N40" s="14">
        <f>IF('Données projet'!$A$36&gt;35,N39+M40-V39,IF(A40&lt;'Données projet'!$A$36,$K$205^A40,IF(A40='Données projet'!$A$36,'Données projet'!$B$36,N39+M40-V39)))</f>
        <v>71.000000000000014</v>
      </c>
      <c r="O40" s="14">
        <f>N40*VLOOKUP('Données projet'!$B$9,Paramètres!$A$1:$I$89,3,0)*VLOOKUP('Données projet'!$B$9,Paramètres!$A$1:$I$89,5,0)</f>
        <v>76.42440000000002</v>
      </c>
      <c r="P40" s="14">
        <f t="shared" si="33"/>
        <v>21.260618446015872</v>
      </c>
      <c r="Q40" s="22">
        <f t="shared" si="53"/>
        <v>170.13474046014434</v>
      </c>
      <c r="R40" s="62">
        <f t="shared" si="0"/>
        <v>463.46807379347763</v>
      </c>
      <c r="S40" s="62">
        <f ca="1">AVERAGE(OFFSET($R$3,0,0,'Données projet'!$E$9+1,1))-AVERAGE(OFFSET($H$3,0,0,'Données projet'!$E$9+1,1))</f>
        <v>236.98575892380046</v>
      </c>
      <c r="T40" s="62">
        <f t="shared" si="34"/>
        <v>145.77678223659774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5.9557692307692314</v>
      </c>
      <c r="AI40" s="14">
        <f>IF('Données projet'!$A$62&gt;35,AI39+AH40-AQ39,IF(A40&lt;'Données projet'!$A$62,$AF$205^A40,IF(A40='Données projet'!$A$62,'Données projet'!$B$62,AI39+AH40-AQ39)))</f>
        <v>96.932692307692264</v>
      </c>
      <c r="AJ40" s="14">
        <f>AI40*VLOOKUP('Données projet'!$B$10,Paramètres!$A$1:$I$89,3,0)*VLOOKUP('Données projet'!$B$10,Paramètres!$A$1:$I$89,5,0)</f>
        <v>56.705624999999984</v>
      </c>
      <c r="AK40" s="14">
        <f t="shared" si="35"/>
        <v>16.332629995030498</v>
      </c>
      <c r="AL40" s="22">
        <f t="shared" si="4"/>
        <v>127.20829411634475</v>
      </c>
      <c r="AM40" s="62">
        <f t="shared" si="5"/>
        <v>420.54162744967806</v>
      </c>
      <c r="AN40" s="62">
        <f ca="1">AVERAGE(OFFSET($AM$3,0,0,'Données projet'!$E$10+1,1))-AVERAGE(OFFSET($H$3,0,0,'Données projet'!$E$10+1,1))</f>
        <v>140.04898296125504</v>
      </c>
      <c r="AO40" s="62">
        <f t="shared" si="36"/>
        <v>129.5395511270716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9.981538461538463</v>
      </c>
      <c r="BD40" s="13">
        <f>IF('Données projet'!$A$88&gt;35,BD39+BC40-BL39,IF(A40&lt;'Données projet'!$A$88,$BA$205^A40,IF(A40='Données projet'!$A$88,'Données projet'!$B$88,BD39+BC40-BL39)))</f>
        <v>167.85538461538459</v>
      </c>
      <c r="BE40" s="14">
        <f>BD40*VLOOKUP('Données projet'!$B$11,Paramètres!$A$1:$I$89,3,0)*VLOOKUP('Données projet'!$B$11,Paramètres!$A$1:$I$89,5,0)</f>
        <v>78.556319999999985</v>
      </c>
      <c r="BF40" s="14">
        <f t="shared" si="37"/>
        <v>21.783823615207403</v>
      </c>
      <c r="BG40" s="22">
        <f t="shared" si="7"/>
        <v>174.75908346315285</v>
      </c>
      <c r="BH40" s="62">
        <f t="shared" si="8"/>
        <v>468.09241679648619</v>
      </c>
      <c r="BI40" s="62">
        <f ca="1">AVERAGE(OFFSET($BH$3,0,0,'Données projet'!$E$11+1,1))-AVERAGE(OFFSET($H$3,0,0,'Données projet'!$E$11+1,1))</f>
        <v>207.84100251878419</v>
      </c>
      <c r="BJ40" s="62">
        <f t="shared" si="38"/>
        <v>124.34917784241952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4</v>
      </c>
      <c r="BY40" s="13">
        <f>IF('Données projet'!$A$114&gt;35,BY39+BX40-CG39,IF(A40&lt;'Données projet'!$A$114,$BV$205^A40,IF(A40='Données projet'!$A$114,'Données projet'!$B$114,BY39+BX40-CG39)))</f>
        <v>160.99999999999997</v>
      </c>
      <c r="BZ40" s="14">
        <f>BY40*VLOOKUP('Données projet'!$B$12,Paramètres!$A$1:$I$89,3,0)*VLOOKUP('Données projet'!$B$12,Paramètres!$A$1:$I$89,5,0)</f>
        <v>83.72</v>
      </c>
      <c r="CA40" s="14">
        <f t="shared" si="39"/>
        <v>23.044323503842598</v>
      </c>
      <c r="CB40" s="22">
        <f t="shared" si="10"/>
        <v>185.9478634358592</v>
      </c>
      <c r="CC40" s="62">
        <f t="shared" si="11"/>
        <v>479.28119676919255</v>
      </c>
      <c r="CD40" s="62">
        <f ca="1">AVERAGE(OFFSET($CC$3,0,0,'Données projet'!$E$12+1,1))-AVERAGE(OFFSET($H$3,0,0,'Données projet'!$E$12+1,1))</f>
        <v>211.05980622218578</v>
      </c>
      <c r="CE40" s="62">
        <f t="shared" si="40"/>
        <v>168.57746894604855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1.9254166666666663</v>
      </c>
      <c r="CT40" s="13">
        <f>IF('Données projet'!$A$140&gt;35,CT39+CS40-DB39,IF(A40&lt;'Données projet'!$A$140,$CQ$205^A40,IF(A40='Données projet'!$A$140,'Données projet'!$B$140,CT39+CS40-DB39)))</f>
        <v>56.890416666666681</v>
      </c>
      <c r="CU40" s="18">
        <f>CT40*VLOOKUP('Données projet'!$B$13,Paramètres!$A$1:$I$89,3,0)*VLOOKUP('Données projet'!$B$13,Paramètres!$A$1:$I$89,5,0)</f>
        <v>65.537760000000006</v>
      </c>
      <c r="CV40" s="14">
        <f t="shared" si="41"/>
        <v>18.561113952495973</v>
      </c>
      <c r="CW40" s="22">
        <f t="shared" si="13"/>
        <v>146.47220546726382</v>
      </c>
      <c r="CX40" s="62">
        <f t="shared" si="14"/>
        <v>439.80553880059711</v>
      </c>
      <c r="CY40" s="62">
        <f ca="1">AVERAGE(OFFSET($CX$3,0,0,'Données projet'!$E$13+1,1))-AVERAGE(OFFSET($H$3,0,0,'Données projet'!$E$13+1,1))</f>
        <v>191.79777926975839</v>
      </c>
      <c r="CZ40" s="62">
        <f t="shared" si="42"/>
        <v>156.66161375678712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5.1959999999999997</v>
      </c>
      <c r="DO40" s="13">
        <f>IF('Données projet'!$A$166&gt;35,DO39+DN40-DW39,IF(A40&lt;'Données projet'!$A$166,$DL$205^A40,IF(A40='Données projet'!$A$166,'Données projet'!$B$166,DO39+DN40-DW39)))</f>
        <v>100.22199999999998</v>
      </c>
      <c r="DP40" s="18">
        <f>DO40*VLOOKUP('Données projet'!$B$14,Paramètres!$A$1:$I$89,3,0)*VLOOKUP('Données projet'!$B$14,Paramètres!$A$1:$I$89,5,0)</f>
        <v>109.44242399999999</v>
      </c>
      <c r="DQ40" s="14">
        <f t="shared" si="43"/>
        <v>29.199576489694042</v>
      </c>
      <c r="DR40" s="22">
        <f t="shared" si="16"/>
        <v>241.46815085288378</v>
      </c>
      <c r="DS40" s="62">
        <f t="shared" si="17"/>
        <v>534.80148418621707</v>
      </c>
      <c r="DT40" s="62">
        <f ca="1">AVERAGE(OFFSET($DS$3,0,0,'Données projet'!$E$14+1,1))-AVERAGE(OFFSET($H$3,0,0,'Données projet'!$E$14+1,1))</f>
        <v>541.0854688453461</v>
      </c>
      <c r="DU40" s="62">
        <f t="shared" si="44"/>
        <v>171.04847168584473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12.777777777777779</v>
      </c>
      <c r="EJ40" s="13">
        <f>IF('Données projet'!$A$192&gt;35,EJ39+EI40-ER39,IF(A40&lt;'Données projet'!$A$192,$EG$205^A40,IF(A40='Données projet'!$A$192,'Données projet'!$B$192,EJ39+EI40-ER39)))</f>
        <v>195.22222222222217</v>
      </c>
      <c r="EK40" s="18">
        <f>EJ40*VLOOKUP('Données projet'!$B$15,Paramètres!$A$1:$I$89,3,0)*VLOOKUP('Données projet'!$B$15,Paramètres!$A$1:$I$89,5,0)</f>
        <v>116.74288888888886</v>
      </c>
      <c r="EL40" s="14">
        <f t="shared" si="45"/>
        <v>30.914119270766037</v>
      </c>
      <c r="EM40" s="22">
        <f t="shared" si="19"/>
        <v>257.1692892113989</v>
      </c>
      <c r="EN40" s="62">
        <f t="shared" si="20"/>
        <v>550.50262254473228</v>
      </c>
      <c r="EO40" s="62">
        <f ca="1">AVERAGE(OFFSET($EN$3,0,0,'Données projet'!$E$15+1,1))-AVERAGE(OFFSET($H$3,0,0,'Données projet'!$E$15+1,1))</f>
        <v>244.01698421598974</v>
      </c>
      <c r="EP40" s="62">
        <f t="shared" si="46"/>
        <v>156.96653202915024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2.962323178858528</v>
      </c>
      <c r="EX40" s="23">
        <f>EXP(-LN(2)/2)*EX39+(1-EXP(-LN(2)/2))/(LN(2)/2)*ER40*EU40*VLOOKUP('Données projet'!$B$15,Paramètres!$A$1:$I$89,3,0)*0.475*44/12</f>
        <v>0.88019738809707504</v>
      </c>
      <c r="EY40" s="24">
        <f t="shared" si="21"/>
        <v>3.8425205669556028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5.6</v>
      </c>
      <c r="FE40" s="13">
        <f>IF('Données projet'!$A$218&gt;35,FE39+FD40-FM39,IF(A40&lt;'Données projet'!$A$218,$FB$205^A40,IF(A40='Données projet'!$A$218,'Données projet'!$B$218,FE39+FD40-FM39)))</f>
        <v>106.19999999999999</v>
      </c>
      <c r="FF40" s="18">
        <f>FE40*VLOOKUP('Données projet'!$B$16,Paramètres!$A$1:$I$89,3,0)*VLOOKUP('Données projet'!$B$16,Paramètres!$A$1:$I$89,5,0)</f>
        <v>92.776319999999998</v>
      </c>
      <c r="FG40" s="14">
        <f t="shared" si="47"/>
        <v>25.233617967655977</v>
      </c>
      <c r="FH40" s="22">
        <f t="shared" si="22"/>
        <v>205.53397529366748</v>
      </c>
      <c r="FI40" s="62">
        <f t="shared" si="23"/>
        <v>498.8673086270008</v>
      </c>
      <c r="FJ40" s="62">
        <f ca="1">AVERAGE(OFFSET($FI$3,0,0,'Données projet'!$E$16+1,1))-AVERAGE(OFFSET($H$3,0,0,'Données projet'!$E$16+1,1))</f>
        <v>175.08726167127026</v>
      </c>
      <c r="FK40" s="62">
        <f t="shared" si="48"/>
        <v>196.05343924817117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4.8</v>
      </c>
      <c r="FZ40" s="13">
        <f>IF('Données projet'!$A$244&gt;35,FZ39+FY40-GH39,IF(A40&lt;'Données projet'!$A$244,$FW$205^A40,IF(A40='Données projet'!$A$244,'Données projet'!$B$244,FZ39+FY40-GH39)))</f>
        <v>95.600000000000023</v>
      </c>
      <c r="GA40" s="18">
        <f>FZ40*VLOOKUP('Données projet'!$B$17,Paramètres!$A$1:$I$89,3,0)*VLOOKUP('Données projet'!$B$17,Paramètres!$A$1:$I$89,5,0)</f>
        <v>62.637120000000017</v>
      </c>
      <c r="GB40" s="14">
        <f t="shared" si="49"/>
        <v>17.833337410239746</v>
      </c>
      <c r="GC40" s="22">
        <f t="shared" si="25"/>
        <v>140.15271332283422</v>
      </c>
      <c r="GD40" s="62">
        <f t="shared" si="26"/>
        <v>433.48604665616756</v>
      </c>
      <c r="GE40" s="62">
        <f ca="1">AVERAGE(OFFSET($GD$3,0,0,'Données projet'!$E$17+1,1))-AVERAGE(OFFSET($H$3,0,0,'Données projet'!$E$17+1,1))</f>
        <v>142.93037460866543</v>
      </c>
      <c r="GF40" s="62">
        <f t="shared" si="50"/>
        <v>146.18554498808049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4</v>
      </c>
      <c r="GU40" s="13">
        <f>IF('Données projet'!$A$270&gt;35,GU39+GT40-HC39,IF(A40&lt;'Données projet'!$A$270,$GR$205^A40,IF(A40='Données projet'!$A$270,'Données projet'!$B$270,GU39+GT40-HC39)))</f>
        <v>71.000000000000014</v>
      </c>
      <c r="GV40" s="18">
        <f>GU40*VLOOKUP('Données projet'!$B$18,Paramètres!$A$1:$I$89,3,0)*VLOOKUP('Données projet'!$B$18,Paramètres!$A$1:$I$89,5,0)</f>
        <v>60.918000000000021</v>
      </c>
      <c r="GW40" s="14">
        <f t="shared" si="51"/>
        <v>17.400162706980499</v>
      </c>
      <c r="GX40" s="22">
        <f t="shared" si="28"/>
        <v>136.40413338132439</v>
      </c>
      <c r="GY40" s="62">
        <f t="shared" si="29"/>
        <v>429.73746671465767</v>
      </c>
      <c r="GZ40" s="62">
        <f ca="1">AVERAGE(OFFSET($GY$3,0,0,'Données projet'!$E$18+1,1))-AVERAGE(OFFSET($H$3,0,0,'Données projet'!$E$18+1,1))</f>
        <v>188.08607733149256</v>
      </c>
      <c r="HA40" s="62">
        <f t="shared" si="52"/>
        <v>119.95698016603842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11.361999999999998</v>
      </c>
      <c r="D41" s="12">
        <f t="shared" si="32"/>
        <v>3.945953043168259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118.16665507007077</v>
      </c>
      <c r="H41" s="70">
        <f t="shared" si="1"/>
        <v>283.32801821685138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4</v>
      </c>
      <c r="N41" s="14">
        <f>IF('Données projet'!$A$36&gt;35,N40+M41-V40,IF(A41&lt;'Données projet'!$A$36,$K$205^A41,IF(A41='Données projet'!$A$36,'Données projet'!$B$36,N40+M41-V40)))</f>
        <v>75.000000000000014</v>
      </c>
      <c r="O41" s="14">
        <f>N41*VLOOKUP('Données projet'!$B$9,Paramètres!$A$1:$I$89,3,0)*VLOOKUP('Données projet'!$B$9,Paramètres!$A$1:$I$89,5,0)</f>
        <v>80.730000000000018</v>
      </c>
      <c r="P41" s="14">
        <f t="shared" si="33"/>
        <v>22.315578453114171</v>
      </c>
      <c r="Q41" s="22">
        <f t="shared" si="53"/>
        <v>179.47104913917386</v>
      </c>
      <c r="R41" s="62">
        <f t="shared" si="0"/>
        <v>472.8043824725072</v>
      </c>
      <c r="S41" s="62">
        <f ca="1">AVERAGE(OFFSET($R$3,0,0,'Données projet'!$E$9+1,1))-AVERAGE(OFFSET($H$3,0,0,'Données projet'!$E$9+1,1))</f>
        <v>236.98575892380046</v>
      </c>
      <c r="T41" s="62">
        <f t="shared" si="34"/>
        <v>145.77678223659774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5.9557692307692314</v>
      </c>
      <c r="AI41" s="14">
        <f>IF('Données projet'!$A$62&gt;35,AI40+AH41-AQ40,IF(A41&lt;'Données projet'!$A$62,$AF$205^A41,IF(A41='Données projet'!$A$62,'Données projet'!$B$62,AI40+AH41-AQ40)))</f>
        <v>102.8884615384615</v>
      </c>
      <c r="AJ41" s="14">
        <f>AI41*VLOOKUP('Données projet'!$B$10,Paramètres!$A$1:$I$89,3,0)*VLOOKUP('Données projet'!$B$10,Paramètres!$A$1:$I$89,5,0)</f>
        <v>60.189749999999975</v>
      </c>
      <c r="AK41" s="14">
        <f t="shared" si="35"/>
        <v>17.216234946163169</v>
      </c>
      <c r="AL41" s="22">
        <f t="shared" si="4"/>
        <v>134.81542378123416</v>
      </c>
      <c r="AM41" s="62">
        <f t="shared" si="5"/>
        <v>428.1487571145675</v>
      </c>
      <c r="AN41" s="62">
        <f ca="1">AVERAGE(OFFSET($AM$3,0,0,'Données projet'!$E$10+1,1))-AVERAGE(OFFSET($H$3,0,0,'Données projet'!$E$10+1,1))</f>
        <v>140.04898296125504</v>
      </c>
      <c r="AO41" s="62">
        <f t="shared" si="36"/>
        <v>129.5395511270716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9.981538461538463</v>
      </c>
      <c r="BD41" s="13">
        <f>IF('Données projet'!$A$88&gt;35,BD40+BC41-BL40,IF(A41&lt;'Données projet'!$A$88,$BA$205^A41,IF(A41='Données projet'!$A$88,'Données projet'!$B$88,BD40+BC41-BL40)))</f>
        <v>177.83692307692306</v>
      </c>
      <c r="BE41" s="14">
        <f>BD41*VLOOKUP('Données projet'!$B$11,Paramètres!$A$1:$I$89,3,0)*VLOOKUP('Données projet'!$B$11,Paramètres!$A$1:$I$89,5,0)</f>
        <v>83.227679999999978</v>
      </c>
      <c r="BF41" s="14">
        <f t="shared" si="37"/>
        <v>22.924542798244513</v>
      </c>
      <c r="BG41" s="22">
        <f t="shared" si="7"/>
        <v>184.88178804027584</v>
      </c>
      <c r="BH41" s="62">
        <f t="shared" si="8"/>
        <v>478.21512137360912</v>
      </c>
      <c r="BI41" s="62">
        <f ca="1">AVERAGE(OFFSET($BH$3,0,0,'Données projet'!$E$11+1,1))-AVERAGE(OFFSET($H$3,0,0,'Données projet'!$E$11+1,1))</f>
        <v>207.84100251878419</v>
      </c>
      <c r="BJ41" s="62">
        <f t="shared" si="38"/>
        <v>124.34917784241952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4</v>
      </c>
      <c r="BY41" s="13">
        <f>IF('Données projet'!$A$114&gt;35,BY40+BX41-CG40,IF(A41&lt;'Données projet'!$A$114,$BV$205^A41,IF(A41='Données projet'!$A$114,'Données projet'!$B$114,BY40+BX41-CG40)))</f>
        <v>164.99999999999997</v>
      </c>
      <c r="BZ41" s="14">
        <f>BY41*VLOOKUP('Données projet'!$B$12,Paramètres!$A$1:$I$89,3,0)*VLOOKUP('Données projet'!$B$12,Paramètres!$A$1:$I$89,5,0)</f>
        <v>85.799999999999983</v>
      </c>
      <c r="CA41" s="14">
        <f t="shared" si="39"/>
        <v>23.549485995669766</v>
      </c>
      <c r="CB41" s="22">
        <f t="shared" si="10"/>
        <v>190.45035477579145</v>
      </c>
      <c r="CC41" s="62">
        <f t="shared" si="11"/>
        <v>483.7836881091248</v>
      </c>
      <c r="CD41" s="62">
        <f ca="1">AVERAGE(OFFSET($CC$3,0,0,'Données projet'!$E$12+1,1))-AVERAGE(OFFSET($H$3,0,0,'Données projet'!$E$12+1,1))</f>
        <v>211.05980622218578</v>
      </c>
      <c r="CE41" s="62">
        <f t="shared" si="40"/>
        <v>168.57746894604855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1.9254166666666663</v>
      </c>
      <c r="CT41" s="13">
        <f>IF('Données projet'!$A$140&gt;35,CT40+CS41-DB40,IF(A41&lt;'Données projet'!$A$140,$CQ$205^A41,IF(A41='Données projet'!$A$140,'Données projet'!$B$140,CT40+CS41-DB40)))</f>
        <v>58.815833333333345</v>
      </c>
      <c r="CU41" s="18">
        <f>CT41*VLOOKUP('Données projet'!$B$13,Paramètres!$A$1:$I$89,3,0)*VLOOKUP('Données projet'!$B$13,Paramètres!$A$1:$I$89,5,0)</f>
        <v>67.755840000000006</v>
      </c>
      <c r="CV41" s="14">
        <f t="shared" si="41"/>
        <v>19.115101078108083</v>
      </c>
      <c r="CW41" s="22">
        <f t="shared" si="13"/>
        <v>151.3002223777049</v>
      </c>
      <c r="CX41" s="62">
        <f t="shared" si="14"/>
        <v>444.63355571103818</v>
      </c>
      <c r="CY41" s="62">
        <f ca="1">AVERAGE(OFFSET($CX$3,0,0,'Données projet'!$E$13+1,1))-AVERAGE(OFFSET($H$3,0,0,'Données projet'!$E$13+1,1))</f>
        <v>191.79777926975839</v>
      </c>
      <c r="CZ41" s="62">
        <f t="shared" si="42"/>
        <v>156.66161375678712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5.1959999999999997</v>
      </c>
      <c r="DO41" s="13">
        <f>IF('Données projet'!$A$166&gt;35,DO40+DN41-DW40,IF(A41&lt;'Données projet'!$A$166,$DL$205^A41,IF(A41='Données projet'!$A$166,'Données projet'!$B$166,DO40+DN41-DW40)))</f>
        <v>105.41799999999998</v>
      </c>
      <c r="DP41" s="18">
        <f>DO41*VLOOKUP('Données projet'!$B$14,Paramètres!$A$1:$I$89,3,0)*VLOOKUP('Données projet'!$B$14,Paramètres!$A$1:$I$89,5,0)</f>
        <v>115.11645599999997</v>
      </c>
      <c r="DQ41" s="14">
        <f t="shared" si="43"/>
        <v>30.53325333615998</v>
      </c>
      <c r="DR41" s="22">
        <f t="shared" si="16"/>
        <v>253.67324376047858</v>
      </c>
      <c r="DS41" s="62">
        <f t="shared" si="17"/>
        <v>547.00657709381187</v>
      </c>
      <c r="DT41" s="62">
        <f ca="1">AVERAGE(OFFSET($DS$3,0,0,'Données projet'!$E$14+1,1))-AVERAGE(OFFSET($H$3,0,0,'Données projet'!$E$14+1,1))</f>
        <v>541.0854688453461</v>
      </c>
      <c r="DU41" s="62">
        <f t="shared" si="44"/>
        <v>171.04847168584473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>
        <f>VLOOKUP(A41,'Données projet'!$A$191:$I$211,2,0)</f>
        <v>208</v>
      </c>
      <c r="EH41" s="13">
        <f>VLOOKUP(A41,'Données projet'!$A$191:$I$211,9,0)</f>
        <v>12.777777777777779</v>
      </c>
      <c r="EI41" s="13">
        <f t="array" ref="EI41">INDEX(EH:EH,MIN(IF(ISNUMBER(EH41:EH237),ROW(EH41:EH237),"")))</f>
        <v>12.777777777777779</v>
      </c>
      <c r="EJ41" s="13">
        <f>IF('Données projet'!$A$192&gt;35,EJ40+EI41-ER40,IF(A41&lt;'Données projet'!$A$192,$EG$205^A41,IF(A41='Données projet'!$A$192,'Données projet'!$B$192,EJ40+EI41-ER40)))</f>
        <v>207.99999999999994</v>
      </c>
      <c r="EK41" s="18">
        <f>EJ41*VLOOKUP('Données projet'!$B$15,Paramètres!$A$1:$I$89,3,0)*VLOOKUP('Données projet'!$B$15,Paramètres!$A$1:$I$89,5,0)</f>
        <v>124.38399999999997</v>
      </c>
      <c r="EL41" s="14">
        <f t="shared" si="45"/>
        <v>32.695350227217666</v>
      </c>
      <c r="EM41" s="22">
        <f t="shared" si="19"/>
        <v>273.57986831240407</v>
      </c>
      <c r="EN41" s="62">
        <f t="shared" si="20"/>
        <v>566.91320164573744</v>
      </c>
      <c r="EO41" s="62">
        <f ca="1">AVERAGE(OFFSET($EN$3,0,0,'Données projet'!$E$15+1,1))-AVERAGE(OFFSET($H$3,0,0,'Données projet'!$E$15+1,1))</f>
        <v>244.01698421598974</v>
      </c>
      <c r="EP41" s="62">
        <f t="shared" si="46"/>
        <v>156.96653202915024</v>
      </c>
      <c r="EQ41" s="16">
        <f>IF(ISNA(VLOOKUP(A41,'Données projet'!$A$191:$I$211,3,0)),0,VLOOKUP(A41,'Données projet'!$A$191:$I$211,3,0))</f>
        <v>2</v>
      </c>
      <c r="ER41" s="16">
        <f>IF(ISNA(VLOOKUP(A41,'Données projet'!$A$191:$I$211,4,0)),0,VLOOKUP(A41,'Données projet'!$A$191:$I$211,4,0))</f>
        <v>73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2.8813182957508361</v>
      </c>
      <c r="EX41" s="23">
        <f>EXP(-LN(2)/2)*EX40+(1-EXP(-LN(2)/2))/(LN(2)/2)*ER41*EU41*VLOOKUP('Données projet'!$B$15,Paramètres!$A$1:$I$89,3,0)*0.475*44/12</f>
        <v>0.62239354190612917</v>
      </c>
      <c r="EY41" s="24">
        <f t="shared" si="21"/>
        <v>3.5037118376569651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5.6</v>
      </c>
      <c r="FE41" s="13">
        <f>IF('Données projet'!$A$218&gt;35,FE40+FD41-FM40,IF(A41&lt;'Données projet'!$A$218,$FB$205^A41,IF(A41='Données projet'!$A$218,'Données projet'!$B$218,FE40+FD41-FM40)))</f>
        <v>111.79999999999998</v>
      </c>
      <c r="FF41" s="18">
        <f>FE41*VLOOKUP('Données projet'!$B$16,Paramètres!$A$1:$I$89,3,0)*VLOOKUP('Données projet'!$B$16,Paramètres!$A$1:$I$89,5,0)</f>
        <v>97.668480000000002</v>
      </c>
      <c r="FG41" s="14">
        <f t="shared" si="47"/>
        <v>26.405784719550642</v>
      </c>
      <c r="FH41" s="22">
        <f t="shared" si="22"/>
        <v>216.09601105321735</v>
      </c>
      <c r="FI41" s="62">
        <f t="shared" si="23"/>
        <v>509.42934438655067</v>
      </c>
      <c r="FJ41" s="62">
        <f ca="1">AVERAGE(OFFSET($FI$3,0,0,'Données projet'!$E$16+1,1))-AVERAGE(OFFSET($H$3,0,0,'Données projet'!$E$16+1,1))</f>
        <v>175.08726167127026</v>
      </c>
      <c r="FK41" s="62">
        <f t="shared" si="48"/>
        <v>196.05343924817117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4.8</v>
      </c>
      <c r="FZ41" s="13">
        <f>IF('Données projet'!$A$244&gt;35,FZ40+FY41-GH40,IF(A41&lt;'Données projet'!$A$244,$FW$205^A41,IF(A41='Données projet'!$A$244,'Données projet'!$B$244,FZ40+FY41-GH40)))</f>
        <v>100.40000000000002</v>
      </c>
      <c r="GA41" s="18">
        <f>FZ41*VLOOKUP('Données projet'!$B$17,Paramètres!$A$1:$I$89,3,0)*VLOOKUP('Données projet'!$B$17,Paramètres!$A$1:$I$89,5,0)</f>
        <v>65.782080000000008</v>
      </c>
      <c r="GB41" s="14">
        <f t="shared" si="49"/>
        <v>18.622240949926365</v>
      </c>
      <c r="GC41" s="22">
        <f t="shared" si="25"/>
        <v>147.00419232112176</v>
      </c>
      <c r="GD41" s="62">
        <f t="shared" si="26"/>
        <v>440.33752565445508</v>
      </c>
      <c r="GE41" s="62">
        <f ca="1">AVERAGE(OFFSET($GD$3,0,0,'Données projet'!$E$17+1,1))-AVERAGE(OFFSET($H$3,0,0,'Données projet'!$E$17+1,1))</f>
        <v>142.93037460866543</v>
      </c>
      <c r="GF41" s="62">
        <f t="shared" si="50"/>
        <v>146.18554498808049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4</v>
      </c>
      <c r="GU41" s="13">
        <f>IF('Données projet'!$A$270&gt;35,GU40+GT41-HC40,IF(A41&lt;'Données projet'!$A$270,$GR$205^A41,IF(A41='Données projet'!$A$270,'Données projet'!$B$270,GU40+GT41-HC40)))</f>
        <v>75.000000000000014</v>
      </c>
      <c r="GV41" s="18">
        <f>GU41*VLOOKUP('Données projet'!$B$18,Paramètres!$A$1:$I$89,3,0)*VLOOKUP('Données projet'!$B$18,Paramètres!$A$1:$I$89,5,0)</f>
        <v>64.350000000000023</v>
      </c>
      <c r="GW41" s="14">
        <f t="shared" si="51"/>
        <v>18.263565425931397</v>
      </c>
      <c r="GX41" s="22">
        <f t="shared" si="28"/>
        <v>143.88529311683055</v>
      </c>
      <c r="GY41" s="62">
        <f t="shared" si="29"/>
        <v>437.21862645016387</v>
      </c>
      <c r="GZ41" s="62">
        <f ca="1">AVERAGE(OFFSET($GY$3,0,0,'Données projet'!$E$18+1,1))-AVERAGE(OFFSET($H$3,0,0,'Données projet'!$E$18+1,1))</f>
        <v>188.08607733149256</v>
      </c>
      <c r="HA41" s="62">
        <f t="shared" si="52"/>
        <v>119.95698016603842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11.660999999999998</v>
      </c>
      <c r="D42" s="12">
        <f t="shared" si="32"/>
        <v>4.0375676646692442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121.18192583253449</v>
      </c>
      <c r="H42" s="70">
        <f t="shared" si="1"/>
        <v>284.00833868263226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4</v>
      </c>
      <c r="N42" s="14">
        <f>IF('Données projet'!$A$36&gt;35,N41+M42-V41,IF(A42&lt;'Données projet'!$A$36,$K$205^A42,IF(A42='Données projet'!$A$36,'Données projet'!$B$36,N41+M42-V41)))</f>
        <v>79.000000000000014</v>
      </c>
      <c r="O42" s="14">
        <f>N42*VLOOKUP('Données projet'!$B$9,Paramètres!$A$1:$I$89,3,0)*VLOOKUP('Données projet'!$B$9,Paramètres!$A$1:$I$89,5,0)</f>
        <v>85.035600000000017</v>
      </c>
      <c r="P42" s="14">
        <f t="shared" si="33"/>
        <v>23.364006286119434</v>
      </c>
      <c r="Q42" s="22">
        <f t="shared" si="53"/>
        <v>188.79598094832468</v>
      </c>
      <c r="R42" s="62">
        <f t="shared" si="0"/>
        <v>482.12931428165803</v>
      </c>
      <c r="S42" s="62">
        <f ca="1">AVERAGE(OFFSET($R$3,0,0,'Données projet'!$E$9+1,1))-AVERAGE(OFFSET($H$3,0,0,'Données projet'!$E$9+1,1))</f>
        <v>236.98575892380046</v>
      </c>
      <c r="T42" s="62">
        <f t="shared" si="34"/>
        <v>145.77678223659774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5.9557692307692314</v>
      </c>
      <c r="AI42" s="14">
        <f>IF('Données projet'!$A$62&gt;35,AI41+AH42-AQ41,IF(A42&lt;'Données projet'!$A$62,$AF$205^A42,IF(A42='Données projet'!$A$62,'Données projet'!$B$62,AI41+AH42-AQ41)))</f>
        <v>108.84423076923073</v>
      </c>
      <c r="AJ42" s="14">
        <f>AI42*VLOOKUP('Données projet'!$B$10,Paramètres!$A$1:$I$89,3,0)*VLOOKUP('Données projet'!$B$10,Paramètres!$A$1:$I$89,5,0)</f>
        <v>63.673874999999981</v>
      </c>
      <c r="AK42" s="14">
        <f t="shared" si="35"/>
        <v>18.093902773742549</v>
      </c>
      <c r="AL42" s="22">
        <f t="shared" si="4"/>
        <v>142.41221295593488</v>
      </c>
      <c r="AM42" s="62">
        <f t="shared" si="5"/>
        <v>435.74554628926819</v>
      </c>
      <c r="AN42" s="62">
        <f ca="1">AVERAGE(OFFSET($AM$3,0,0,'Données projet'!$E$10+1,1))-AVERAGE(OFFSET($H$3,0,0,'Données projet'!$E$10+1,1))</f>
        <v>140.04898296125504</v>
      </c>
      <c r="AO42" s="62">
        <f t="shared" si="36"/>
        <v>129.5395511270716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9.981538461538463</v>
      </c>
      <c r="BD42" s="13">
        <f>IF('Données projet'!$A$88&gt;35,BD41+BC42-BL41,IF(A42&lt;'Données projet'!$A$88,$BA$205^A42,IF(A42='Données projet'!$A$88,'Données projet'!$B$88,BD41+BC42-BL41)))</f>
        <v>187.81846153846152</v>
      </c>
      <c r="BE42" s="14">
        <f>BD42*VLOOKUP('Données projet'!$B$11,Paramètres!$A$1:$I$89,3,0)*VLOOKUP('Données projet'!$B$11,Paramètres!$A$1:$I$89,5,0)</f>
        <v>87.899039999999985</v>
      </c>
      <c r="BF42" s="14">
        <f t="shared" si="37"/>
        <v>24.05782956318463</v>
      </c>
      <c r="BG42" s="22">
        <f t="shared" si="7"/>
        <v>194.99154782254652</v>
      </c>
      <c r="BH42" s="62">
        <f t="shared" si="8"/>
        <v>488.32488115587984</v>
      </c>
      <c r="BI42" s="62">
        <f ca="1">AVERAGE(OFFSET($BH$3,0,0,'Données projet'!$E$11+1,1))-AVERAGE(OFFSET($H$3,0,0,'Données projet'!$E$11+1,1))</f>
        <v>207.84100251878419</v>
      </c>
      <c r="BJ42" s="62">
        <f t="shared" si="38"/>
        <v>124.34917784241952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4</v>
      </c>
      <c r="BY42" s="13">
        <f>IF('Données projet'!$A$114&gt;35,BY41+BX42-CG41,IF(A42&lt;'Données projet'!$A$114,$BV$205^A42,IF(A42='Données projet'!$A$114,'Données projet'!$B$114,BY41+BX42-CG41)))</f>
        <v>168.99999999999997</v>
      </c>
      <c r="BZ42" s="14">
        <f>BY42*VLOOKUP('Données projet'!$B$12,Paramètres!$A$1:$I$89,3,0)*VLOOKUP('Données projet'!$B$12,Paramètres!$A$1:$I$89,5,0)</f>
        <v>87.88</v>
      </c>
      <c r="CA42" s="14">
        <f t="shared" si="39"/>
        <v>24.053224872750018</v>
      </c>
      <c r="CB42" s="22">
        <f t="shared" si="10"/>
        <v>194.95036665337292</v>
      </c>
      <c r="CC42" s="62">
        <f t="shared" si="11"/>
        <v>488.28369998670621</v>
      </c>
      <c r="CD42" s="62">
        <f ca="1">AVERAGE(OFFSET($CC$3,0,0,'Données projet'!$E$12+1,1))-AVERAGE(OFFSET($H$3,0,0,'Données projet'!$E$12+1,1))</f>
        <v>211.05980622218578</v>
      </c>
      <c r="CE42" s="62">
        <f t="shared" si="40"/>
        <v>168.57746894604855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1.9254166666666663</v>
      </c>
      <c r="CT42" s="13">
        <f>IF('Données projet'!$A$140&gt;35,CT41+CS42-DB41,IF(A42&lt;'Données projet'!$A$140,$CQ$205^A42,IF(A42='Données projet'!$A$140,'Données projet'!$B$140,CT41+CS42-DB41)))</f>
        <v>60.741250000000008</v>
      </c>
      <c r="CU42" s="18">
        <f>CT42*VLOOKUP('Données projet'!$B$13,Paramètres!$A$1:$I$89,3,0)*VLOOKUP('Données projet'!$B$13,Paramètres!$A$1:$I$89,5,0)</f>
        <v>69.973920000000007</v>
      </c>
      <c r="CV42" s="14">
        <f t="shared" si="41"/>
        <v>19.666980847748825</v>
      </c>
      <c r="CW42" s="22">
        <f t="shared" si="13"/>
        <v>156.12456897649591</v>
      </c>
      <c r="CX42" s="62">
        <f t="shared" si="14"/>
        <v>449.45790230982925</v>
      </c>
      <c r="CY42" s="62">
        <f ca="1">AVERAGE(OFFSET($CX$3,0,0,'Données projet'!$E$13+1,1))-AVERAGE(OFFSET($H$3,0,0,'Données projet'!$E$13+1,1))</f>
        <v>191.79777926975839</v>
      </c>
      <c r="CZ42" s="62">
        <f t="shared" si="42"/>
        <v>156.66161375678712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5.1959999999999997</v>
      </c>
      <c r="DO42" s="13">
        <f>IF('Données projet'!$A$166&gt;35,DO41+DN42-DW41,IF(A42&lt;'Données projet'!$A$166,$DL$205^A42,IF(A42='Données projet'!$A$166,'Données projet'!$B$166,DO41+DN42-DW41)))</f>
        <v>110.61399999999998</v>
      </c>
      <c r="DP42" s="18">
        <f>DO42*VLOOKUP('Données projet'!$B$14,Paramètres!$A$1:$I$89,3,0)*VLOOKUP('Données projet'!$B$14,Paramètres!$A$1:$I$89,5,0)</f>
        <v>120.79048799999995</v>
      </c>
      <c r="DQ42" s="14">
        <f t="shared" si="43"/>
        <v>31.859297127142387</v>
      </c>
      <c r="DR42" s="22">
        <f t="shared" si="16"/>
        <v>265.86504242977287</v>
      </c>
      <c r="DS42" s="62">
        <f t="shared" si="17"/>
        <v>559.19837576310624</v>
      </c>
      <c r="DT42" s="62">
        <f ca="1">AVERAGE(OFFSET($DS$3,0,0,'Données projet'!$E$14+1,1))-AVERAGE(OFFSET($H$3,0,0,'Données projet'!$E$14+1,1))</f>
        <v>541.0854688453461</v>
      </c>
      <c r="DU42" s="62">
        <f t="shared" si="44"/>
        <v>171.04847168584473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12.818181818181818</v>
      </c>
      <c r="EJ42" s="13">
        <f>IF('Données projet'!$A$192&gt;35,EJ41+EI42-ER41,IF(A42&lt;'Données projet'!$A$192,$EG$205^A42,IF(A42='Données projet'!$A$192,'Données projet'!$B$192,EJ41+EI42-ER41)))</f>
        <v>147.81818181818176</v>
      </c>
      <c r="EK42" s="18">
        <f>EJ42*VLOOKUP('Données projet'!$B$15,Paramètres!$A$1:$I$89,3,0)*VLOOKUP('Données projet'!$B$15,Paramètres!$A$1:$I$89,5,0)</f>
        <v>88.395272727272697</v>
      </c>
      <c r="EL42" s="14">
        <f t="shared" si="45"/>
        <v>24.177799105758492</v>
      </c>
      <c r="EM42" s="22">
        <f t="shared" si="19"/>
        <v>196.06476677586264</v>
      </c>
      <c r="EN42" s="62">
        <f t="shared" si="20"/>
        <v>489.39810010919598</v>
      </c>
      <c r="EO42" s="62">
        <f ca="1">AVERAGE(OFFSET($EN$3,0,0,'Données projet'!$E$15+1,1))-AVERAGE(OFFSET($H$3,0,0,'Données projet'!$E$15+1,1))</f>
        <v>244.01698421598974</v>
      </c>
      <c r="EP42" s="62">
        <f t="shared" si="46"/>
        <v>156.96653202915024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2.8025284954315857</v>
      </c>
      <c r="EX42" s="23">
        <f>EXP(-LN(2)/2)*EX41+(1-EXP(-LN(2)/2))/(LN(2)/2)*ER42*EU42*VLOOKUP('Données projet'!$B$15,Paramètres!$A$1:$I$89,3,0)*0.475*44/12</f>
        <v>0.44009869404853763</v>
      </c>
      <c r="EY42" s="24">
        <f t="shared" si="21"/>
        <v>3.2426271894801233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5.6</v>
      </c>
      <c r="FE42" s="13">
        <f>IF('Données projet'!$A$218&gt;35,FE41+FD42-FM41,IF(A42&lt;'Données projet'!$A$218,$FB$205^A42,IF(A42='Données projet'!$A$218,'Données projet'!$B$218,FE41+FD42-FM41)))</f>
        <v>117.39999999999998</v>
      </c>
      <c r="FF42" s="18">
        <f>FE42*VLOOKUP('Données projet'!$B$16,Paramètres!$A$1:$I$89,3,0)*VLOOKUP('Données projet'!$B$16,Paramètres!$A$1:$I$89,5,0)</f>
        <v>102.56064000000001</v>
      </c>
      <c r="FG42" s="14">
        <f t="shared" si="47"/>
        <v>27.571134131783779</v>
      </c>
      <c r="FH42" s="22">
        <f t="shared" si="22"/>
        <v>226.64617327952342</v>
      </c>
      <c r="FI42" s="62">
        <f t="shared" si="23"/>
        <v>519.97950661285677</v>
      </c>
      <c r="FJ42" s="62">
        <f ca="1">AVERAGE(OFFSET($FI$3,0,0,'Données projet'!$E$16+1,1))-AVERAGE(OFFSET($H$3,0,0,'Données projet'!$E$16+1,1))</f>
        <v>175.08726167127026</v>
      </c>
      <c r="FK42" s="62">
        <f t="shared" si="48"/>
        <v>196.05343924817117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4.8</v>
      </c>
      <c r="FZ42" s="13">
        <f>IF('Données projet'!$A$244&gt;35,FZ41+FY42-GH41,IF(A42&lt;'Données projet'!$A$244,$FW$205^A42,IF(A42='Données projet'!$A$244,'Données projet'!$B$244,FZ41+FY42-GH41)))</f>
        <v>105.20000000000002</v>
      </c>
      <c r="GA42" s="18">
        <f>FZ42*VLOOKUP('Données projet'!$B$17,Paramètres!$A$1:$I$89,3,0)*VLOOKUP('Données projet'!$B$17,Paramètres!$A$1:$I$89,5,0)</f>
        <v>68.927040000000005</v>
      </c>
      <c r="GB42" s="14">
        <f t="shared" si="49"/>
        <v>19.406764719905453</v>
      </c>
      <c r="GC42" s="22">
        <f t="shared" si="25"/>
        <v>153.84804322050201</v>
      </c>
      <c r="GD42" s="62">
        <f t="shared" si="26"/>
        <v>447.18137655383532</v>
      </c>
      <c r="GE42" s="62">
        <f ca="1">AVERAGE(OFFSET($GD$3,0,0,'Données projet'!$E$17+1,1))-AVERAGE(OFFSET($H$3,0,0,'Données projet'!$E$17+1,1))</f>
        <v>142.93037460866543</v>
      </c>
      <c r="GF42" s="62">
        <f t="shared" si="50"/>
        <v>146.18554498808049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4</v>
      </c>
      <c r="GU42" s="13">
        <f>IF('Données projet'!$A$270&gt;35,GU41+GT42-HC41,IF(A42&lt;'Données projet'!$A$270,$GR$205^A42,IF(A42='Données projet'!$A$270,'Données projet'!$B$270,GU41+GT42-HC41)))</f>
        <v>79.000000000000014</v>
      </c>
      <c r="GV42" s="18">
        <f>GU42*VLOOKUP('Données projet'!$B$18,Paramètres!$A$1:$I$89,3,0)*VLOOKUP('Données projet'!$B$18,Paramètres!$A$1:$I$89,5,0)</f>
        <v>67.782000000000025</v>
      </c>
      <c r="GW42" s="14">
        <f t="shared" si="51"/>
        <v>19.121622068410542</v>
      </c>
      <c r="GX42" s="22">
        <f t="shared" si="28"/>
        <v>151.3571417691484</v>
      </c>
      <c r="GY42" s="62">
        <f t="shared" si="29"/>
        <v>444.69047510248174</v>
      </c>
      <c r="GZ42" s="62">
        <f ca="1">AVERAGE(OFFSET($GY$3,0,0,'Données projet'!$E$18+1,1))-AVERAGE(OFFSET($H$3,0,0,'Données projet'!$E$18+1,1))</f>
        <v>188.08607733149256</v>
      </c>
      <c r="HA42" s="62">
        <f t="shared" si="52"/>
        <v>119.95698016603842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11.959999999999997</v>
      </c>
      <c r="D43" s="12">
        <f t="shared" si="32"/>
        <v>4.1289092277839234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124.1950887758759</v>
      </c>
      <c r="H43" s="70">
        <f t="shared" si="1"/>
        <v>284.6881835717237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83</v>
      </c>
      <c r="L43" s="13">
        <f>VLOOKUP(A43,'Données projet'!$A$35:$I$55,9,0)</f>
        <v>4</v>
      </c>
      <c r="M43" s="13">
        <f t="array" ref="M43">INDEX(L:L,MIN(IF(ISNUMBER(L43:L239),ROW(L43:L239),"")))</f>
        <v>4</v>
      </c>
      <c r="N43" s="14">
        <f>IF('Données projet'!$A$36&gt;35,N42+M43-V42,IF(A43&lt;'Données projet'!$A$36,$K$205^A43,IF(A43='Données projet'!$A$36,'Données projet'!$B$36,N42+M43-V42)))</f>
        <v>83.000000000000014</v>
      </c>
      <c r="O43" s="14">
        <f>N43*VLOOKUP('Données projet'!$B$9,Paramètres!$A$1:$I$89,3,0)*VLOOKUP('Données projet'!$B$9,Paramètres!$A$1:$I$89,5,0)</f>
        <v>89.341200000000015</v>
      </c>
      <c r="P43" s="14">
        <f t="shared" si="33"/>
        <v>24.40627042312898</v>
      </c>
      <c r="Q43" s="22">
        <f t="shared" si="53"/>
        <v>198.11017765361632</v>
      </c>
      <c r="R43" s="62">
        <f t="shared" si="0"/>
        <v>491.4435109869496</v>
      </c>
      <c r="S43" s="62">
        <f ca="1">AVERAGE(OFFSET($R$3,0,0,'Données projet'!$E$9+1,1))-AVERAGE(OFFSET($H$3,0,0,'Données projet'!$E$9+1,1))</f>
        <v>236.98575892380046</v>
      </c>
      <c r="T43" s="62">
        <f t="shared" si="34"/>
        <v>145.77678223659774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17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5.9557692307692314</v>
      </c>
      <c r="AI43" s="14">
        <f>IF('Données projet'!$A$62&gt;35,AI42+AH43-AQ42,IF(A43&lt;'Données projet'!$A$62,$AF$205^A43,IF(A43='Données projet'!$A$62,'Données projet'!$B$62,AI42+AH43-AQ42)))</f>
        <v>114.79999999999997</v>
      </c>
      <c r="AJ43" s="14">
        <f>AI43*VLOOKUP('Données projet'!$B$10,Paramètres!$A$1:$I$89,3,0)*VLOOKUP('Données projet'!$B$10,Paramètres!$A$1:$I$89,5,0)</f>
        <v>67.157999999999987</v>
      </c>
      <c r="AK43" s="14">
        <f t="shared" si="35"/>
        <v>18.965995379979955</v>
      </c>
      <c r="AL43" s="22">
        <f t="shared" si="4"/>
        <v>149.99929195346505</v>
      </c>
      <c r="AM43" s="62">
        <f t="shared" si="5"/>
        <v>443.33262528679836</v>
      </c>
      <c r="AN43" s="62">
        <f ca="1">AVERAGE(OFFSET($AM$3,0,0,'Données projet'!$E$10+1,1))-AVERAGE(OFFSET($H$3,0,0,'Données projet'!$E$10+1,1))</f>
        <v>140.04898296125504</v>
      </c>
      <c r="AO43" s="62">
        <f t="shared" si="36"/>
        <v>129.5395511270716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197.79999999999998</v>
      </c>
      <c r="BB43" s="13">
        <f>VLOOKUP(A43,'Données projet'!$A$87:$I$107,9,0)</f>
        <v>9.981538461538463</v>
      </c>
      <c r="BC43" s="13">
        <f t="array" ref="BC43">INDEX(BB:BB,MIN(IF(ISNUMBER(BB43:BB239),ROW(BB43:BB239),"")))</f>
        <v>9.981538461538463</v>
      </c>
      <c r="BD43" s="13">
        <f>IF('Données projet'!$A$88&gt;35,BD42+BC43-BL42,IF(A43&lt;'Données projet'!$A$88,$BA$205^A43,IF(A43='Données projet'!$A$88,'Données projet'!$B$88,BD42+BC43-BL42)))</f>
        <v>197.79999999999998</v>
      </c>
      <c r="BE43" s="14">
        <f>BD43*VLOOKUP('Données projet'!$B$11,Paramètres!$A$1:$I$89,3,0)*VLOOKUP('Données projet'!$B$11,Paramètres!$A$1:$I$89,5,0)</f>
        <v>92.570399999999978</v>
      </c>
      <c r="BF43" s="14">
        <f t="shared" si="37"/>
        <v>25.184123943972491</v>
      </c>
      <c r="BG43" s="22">
        <f t="shared" si="7"/>
        <v>205.08912920241869</v>
      </c>
      <c r="BH43" s="62">
        <f t="shared" si="8"/>
        <v>498.422462535752</v>
      </c>
      <c r="BI43" s="62">
        <f ca="1">AVERAGE(OFFSET($BH$3,0,0,'Données projet'!$E$11+1,1))-AVERAGE(OFFSET($H$3,0,0,'Données projet'!$E$11+1,1))</f>
        <v>207.84100251878419</v>
      </c>
      <c r="BJ43" s="62">
        <f t="shared" si="38"/>
        <v>124.34917784241952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173</v>
      </c>
      <c r="BW43" s="13">
        <f>VLOOKUP(A43,'Données projet'!$A$113:$I$133,9,0)</f>
        <v>4</v>
      </c>
      <c r="BX43" s="13">
        <f t="array" ref="BX43">INDEX(BW:BW,MIN(IF(ISNUMBER(BW43:BW239),ROW(BW43:BW239),"")))</f>
        <v>4</v>
      </c>
      <c r="BY43" s="13">
        <f>IF('Données projet'!$A$114&gt;35,BY42+BX43-CG42,IF(A43&lt;'Données projet'!$A$114,$BV$205^A43,IF(A43='Données projet'!$A$114,'Données projet'!$B$114,BY42+BX43-CG42)))</f>
        <v>172.99999999999997</v>
      </c>
      <c r="BZ43" s="14">
        <f>BY43*VLOOKUP('Données projet'!$B$12,Paramètres!$A$1:$I$89,3,0)*VLOOKUP('Données projet'!$B$12,Paramètres!$A$1:$I$89,5,0)</f>
        <v>89.96</v>
      </c>
      <c r="CA43" s="14">
        <f t="shared" si="39"/>
        <v>24.555577707529412</v>
      </c>
      <c r="CB43" s="22">
        <f t="shared" si="10"/>
        <v>199.44796450728037</v>
      </c>
      <c r="CC43" s="62">
        <f t="shared" si="11"/>
        <v>492.78129784061366</v>
      </c>
      <c r="CD43" s="62">
        <f ca="1">AVERAGE(OFFSET($CC$3,0,0,'Données projet'!$E$12+1,1))-AVERAGE(OFFSET($H$3,0,0,'Données projet'!$E$12+1,1))</f>
        <v>211.05980622218578</v>
      </c>
      <c r="CE43" s="62">
        <f t="shared" si="40"/>
        <v>168.57746894604855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62.666666666666671</v>
      </c>
      <c r="CR43" s="13">
        <f>VLOOKUP(A43,'Données projet'!$A$139:$I$159,9,0)</f>
        <v>1.9254166666666663</v>
      </c>
      <c r="CS43" s="13">
        <f t="array" ref="CS43">INDEX(CR:CR,MIN(IF(ISNUMBER(CR43:CR239),ROW(CR43:CR239),"")))</f>
        <v>1.9254166666666663</v>
      </c>
      <c r="CT43" s="13">
        <f>IF('Données projet'!$A$140&gt;35,CT42+CS43-DB42,IF(A43&lt;'Données projet'!$A$140,$CQ$205^A43,IF(A43='Données projet'!$A$140,'Données projet'!$B$140,CT42+CS43-DB42)))</f>
        <v>62.666666666666671</v>
      </c>
      <c r="CU43" s="18">
        <f>CT43*VLOOKUP('Données projet'!$B$13,Paramètres!$A$1:$I$89,3,0)*VLOOKUP('Données projet'!$B$13,Paramètres!$A$1:$I$89,5,0)</f>
        <v>72.192000000000007</v>
      </c>
      <c r="CV43" s="14">
        <f t="shared" si="41"/>
        <v>20.216827725253115</v>
      </c>
      <c r="CW43" s="22">
        <f t="shared" si="13"/>
        <v>160.94537495481583</v>
      </c>
      <c r="CX43" s="62">
        <f t="shared" si="14"/>
        <v>454.27870828814912</v>
      </c>
      <c r="CY43" s="62">
        <f ca="1">AVERAGE(OFFSET($CX$3,0,0,'Données projet'!$E$13+1,1))-AVERAGE(OFFSET($H$3,0,0,'Données projet'!$E$13+1,1))</f>
        <v>191.79777926975839</v>
      </c>
      <c r="CZ43" s="62">
        <f t="shared" si="42"/>
        <v>156.66161375678712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7.0000000000000009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115.81</v>
      </c>
      <c r="DM43" s="13">
        <f>VLOOKUP(A43,'Données projet'!$A$165:$I$185,9,0)</f>
        <v>5.1959999999999997</v>
      </c>
      <c r="DN43" s="13">
        <f t="array" ref="DN43">INDEX(DM:DM,MIN(IF(ISNUMBER(DM43:DM239),ROW(DM43:DM239),"")))</f>
        <v>5.1959999999999997</v>
      </c>
      <c r="DO43" s="13">
        <f>IF('Données projet'!$A$166&gt;35,DO42+DN43-DW42,IF(A43&lt;'Données projet'!$A$166,$DL$205^A43,IF(A43='Données projet'!$A$166,'Données projet'!$B$166,DO42+DN43-DW42)))</f>
        <v>115.80999999999997</v>
      </c>
      <c r="DP43" s="18">
        <f>DO43*VLOOKUP('Données projet'!$B$14,Paramètres!$A$1:$I$89,3,0)*VLOOKUP('Données projet'!$B$14,Paramètres!$A$1:$I$89,5,0)</f>
        <v>126.46451999999996</v>
      </c>
      <c r="DQ43" s="14">
        <f t="shared" si="43"/>
        <v>33.178107363083683</v>
      </c>
      <c r="DR43" s="22">
        <f t="shared" si="16"/>
        <v>278.04424265737066</v>
      </c>
      <c r="DS43" s="62">
        <f t="shared" si="17"/>
        <v>571.37757599070392</v>
      </c>
      <c r="DT43" s="62">
        <f ca="1">AVERAGE(OFFSET($DS$3,0,0,'Données projet'!$E$14+1,1))-AVERAGE(OFFSET($H$3,0,0,'Données projet'!$E$14+1,1))</f>
        <v>541.0854688453461</v>
      </c>
      <c r="DU43" s="62">
        <f t="shared" si="44"/>
        <v>171.04847168584473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11.8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12.818181818181818</v>
      </c>
      <c r="EJ43" s="13">
        <f>IF('Données projet'!$A$192&gt;35,EJ42+EI43-ER42,IF(A43&lt;'Données projet'!$A$192,$EG$205^A43,IF(A43='Données projet'!$A$192,'Données projet'!$B$192,EJ42+EI43-ER42)))</f>
        <v>160.63636363636357</v>
      </c>
      <c r="EK43" s="18">
        <f>EJ43*VLOOKUP('Données projet'!$B$15,Paramètres!$A$1:$I$89,3,0)*VLOOKUP('Données projet'!$B$15,Paramètres!$A$1:$I$89,5,0)</f>
        <v>96.060545454545419</v>
      </c>
      <c r="EL43" s="14">
        <f t="shared" si="45"/>
        <v>26.021292801855225</v>
      </c>
      <c r="EM43" s="22">
        <f t="shared" si="19"/>
        <v>212.62586829656445</v>
      </c>
      <c r="EN43" s="62">
        <f t="shared" si="20"/>
        <v>505.95920162989773</v>
      </c>
      <c r="EO43" s="62">
        <f ca="1">AVERAGE(OFFSET($EN$3,0,0,'Données projet'!$E$15+1,1))-AVERAGE(OFFSET($H$3,0,0,'Données projet'!$E$15+1,1))</f>
        <v>244.01698421598974</v>
      </c>
      <c r="EP43" s="62">
        <f t="shared" si="46"/>
        <v>156.96653202915024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2.7258932063454409</v>
      </c>
      <c r="EX43" s="23">
        <f>EXP(-LN(2)/2)*EX42+(1-EXP(-LN(2)/2))/(LN(2)/2)*ER43*EU43*VLOOKUP('Données projet'!$B$15,Paramètres!$A$1:$I$89,3,0)*0.475*44/12</f>
        <v>0.31119677095306464</v>
      </c>
      <c r="EY43" s="24">
        <f t="shared" si="21"/>
        <v>3.0370899772985056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123</v>
      </c>
      <c r="FC43" s="13">
        <f>VLOOKUP(A43,'Données projet'!$A$217:$I$237,9,0)</f>
        <v>5.6</v>
      </c>
      <c r="FD43" s="13">
        <f t="array" ref="FD43">INDEX(FC:FC,MIN(IF(ISNUMBER(FC43:FC239),ROW(FC43:FC239),"")))</f>
        <v>5.6</v>
      </c>
      <c r="FE43" s="13">
        <f>IF('Données projet'!$A$218&gt;35,FE42+FD43-FM42,IF(A43&lt;'Données projet'!$A$218,$FB$205^A43,IF(A43='Données projet'!$A$218,'Données projet'!$B$218,FE42+FD43-FM42)))</f>
        <v>122.99999999999997</v>
      </c>
      <c r="FF43" s="18">
        <f>FE43*VLOOKUP('Données projet'!$B$16,Paramètres!$A$1:$I$89,3,0)*VLOOKUP('Données projet'!$B$16,Paramètres!$A$1:$I$89,5,0)</f>
        <v>107.4528</v>
      </c>
      <c r="FG43" s="14">
        <f t="shared" si="47"/>
        <v>28.7300285196239</v>
      </c>
      <c r="FH43" s="22">
        <f t="shared" si="22"/>
        <v>237.18509300501162</v>
      </c>
      <c r="FI43" s="62">
        <f t="shared" si="23"/>
        <v>530.51842633834497</v>
      </c>
      <c r="FJ43" s="62">
        <f ca="1">AVERAGE(OFFSET($FI$3,0,0,'Données projet'!$E$16+1,1))-AVERAGE(OFFSET($H$3,0,0,'Données projet'!$E$16+1,1))</f>
        <v>175.08726167127026</v>
      </c>
      <c r="FK43" s="62">
        <f t="shared" si="48"/>
        <v>196.05343924817117</v>
      </c>
      <c r="FL43" s="16">
        <f>IF(ISNA(VLOOKUP(A43,'Données projet'!$A$217:$I$237,3,0)),0,VLOOKUP(A43,'Données projet'!$A$217:$I$237,3,0))</f>
        <v>2</v>
      </c>
      <c r="FM43" s="16">
        <f>IF(ISNA(VLOOKUP(A43,'Données projet'!$A$217:$I$237,4,0)),0,VLOOKUP(A43,'Données projet'!$A$217:$I$237,4,0))</f>
        <v>28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110</v>
      </c>
      <c r="FX43" s="13">
        <f>VLOOKUP(A43,'Données projet'!$A$243:$I$263,9,0)</f>
        <v>4.8</v>
      </c>
      <c r="FY43" s="13">
        <f t="array" ref="FY43">INDEX(FX:FX,MIN(IF(ISNUMBER(FX43:FX239),ROW(FX43:FX239),"")))</f>
        <v>4.8</v>
      </c>
      <c r="FZ43" s="13">
        <f>IF('Données projet'!$A$244&gt;35,FZ42+FY43-GH42,IF(A43&lt;'Données projet'!$A$244,$FW$205^A43,IF(A43='Données projet'!$A$244,'Données projet'!$B$244,FZ42+FY43-GH42)))</f>
        <v>110.00000000000001</v>
      </c>
      <c r="GA43" s="18">
        <f>FZ43*VLOOKUP('Données projet'!$B$17,Paramètres!$A$1:$I$89,3,0)*VLOOKUP('Données projet'!$B$17,Paramètres!$A$1:$I$89,5,0)</f>
        <v>72.072000000000003</v>
      </c>
      <c r="GB43" s="14">
        <f t="shared" si="49"/>
        <v>20.187131385147271</v>
      </c>
      <c r="GC43" s="22">
        <f t="shared" si="25"/>
        <v>160.68465382913149</v>
      </c>
      <c r="GD43" s="62">
        <f t="shared" si="26"/>
        <v>454.01798716246481</v>
      </c>
      <c r="GE43" s="62">
        <f ca="1">AVERAGE(OFFSET($GD$3,0,0,'Données projet'!$E$17+1,1))-AVERAGE(OFFSET($H$3,0,0,'Données projet'!$E$17+1,1))</f>
        <v>142.93037460866543</v>
      </c>
      <c r="GF43" s="62">
        <f t="shared" si="50"/>
        <v>146.18554498808049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83</v>
      </c>
      <c r="GS43" s="13">
        <f>VLOOKUP(A43,'Données projet'!$A$269:$I$289,9,0)</f>
        <v>4</v>
      </c>
      <c r="GT43" s="13">
        <f t="array" ref="GT43">INDEX(GS:GS,MIN(IF(ISNUMBER(GS43:GS239),ROW(GS43:GS239),"")))</f>
        <v>4</v>
      </c>
      <c r="GU43" s="13">
        <f>IF('Données projet'!$A$270&gt;35,GU42+GT43-HC42,IF(A43&lt;'Données projet'!$A$270,$GR$205^A43,IF(A43='Données projet'!$A$270,'Données projet'!$B$270,GU42+GT43-HC42)))</f>
        <v>83.000000000000014</v>
      </c>
      <c r="GV43" s="18">
        <f>GU43*VLOOKUP('Données projet'!$B$18,Paramètres!$A$1:$I$89,3,0)*VLOOKUP('Données projet'!$B$18,Paramètres!$A$1:$I$89,5,0)</f>
        <v>71.214000000000027</v>
      </c>
      <c r="GW43" s="14">
        <f t="shared" si="51"/>
        <v>19.974634205083152</v>
      </c>
      <c r="GX43" s="22">
        <f t="shared" si="28"/>
        <v>158.8202045738532</v>
      </c>
      <c r="GY43" s="62">
        <f t="shared" si="29"/>
        <v>452.15353790718655</v>
      </c>
      <c r="GZ43" s="62">
        <f ca="1">AVERAGE(OFFSET($GY$3,0,0,'Données projet'!$E$18+1,1))-AVERAGE(OFFSET($H$3,0,0,'Données projet'!$E$18+1,1))</f>
        <v>188.08607733149256</v>
      </c>
      <c r="HA43" s="62">
        <f t="shared" si="52"/>
        <v>119.95698016603842</v>
      </c>
      <c r="HB43" s="16">
        <f>IF(ISNA(VLOOKUP(A43,'Données projet'!$A$269:$I$289,3,0)),0,VLOOKUP(A43,'Données projet'!$A$269:$I$289,3,0))</f>
        <v>2</v>
      </c>
      <c r="HC43" s="16">
        <f>IF(ISNA(VLOOKUP(A43,'Données projet'!$A$269:$I$289,4,0)),0,VLOOKUP(A43,'Données projet'!$A$269:$I$289,4,0))</f>
        <v>17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12.258999999999997</v>
      </c>
      <c r="D44" s="12">
        <f t="shared" si="32"/>
        <v>4.2199853440979584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127.20620265619478</v>
      </c>
      <c r="H44" s="70">
        <f t="shared" si="1"/>
        <v>285.36756614097061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3.8</v>
      </c>
      <c r="N44" s="14">
        <f>IF('Données projet'!$A$36&gt;35,N43+M44-V43,IF(A44&lt;'Données projet'!$A$36,$K$205^A44,IF(A44='Données projet'!$A$36,'Données projet'!$B$36,N43+M44-V43)))</f>
        <v>69.800000000000011</v>
      </c>
      <c r="O44" s="14">
        <f>N44*VLOOKUP('Données projet'!$B$9,Paramètres!$A$1:$I$89,3,0)*VLOOKUP('Données projet'!$B$9,Paramètres!$A$1:$I$89,5,0)</f>
        <v>75.132720000000006</v>
      </c>
      <c r="P44" s="14">
        <f t="shared" si="33"/>
        <v>20.942796270934011</v>
      </c>
      <c r="Q44" s="22">
        <f t="shared" si="53"/>
        <v>167.33152417187674</v>
      </c>
      <c r="R44" s="62">
        <f t="shared" si="0"/>
        <v>460.66485750521008</v>
      </c>
      <c r="S44" s="62">
        <f ca="1">AVERAGE(OFFSET($R$3,0,0,'Données projet'!$E$9+1,1))-AVERAGE(OFFSET($H$3,0,0,'Données projet'!$E$9+1,1))</f>
        <v>236.98575892380046</v>
      </c>
      <c r="T44" s="62">
        <f t="shared" si="34"/>
        <v>145.77678223659774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5.9557692307692314</v>
      </c>
      <c r="AI44" s="14">
        <f>IF('Données projet'!$A$62&gt;35,AI43+AH44-AQ43,IF(A44&lt;'Données projet'!$A$62,$AF$205^A44,IF(A44='Données projet'!$A$62,'Données projet'!$B$62,AI43+AH44-AQ43)))</f>
        <v>120.7557692307692</v>
      </c>
      <c r="AJ44" s="14">
        <f>AI44*VLOOKUP('Données projet'!$B$10,Paramètres!$A$1:$I$89,3,0)*VLOOKUP('Données projet'!$B$10,Paramètres!$A$1:$I$89,5,0)</f>
        <v>70.642124999999979</v>
      </c>
      <c r="AK44" s="14">
        <f t="shared" si="35"/>
        <v>19.832834995536956</v>
      </c>
      <c r="AL44" s="22">
        <f t="shared" si="4"/>
        <v>157.57722199222684</v>
      </c>
      <c r="AM44" s="62">
        <f t="shared" si="5"/>
        <v>450.91055532556015</v>
      </c>
      <c r="AN44" s="62">
        <f ca="1">AVERAGE(OFFSET($AM$3,0,0,'Données projet'!$E$10+1,1))-AVERAGE(OFFSET($H$3,0,0,'Données projet'!$E$10+1,1))</f>
        <v>140.04898296125504</v>
      </c>
      <c r="AO44" s="62">
        <f t="shared" si="36"/>
        <v>129.5395511270716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10.869230769230773</v>
      </c>
      <c r="BD44" s="13">
        <f>IF('Données projet'!$A$88&gt;35,BD43+BC44-BL43,IF(A44&lt;'Données projet'!$A$88,$BA$205^A44,IF(A44='Données projet'!$A$88,'Données projet'!$B$88,BD43+BC44-BL43)))</f>
        <v>208.66923076923075</v>
      </c>
      <c r="BE44" s="14">
        <f>BD44*VLOOKUP('Données projet'!$B$11,Paramètres!$A$1:$I$89,3,0)*VLOOKUP('Données projet'!$B$11,Paramètres!$A$1:$I$89,5,0)</f>
        <v>97.657199999999989</v>
      </c>
      <c r="BF44" s="14">
        <f t="shared" si="37"/>
        <v>26.403090007431878</v>
      </c>
      <c r="BG44" s="22">
        <f t="shared" si="7"/>
        <v>216.07167176294379</v>
      </c>
      <c r="BH44" s="62">
        <f t="shared" si="8"/>
        <v>509.40500509627714</v>
      </c>
      <c r="BI44" s="62">
        <f ca="1">AVERAGE(OFFSET($BH$3,0,0,'Données projet'!$E$11+1,1))-AVERAGE(OFFSET($H$3,0,0,'Données projet'!$E$11+1,1))</f>
        <v>207.84100251878419</v>
      </c>
      <c r="BJ44" s="62">
        <f t="shared" si="38"/>
        <v>124.34917784241952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3.7399999999999975</v>
      </c>
      <c r="BY44" s="13">
        <f>IF('Données projet'!$A$114&gt;35,BY43+BX44-CG43,IF(A44&lt;'Données projet'!$A$114,$BV$205^A44,IF(A44='Données projet'!$A$114,'Données projet'!$B$114,BY43+BX44-CG43)))</f>
        <v>176.73999999999998</v>
      </c>
      <c r="BZ44" s="14">
        <f>BY44*VLOOKUP('Données projet'!$B$12,Paramètres!$A$1:$I$89,3,0)*VLOOKUP('Données projet'!$B$12,Paramètres!$A$1:$I$89,5,0)</f>
        <v>91.904799999999994</v>
      </c>
      <c r="CA44" s="14">
        <f t="shared" si="39"/>
        <v>25.024055428460866</v>
      </c>
      <c r="CB44" s="22">
        <f t="shared" si="10"/>
        <v>203.651089871236</v>
      </c>
      <c r="CC44" s="62">
        <f t="shared" si="11"/>
        <v>496.98442320456934</v>
      </c>
      <c r="CD44" s="62">
        <f ca="1">AVERAGE(OFFSET($CC$3,0,0,'Données projet'!$E$12+1,1))-AVERAGE(OFFSET($H$3,0,0,'Données projet'!$E$12+1,1))</f>
        <v>211.05980622218578</v>
      </c>
      <c r="CE44" s="62">
        <f t="shared" si="40"/>
        <v>168.57746894604855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1.8720833333333331</v>
      </c>
      <c r="CT44" s="13">
        <f>IF('Données projet'!$A$140&gt;35,CT43+CS44-DB43,IF(A44&lt;'Données projet'!$A$140,$CQ$205^A44,IF(A44='Données projet'!$A$140,'Données projet'!$B$140,CT43+CS44-DB43)))</f>
        <v>57.538750000000007</v>
      </c>
      <c r="CU44" s="18">
        <f>CT44*VLOOKUP('Données projet'!$B$13,Paramètres!$A$1:$I$89,3,0)*VLOOKUP('Données projet'!$B$13,Paramètres!$A$1:$I$89,5,0)</f>
        <v>66.28464000000001</v>
      </c>
      <c r="CV44" s="14">
        <f t="shared" si="41"/>
        <v>18.747894674998243</v>
      </c>
      <c r="CW44" s="22">
        <f t="shared" si="13"/>
        <v>148.09833122562196</v>
      </c>
      <c r="CX44" s="62">
        <f t="shared" si="14"/>
        <v>441.43166455895528</v>
      </c>
      <c r="CY44" s="62">
        <f ca="1">AVERAGE(OFFSET($CX$3,0,0,'Données projet'!$E$13+1,1))-AVERAGE(OFFSET($H$3,0,0,'Données projet'!$E$13+1,1))</f>
        <v>191.79777926975839</v>
      </c>
      <c r="CZ44" s="62">
        <f t="shared" si="42"/>
        <v>156.66161375678712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0.4479999999999999</v>
      </c>
      <c r="DO44" s="13">
        <f>IF('Données projet'!$A$166&gt;35,DO43+DN44-DW43,IF(A44&lt;'Données projet'!$A$166,$DL$205^A44,IF(A44='Données projet'!$A$166,'Données projet'!$B$166,DO43+DN44-DW43)))</f>
        <v>104.45799999999997</v>
      </c>
      <c r="DP44" s="18">
        <f>DO44*VLOOKUP('Données projet'!$B$14,Paramètres!$A$1:$I$89,3,0)*VLOOKUP('Données projet'!$B$14,Paramètres!$A$1:$I$89,5,0)</f>
        <v>114.06813599999995</v>
      </c>
      <c r="DQ44" s="14">
        <f t="shared" si="43"/>
        <v>30.287433939017802</v>
      </c>
      <c r="DR44" s="22">
        <f t="shared" si="16"/>
        <v>251.41928431045588</v>
      </c>
      <c r="DS44" s="62">
        <f t="shared" si="17"/>
        <v>544.75261764378922</v>
      </c>
      <c r="DT44" s="62">
        <f ca="1">AVERAGE(OFFSET($DS$3,0,0,'Données projet'!$E$14+1,1))-AVERAGE(OFFSET($H$3,0,0,'Données projet'!$E$14+1,1))</f>
        <v>541.0854688453461</v>
      </c>
      <c r="DU44" s="62">
        <f t="shared" si="44"/>
        <v>171.04847168584473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12.818181818181818</v>
      </c>
      <c r="EJ44" s="13">
        <f>IF('Données projet'!$A$192&gt;35,EJ43+EI44-ER43,IF(A44&lt;'Données projet'!$A$192,$EG$205^A44,IF(A44='Données projet'!$A$192,'Données projet'!$B$192,EJ43+EI44-ER43)))</f>
        <v>173.45454545454538</v>
      </c>
      <c r="EK44" s="18">
        <f>EJ44*VLOOKUP('Données projet'!$B$15,Paramètres!$A$1:$I$89,3,0)*VLOOKUP('Données projet'!$B$15,Paramètres!$A$1:$I$89,5,0)</f>
        <v>103.72581818181814</v>
      </c>
      <c r="EL44" s="14">
        <f t="shared" si="45"/>
        <v>27.847723776023592</v>
      </c>
      <c r="EM44" s="22">
        <f t="shared" si="19"/>
        <v>229.157252243241</v>
      </c>
      <c r="EN44" s="62">
        <f t="shared" si="20"/>
        <v>522.49058557657429</v>
      </c>
      <c r="EO44" s="62">
        <f ca="1">AVERAGE(OFFSET($EN$3,0,0,'Données projet'!$E$15+1,1))-AVERAGE(OFFSET($H$3,0,0,'Données projet'!$E$15+1,1))</f>
        <v>244.01698421598974</v>
      </c>
      <c r="EP44" s="62">
        <f t="shared" si="46"/>
        <v>156.96653202915024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2.6513535132694313</v>
      </c>
      <c r="EX44" s="23">
        <f>EXP(-LN(2)/2)*EX43+(1-EXP(-LN(2)/2))/(LN(2)/2)*ER44*EU44*VLOOKUP('Données projet'!$B$15,Paramètres!$A$1:$I$89,3,0)*0.475*44/12</f>
        <v>0.22004934702426884</v>
      </c>
      <c r="EY44" s="24">
        <f t="shared" si="21"/>
        <v>2.8714028602937001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5</v>
      </c>
      <c r="FE44" s="13">
        <f>IF('Données projet'!$A$218&gt;35,FE43+FD44-FM43,IF(A44&lt;'Données projet'!$A$218,$FB$205^A44,IF(A44='Données projet'!$A$218,'Données projet'!$B$218,FE43+FD44-FM43)))</f>
        <v>99.999999999999972</v>
      </c>
      <c r="FF44" s="18">
        <f>FE44*VLOOKUP('Données projet'!$B$16,Paramètres!$A$1:$I$89,3,0)*VLOOKUP('Données projet'!$B$16,Paramètres!$A$1:$I$89,5,0)</f>
        <v>87.359999999999985</v>
      </c>
      <c r="FG44" s="14">
        <f t="shared" si="47"/>
        <v>23.927421530185931</v>
      </c>
      <c r="FH44" s="22">
        <f t="shared" si="22"/>
        <v>193.82559249840713</v>
      </c>
      <c r="FI44" s="62">
        <f t="shared" si="23"/>
        <v>487.15892583174048</v>
      </c>
      <c r="FJ44" s="62">
        <f ca="1">AVERAGE(OFFSET($FI$3,0,0,'Données projet'!$E$16+1,1))-AVERAGE(OFFSET($H$3,0,0,'Données projet'!$E$16+1,1))</f>
        <v>175.08726167127026</v>
      </c>
      <c r="FK44" s="62">
        <f t="shared" si="48"/>
        <v>196.05343924817117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4.5999999999999996</v>
      </c>
      <c r="FZ44" s="13">
        <f>IF('Données projet'!$A$244&gt;35,FZ43+FY44-GH43,IF(A44&lt;'Données projet'!$A$244,$FW$205^A44,IF(A44='Données projet'!$A$244,'Données projet'!$B$244,FZ43+FY44-GH43)))</f>
        <v>114.60000000000001</v>
      </c>
      <c r="GA44" s="18">
        <f>FZ44*VLOOKUP('Données projet'!$B$17,Paramètres!$A$1:$I$89,3,0)*VLOOKUP('Données projet'!$B$17,Paramètres!$A$1:$I$89,5,0)</f>
        <v>75.085920000000016</v>
      </c>
      <c r="GB44" s="14">
        <f t="shared" si="49"/>
        <v>20.931269096524034</v>
      </c>
      <c r="GC44" s="22">
        <f t="shared" si="25"/>
        <v>167.22993767644604</v>
      </c>
      <c r="GD44" s="62">
        <f t="shared" si="26"/>
        <v>460.56327100977933</v>
      </c>
      <c r="GE44" s="62">
        <f ca="1">AVERAGE(OFFSET($GD$3,0,0,'Données projet'!$E$17+1,1))-AVERAGE(OFFSET($H$3,0,0,'Données projet'!$E$17+1,1))</f>
        <v>142.93037460866543</v>
      </c>
      <c r="GF44" s="62">
        <f t="shared" si="50"/>
        <v>146.18554498808049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3.8</v>
      </c>
      <c r="GU44" s="13">
        <f>IF('Données projet'!$A$270&gt;35,GU43+GT44-HC43,IF(A44&lt;'Données projet'!$A$270,$GR$205^A44,IF(A44='Données projet'!$A$270,'Données projet'!$B$270,GU43+GT44-HC43)))</f>
        <v>69.800000000000011</v>
      </c>
      <c r="GV44" s="18">
        <f>GU44*VLOOKUP('Données projet'!$B$18,Paramètres!$A$1:$I$89,3,0)*VLOOKUP('Données projet'!$B$18,Paramètres!$A$1:$I$89,5,0)</f>
        <v>59.888400000000011</v>
      </c>
      <c r="GW44" s="14">
        <f t="shared" si="51"/>
        <v>17.140049974495657</v>
      </c>
      <c r="GX44" s="22">
        <f t="shared" si="28"/>
        <v>134.15788370557996</v>
      </c>
      <c r="GY44" s="62">
        <f t="shared" si="29"/>
        <v>427.49121703891331</v>
      </c>
      <c r="GZ44" s="62">
        <f ca="1">AVERAGE(OFFSET($GY$3,0,0,'Données projet'!$E$18+1,1))-AVERAGE(OFFSET($H$3,0,0,'Données projet'!$E$18+1,1))</f>
        <v>188.08607733149256</v>
      </c>
      <c r="HA44" s="62">
        <f t="shared" si="52"/>
        <v>119.95698016603842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12.557999999999996</v>
      </c>
      <c r="D45" s="12">
        <f t="shared" si="32"/>
        <v>4.3108032327306516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130.21532320002606</v>
      </c>
      <c r="H45" s="70">
        <f t="shared" si="1"/>
        <v>286.04649896367255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3.8</v>
      </c>
      <c r="N45" s="14">
        <f>IF('Données projet'!$A$36&gt;35,N44+M45-V44,IF(A45&lt;'Données projet'!$A$36,$K$205^A45,IF(A45='Données projet'!$A$36,'Données projet'!$B$36,N44+M45-V44)))</f>
        <v>73.600000000000009</v>
      </c>
      <c r="O45" s="14">
        <f>N45*VLOOKUP('Données projet'!$B$9,Paramètres!$A$1:$I$89,3,0)*VLOOKUP('Données projet'!$B$9,Paramètres!$A$1:$I$89,5,0)</f>
        <v>79.223039999999997</v>
      </c>
      <c r="P45" s="14">
        <f t="shared" si="33"/>
        <v>21.947105600620286</v>
      </c>
      <c r="Q45" s="22">
        <f t="shared" si="53"/>
        <v>176.20467025441363</v>
      </c>
      <c r="R45" s="62">
        <f t="shared" si="0"/>
        <v>469.53800358774697</v>
      </c>
      <c r="S45" s="62">
        <f ca="1">AVERAGE(OFFSET($R$3,0,0,'Données projet'!$E$9+1,1))-AVERAGE(OFFSET($H$3,0,0,'Données projet'!$E$9+1,1))</f>
        <v>236.98575892380046</v>
      </c>
      <c r="T45" s="62">
        <f t="shared" si="34"/>
        <v>145.77678223659774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5.9557692307692314</v>
      </c>
      <c r="AI45" s="14">
        <f>IF('Données projet'!$A$62&gt;35,AI44+AH45-AQ44,IF(A45&lt;'Données projet'!$A$62,$AF$205^A45,IF(A45='Données projet'!$A$62,'Données projet'!$B$62,AI44+AH45-AQ44)))</f>
        <v>126.71153846153844</v>
      </c>
      <c r="AJ45" s="14">
        <f>AI45*VLOOKUP('Données projet'!$B$10,Paramètres!$A$1:$I$89,3,0)*VLOOKUP('Données projet'!$B$10,Paramètres!$A$1:$I$89,5,0)</f>
        <v>74.126249999999985</v>
      </c>
      <c r="AK45" s="14">
        <f t="shared" si="35"/>
        <v>20.694710270075731</v>
      </c>
      <c r="AL45" s="22">
        <f t="shared" si="4"/>
        <v>165.1465058037152</v>
      </c>
      <c r="AM45" s="62">
        <f t="shared" si="5"/>
        <v>458.47983913704854</v>
      </c>
      <c r="AN45" s="62">
        <f ca="1">AVERAGE(OFFSET($AM$3,0,0,'Données projet'!$E$10+1,1))-AVERAGE(OFFSET($H$3,0,0,'Données projet'!$E$10+1,1))</f>
        <v>140.04898296125504</v>
      </c>
      <c r="AO45" s="62">
        <f t="shared" si="36"/>
        <v>129.5395511270716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10.869230769230773</v>
      </c>
      <c r="BD45" s="13">
        <f>IF('Données projet'!$A$88&gt;35,BD44+BC45-BL44,IF(A45&lt;'Données projet'!$A$88,$BA$205^A45,IF(A45='Données projet'!$A$88,'Données projet'!$B$88,BD44+BC45-BL44)))</f>
        <v>219.53846153846152</v>
      </c>
      <c r="BE45" s="14">
        <f>BD45*VLOOKUP('Données projet'!$B$11,Paramètres!$A$1:$I$89,3,0)*VLOOKUP('Données projet'!$B$11,Paramètres!$A$1:$I$89,5,0)</f>
        <v>102.74399999999999</v>
      </c>
      <c r="BF45" s="14">
        <f t="shared" si="37"/>
        <v>27.614684221611544</v>
      </c>
      <c r="BG45" s="22">
        <f t="shared" si="7"/>
        <v>227.04137501930674</v>
      </c>
      <c r="BH45" s="62">
        <f t="shared" si="8"/>
        <v>520.37470835264003</v>
      </c>
      <c r="BI45" s="62">
        <f ca="1">AVERAGE(OFFSET($BH$3,0,0,'Données projet'!$E$11+1,1))-AVERAGE(OFFSET($H$3,0,0,'Données projet'!$E$11+1,1))</f>
        <v>207.84100251878419</v>
      </c>
      <c r="BJ45" s="62">
        <f t="shared" si="38"/>
        <v>124.34917784241952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3.7399999999999975</v>
      </c>
      <c r="BY45" s="13">
        <f>IF('Données projet'!$A$114&gt;35,BY44+BX45-CG44,IF(A45&lt;'Données projet'!$A$114,$BV$205^A45,IF(A45='Données projet'!$A$114,'Données projet'!$B$114,BY44+BX45-CG44)))</f>
        <v>180.48</v>
      </c>
      <c r="BZ45" s="14">
        <f>BY45*VLOOKUP('Données projet'!$B$12,Paramètres!$A$1:$I$89,3,0)*VLOOKUP('Données projet'!$B$12,Paramètres!$A$1:$I$89,5,0)</f>
        <v>93.849599999999995</v>
      </c>
      <c r="CA45" s="14">
        <f t="shared" si="39"/>
        <v>25.491380550546467</v>
      </c>
      <c r="CB45" s="22">
        <f t="shared" si="10"/>
        <v>207.85220779220174</v>
      </c>
      <c r="CC45" s="62">
        <f t="shared" si="11"/>
        <v>501.18554112553505</v>
      </c>
      <c r="CD45" s="62">
        <f ca="1">AVERAGE(OFFSET($CC$3,0,0,'Données projet'!$E$12+1,1))-AVERAGE(OFFSET($H$3,0,0,'Données projet'!$E$12+1,1))</f>
        <v>211.05980622218578</v>
      </c>
      <c r="CE45" s="62">
        <f t="shared" si="40"/>
        <v>168.57746894604855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1.8720833333333331</v>
      </c>
      <c r="CT45" s="13">
        <f>IF('Données projet'!$A$140&gt;35,CT44+CS45-DB44,IF(A45&lt;'Données projet'!$A$140,$CQ$205^A45,IF(A45='Données projet'!$A$140,'Données projet'!$B$140,CT44+CS45-DB44)))</f>
        <v>59.410833333333343</v>
      </c>
      <c r="CU45" s="18">
        <f>CT45*VLOOKUP('Données projet'!$B$13,Paramètres!$A$1:$I$89,3,0)*VLOOKUP('Données projet'!$B$13,Paramètres!$A$1:$I$89,5,0)</f>
        <v>68.441280000000006</v>
      </c>
      <c r="CV45" s="14">
        <f t="shared" si="41"/>
        <v>19.285866604126806</v>
      </c>
      <c r="CW45" s="22">
        <f t="shared" si="13"/>
        <v>152.79144700218751</v>
      </c>
      <c r="CX45" s="62">
        <f t="shared" si="14"/>
        <v>446.12478033552082</v>
      </c>
      <c r="CY45" s="62">
        <f ca="1">AVERAGE(OFFSET($CX$3,0,0,'Données projet'!$E$13+1,1))-AVERAGE(OFFSET($H$3,0,0,'Données projet'!$E$13+1,1))</f>
        <v>191.79777926975839</v>
      </c>
      <c r="CZ45" s="62">
        <f t="shared" si="42"/>
        <v>156.66161375678712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0.4479999999999999</v>
      </c>
      <c r="DO45" s="13">
        <f>IF('Données projet'!$A$166&gt;35,DO44+DN45-DW44,IF(A45&lt;'Données projet'!$A$166,$DL$205^A45,IF(A45='Données projet'!$A$166,'Données projet'!$B$166,DO44+DN45-DW44)))</f>
        <v>104.90599999999996</v>
      </c>
      <c r="DP45" s="18">
        <f>DO45*VLOOKUP('Données projet'!$B$14,Paramètres!$A$1:$I$89,3,0)*VLOOKUP('Données projet'!$B$14,Paramètres!$A$1:$I$89,5,0)</f>
        <v>114.55735199999997</v>
      </c>
      <c r="DQ45" s="14">
        <f t="shared" si="43"/>
        <v>30.402182236400925</v>
      </c>
      <c r="DR45" s="22">
        <f t="shared" si="16"/>
        <v>252.47118879506488</v>
      </c>
      <c r="DS45" s="62">
        <f t="shared" si="17"/>
        <v>545.80452212839816</v>
      </c>
      <c r="DT45" s="62">
        <f ca="1">AVERAGE(OFFSET($DS$3,0,0,'Données projet'!$E$14+1,1))-AVERAGE(OFFSET($H$3,0,0,'Données projet'!$E$14+1,1))</f>
        <v>541.0854688453461</v>
      </c>
      <c r="DU45" s="62">
        <f t="shared" si="44"/>
        <v>171.04847168584473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12.818181818181818</v>
      </c>
      <c r="EJ45" s="13">
        <f>IF('Données projet'!$A$192&gt;35,EJ44+EI45-ER44,IF(A45&lt;'Données projet'!$A$192,$EG$205^A45,IF(A45='Données projet'!$A$192,'Données projet'!$B$192,EJ44+EI45-ER44)))</f>
        <v>186.2727272727272</v>
      </c>
      <c r="EK45" s="18">
        <f>EJ45*VLOOKUP('Données projet'!$B$15,Paramètres!$A$1:$I$89,3,0)*VLOOKUP('Données projet'!$B$15,Paramètres!$A$1:$I$89,5,0)</f>
        <v>111.39109090909088</v>
      </c>
      <c r="EL45" s="14">
        <f t="shared" si="45"/>
        <v>29.658496338747419</v>
      </c>
      <c r="EM45" s="22">
        <f t="shared" si="19"/>
        <v>245.66136445665168</v>
      </c>
      <c r="EN45" s="62">
        <f t="shared" si="20"/>
        <v>538.99469778998503</v>
      </c>
      <c r="EO45" s="62">
        <f ca="1">AVERAGE(OFFSET($EN$3,0,0,'Données projet'!$E$15+1,1))-AVERAGE(OFFSET($H$3,0,0,'Données projet'!$E$15+1,1))</f>
        <v>244.01698421598974</v>
      </c>
      <c r="EP45" s="62">
        <f t="shared" si="46"/>
        <v>156.96653202915024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2.5788521120204573</v>
      </c>
      <c r="EX45" s="23">
        <f>EXP(-LN(2)/2)*EX44+(1-EXP(-LN(2)/2))/(LN(2)/2)*ER45*EU45*VLOOKUP('Données projet'!$B$15,Paramètres!$A$1:$I$89,3,0)*0.475*44/12</f>
        <v>0.15559838547653235</v>
      </c>
      <c r="EY45" s="24">
        <f t="shared" si="21"/>
        <v>2.7344504974969897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5</v>
      </c>
      <c r="FE45" s="13">
        <f>IF('Données projet'!$A$218&gt;35,FE44+FD45-FM44,IF(A45&lt;'Données projet'!$A$218,$FB$205^A45,IF(A45='Données projet'!$A$218,'Données projet'!$B$218,FE44+FD45-FM44)))</f>
        <v>104.99999999999997</v>
      </c>
      <c r="FF45" s="18">
        <f>FE45*VLOOKUP('Données projet'!$B$16,Paramètres!$A$1:$I$89,3,0)*VLOOKUP('Données projet'!$B$16,Paramètres!$A$1:$I$89,5,0)</f>
        <v>91.727999999999994</v>
      </c>
      <c r="FG45" s="14">
        <f t="shared" si="47"/>
        <v>24.981514582386563</v>
      </c>
      <c r="FH45" s="22">
        <f t="shared" si="22"/>
        <v>203.26907123098991</v>
      </c>
      <c r="FI45" s="62">
        <f t="shared" si="23"/>
        <v>496.60240456432325</v>
      </c>
      <c r="FJ45" s="62">
        <f ca="1">AVERAGE(OFFSET($FI$3,0,0,'Données projet'!$E$16+1,1))-AVERAGE(OFFSET($H$3,0,0,'Données projet'!$E$16+1,1))</f>
        <v>175.08726167127026</v>
      </c>
      <c r="FK45" s="62">
        <f t="shared" si="48"/>
        <v>196.05343924817117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4.5999999999999996</v>
      </c>
      <c r="FZ45" s="13">
        <f>IF('Données projet'!$A$244&gt;35,FZ44+FY45-GH44,IF(A45&lt;'Données projet'!$A$244,$FW$205^A45,IF(A45='Données projet'!$A$244,'Données projet'!$B$244,FZ44+FY45-GH44)))</f>
        <v>119.2</v>
      </c>
      <c r="GA45" s="18">
        <f>FZ45*VLOOKUP('Données projet'!$B$17,Paramètres!$A$1:$I$89,3,0)*VLOOKUP('Données projet'!$B$17,Paramètres!$A$1:$I$89,5,0)</f>
        <v>78.09984</v>
      </c>
      <c r="GB45" s="14">
        <f t="shared" si="49"/>
        <v>21.671937135082647</v>
      </c>
      <c r="GC45" s="22">
        <f t="shared" si="25"/>
        <v>173.76917851026894</v>
      </c>
      <c r="GD45" s="62">
        <f t="shared" si="26"/>
        <v>467.10251184360226</v>
      </c>
      <c r="GE45" s="62">
        <f ca="1">AVERAGE(OFFSET($GD$3,0,0,'Données projet'!$E$17+1,1))-AVERAGE(OFFSET($H$3,0,0,'Données projet'!$E$17+1,1))</f>
        <v>142.93037460866543</v>
      </c>
      <c r="GF45" s="62">
        <f t="shared" si="50"/>
        <v>146.18554498808049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3.8</v>
      </c>
      <c r="GU45" s="13">
        <f>IF('Données projet'!$A$270&gt;35,GU44+GT45-HC44,IF(A45&lt;'Données projet'!$A$270,$GR$205^A45,IF(A45='Données projet'!$A$270,'Données projet'!$B$270,GU44+GT45-HC44)))</f>
        <v>73.600000000000009</v>
      </c>
      <c r="GV45" s="18">
        <f>GU45*VLOOKUP('Données projet'!$B$18,Paramètres!$A$1:$I$89,3,0)*VLOOKUP('Données projet'!$B$18,Paramètres!$A$1:$I$89,5,0)</f>
        <v>63.148800000000023</v>
      </c>
      <c r="GW45" s="14">
        <f t="shared" si="51"/>
        <v>17.96199905321377</v>
      </c>
      <c r="GX45" s="22">
        <f t="shared" si="28"/>
        <v>141.2679750176807</v>
      </c>
      <c r="GY45" s="62">
        <f t="shared" si="29"/>
        <v>434.60130835101404</v>
      </c>
      <c r="GZ45" s="62">
        <f ca="1">AVERAGE(OFFSET($GY$3,0,0,'Données projet'!$E$18+1,1))-AVERAGE(OFFSET($H$3,0,0,'Données projet'!$E$18+1,1))</f>
        <v>188.08607733149256</v>
      </c>
      <c r="HA45" s="62">
        <f t="shared" si="52"/>
        <v>119.95698016603842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12.856999999999996</v>
      </c>
      <c r="D46" s="12">
        <f t="shared" si="32"/>
        <v>4.4013697494266859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133.22250332890772</v>
      </c>
      <c r="H46" s="70">
        <f t="shared" si="1"/>
        <v>286.7249939802515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3.8</v>
      </c>
      <c r="N46" s="14">
        <f>IF('Données projet'!$A$36&gt;35,N45+M46-V45,IF(A46&lt;'Données projet'!$A$36,$K$205^A46,IF(A46='Données projet'!$A$36,'Données projet'!$B$36,N45+M46-V45)))</f>
        <v>77.400000000000006</v>
      </c>
      <c r="O46" s="14">
        <f>N46*VLOOKUP('Données projet'!$B$9,Paramètres!$A$1:$I$89,3,0)*VLOOKUP('Données projet'!$B$9,Paramètres!$A$1:$I$89,5,0)</f>
        <v>83.313360000000003</v>
      </c>
      <c r="P46" s="14">
        <f t="shared" si="33"/>
        <v>22.945394526082648</v>
      </c>
      <c r="Q46" s="22">
        <f t="shared" si="53"/>
        <v>185.06733079959395</v>
      </c>
      <c r="R46" s="62">
        <f t="shared" si="0"/>
        <v>478.40066413292726</v>
      </c>
      <c r="S46" s="62">
        <f ca="1">AVERAGE(OFFSET($R$3,0,0,'Données projet'!$E$9+1,1))-AVERAGE(OFFSET($H$3,0,0,'Données projet'!$E$9+1,1))</f>
        <v>236.98575892380046</v>
      </c>
      <c r="T46" s="62">
        <f t="shared" si="34"/>
        <v>145.77678223659774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5.9557692307692314</v>
      </c>
      <c r="AI46" s="14">
        <f>IF('Données projet'!$A$62&gt;35,AI45+AH46-AQ45,IF(A46&lt;'Données projet'!$A$62,$AF$205^A46,IF(A46='Données projet'!$A$62,'Données projet'!$B$62,AI45+AH46-AQ45)))</f>
        <v>132.66730769230767</v>
      </c>
      <c r="AJ46" s="14">
        <f>AI46*VLOOKUP('Données projet'!$B$10,Paramètres!$A$1:$I$89,3,0)*VLOOKUP('Données projet'!$B$10,Paramètres!$A$1:$I$89,5,0)</f>
        <v>77.610374999999991</v>
      </c>
      <c r="AK46" s="14">
        <f t="shared" si="35"/>
        <v>21.551881185301518</v>
      </c>
      <c r="AL46" s="22">
        <f t="shared" si="4"/>
        <v>172.70759618940016</v>
      </c>
      <c r="AM46" s="62">
        <f t="shared" si="5"/>
        <v>466.04092952273345</v>
      </c>
      <c r="AN46" s="62">
        <f ca="1">AVERAGE(OFFSET($AM$3,0,0,'Données projet'!$E$10+1,1))-AVERAGE(OFFSET($H$3,0,0,'Données projet'!$E$10+1,1))</f>
        <v>140.04898296125504</v>
      </c>
      <c r="AO46" s="62">
        <f t="shared" si="36"/>
        <v>129.5395511270716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10.869230769230773</v>
      </c>
      <c r="BD46" s="13">
        <f>IF('Données projet'!$A$88&gt;35,BD45+BC46-BL45,IF(A46&lt;'Données projet'!$A$88,$BA$205^A46,IF(A46='Données projet'!$A$88,'Données projet'!$B$88,BD45+BC46-BL45)))</f>
        <v>230.40769230769229</v>
      </c>
      <c r="BE46" s="14">
        <f>BD46*VLOOKUP('Données projet'!$B$11,Paramètres!$A$1:$I$89,3,0)*VLOOKUP('Données projet'!$B$11,Paramètres!$A$1:$I$89,5,0)</f>
        <v>107.8308</v>
      </c>
      <c r="BF46" s="14">
        <f t="shared" si="37"/>
        <v>28.819313214368158</v>
      </c>
      <c r="BG46" s="22">
        <f t="shared" si="7"/>
        <v>237.99894718169116</v>
      </c>
      <c r="BH46" s="62">
        <f t="shared" si="8"/>
        <v>531.33228051502442</v>
      </c>
      <c r="BI46" s="62">
        <f ca="1">AVERAGE(OFFSET($BH$3,0,0,'Données projet'!$E$11+1,1))-AVERAGE(OFFSET($H$3,0,0,'Données projet'!$E$11+1,1))</f>
        <v>207.84100251878419</v>
      </c>
      <c r="BJ46" s="62">
        <f t="shared" si="38"/>
        <v>124.34917784241952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3.7399999999999975</v>
      </c>
      <c r="BY46" s="13">
        <f>IF('Données projet'!$A$114&gt;35,BY45+BX46-CG45,IF(A46&lt;'Données projet'!$A$114,$BV$205^A46,IF(A46='Données projet'!$A$114,'Données projet'!$B$114,BY45+BX46-CG45)))</f>
        <v>184.22</v>
      </c>
      <c r="BZ46" s="14">
        <f>BY46*VLOOKUP('Données projet'!$B$12,Paramètres!$A$1:$I$89,3,0)*VLOOKUP('Données projet'!$B$12,Paramètres!$A$1:$I$89,5,0)</f>
        <v>95.79440000000001</v>
      </c>
      <c r="CA46" s="14">
        <f t="shared" si="39"/>
        <v>25.957579710436612</v>
      </c>
      <c r="CB46" s="22">
        <f t="shared" si="10"/>
        <v>212.05136466234376</v>
      </c>
      <c r="CC46" s="62">
        <f t="shared" si="11"/>
        <v>505.38469799567707</v>
      </c>
      <c r="CD46" s="62">
        <f ca="1">AVERAGE(OFFSET($CC$3,0,0,'Données projet'!$E$12+1,1))-AVERAGE(OFFSET($H$3,0,0,'Données projet'!$E$12+1,1))</f>
        <v>211.05980622218578</v>
      </c>
      <c r="CE46" s="62">
        <f t="shared" si="40"/>
        <v>168.57746894604855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1.8720833333333331</v>
      </c>
      <c r="CT46" s="13">
        <f>IF('Données projet'!$A$140&gt;35,CT45+CS46-DB45,IF(A46&lt;'Données projet'!$A$140,$CQ$205^A46,IF(A46='Données projet'!$A$140,'Données projet'!$B$140,CT45+CS46-DB45)))</f>
        <v>61.282916666666679</v>
      </c>
      <c r="CU46" s="18">
        <f>CT46*VLOOKUP('Données projet'!$B$13,Paramètres!$A$1:$I$89,3,0)*VLOOKUP('Données projet'!$B$13,Paramètres!$A$1:$I$89,5,0)</f>
        <v>70.597920000000002</v>
      </c>
      <c r="CV46" s="14">
        <f t="shared" si="41"/>
        <v>19.821868598485771</v>
      </c>
      <c r="CW46" s="22">
        <f t="shared" si="13"/>
        <v>157.48113180902939</v>
      </c>
      <c r="CX46" s="62">
        <f t="shared" si="14"/>
        <v>450.81446514236268</v>
      </c>
      <c r="CY46" s="62">
        <f ca="1">AVERAGE(OFFSET($CX$3,0,0,'Données projet'!$E$13+1,1))-AVERAGE(OFFSET($H$3,0,0,'Données projet'!$E$13+1,1))</f>
        <v>191.79777926975839</v>
      </c>
      <c r="CZ46" s="62">
        <f t="shared" si="42"/>
        <v>156.66161375678712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0.4479999999999999</v>
      </c>
      <c r="DO46" s="13">
        <f>IF('Données projet'!$A$166&gt;35,DO45+DN46-DW45,IF(A46&lt;'Données projet'!$A$166,$DL$205^A46,IF(A46='Données projet'!$A$166,'Données projet'!$B$166,DO45+DN46-DW45)))</f>
        <v>105.35399999999996</v>
      </c>
      <c r="DP46" s="18">
        <f>DO46*VLOOKUP('Données projet'!$B$14,Paramètres!$A$1:$I$89,3,0)*VLOOKUP('Données projet'!$B$14,Paramètres!$A$1:$I$89,5,0)</f>
        <v>115.04656799999995</v>
      </c>
      <c r="DQ46" s="14">
        <f t="shared" si="43"/>
        <v>30.516873508116614</v>
      </c>
      <c r="DR46" s="22">
        <f t="shared" si="16"/>
        <v>253.52299395996965</v>
      </c>
      <c r="DS46" s="62">
        <f t="shared" si="17"/>
        <v>546.85632729330291</v>
      </c>
      <c r="DT46" s="62">
        <f ca="1">AVERAGE(OFFSET($DS$3,0,0,'Données projet'!$E$14+1,1))-AVERAGE(OFFSET($H$3,0,0,'Données projet'!$E$14+1,1))</f>
        <v>541.0854688453461</v>
      </c>
      <c r="DU46" s="62">
        <f t="shared" si="44"/>
        <v>171.04847168584473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12.818181818181818</v>
      </c>
      <c r="EJ46" s="13">
        <f>IF('Données projet'!$A$192&gt;35,EJ45+EI46-ER45,IF(A46&lt;'Données projet'!$A$192,$EG$205^A46,IF(A46='Données projet'!$A$192,'Données projet'!$B$192,EJ45+EI46-ER45)))</f>
        <v>199.09090909090901</v>
      </c>
      <c r="EK46" s="18">
        <f>EJ46*VLOOKUP('Données projet'!$B$15,Paramètres!$A$1:$I$89,3,0)*VLOOKUP('Données projet'!$B$15,Paramètres!$A$1:$I$89,5,0)</f>
        <v>119.0563636363636</v>
      </c>
      <c r="EL46" s="14">
        <f t="shared" si="45"/>
        <v>31.454810586453245</v>
      </c>
      <c r="EM46" s="22">
        <f t="shared" si="19"/>
        <v>262.14029510473932</v>
      </c>
      <c r="EN46" s="62">
        <f t="shared" si="20"/>
        <v>555.47362843807264</v>
      </c>
      <c r="EO46" s="62">
        <f ca="1">AVERAGE(OFFSET($EN$3,0,0,'Données projet'!$E$15+1,1))-AVERAGE(OFFSET($H$3,0,0,'Données projet'!$E$15+1,1))</f>
        <v>244.01698421598974</v>
      </c>
      <c r="EP46" s="62">
        <f t="shared" si="46"/>
        <v>156.96653202915024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2.5083332654013195</v>
      </c>
      <c r="EX46" s="23">
        <f>EXP(-LN(2)/2)*EX45+(1-EXP(-LN(2)/2))/(LN(2)/2)*ER46*EU46*VLOOKUP('Données projet'!$B$15,Paramètres!$A$1:$I$89,3,0)*0.475*44/12</f>
        <v>0.11002467351213444</v>
      </c>
      <c r="EY46" s="24">
        <f t="shared" si="21"/>
        <v>2.6183579389134541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5</v>
      </c>
      <c r="FE46" s="13">
        <f>IF('Données projet'!$A$218&gt;35,FE45+FD46-FM45,IF(A46&lt;'Données projet'!$A$218,$FB$205^A46,IF(A46='Données projet'!$A$218,'Données projet'!$B$218,FE45+FD46-FM45)))</f>
        <v>109.99999999999997</v>
      </c>
      <c r="FF46" s="18">
        <f>FE46*VLOOKUP('Données projet'!$B$16,Paramètres!$A$1:$I$89,3,0)*VLOOKUP('Données projet'!$B$16,Paramètres!$A$1:$I$89,5,0)</f>
        <v>96.095999999999989</v>
      </c>
      <c r="FG46" s="14">
        <f t="shared" si="47"/>
        <v>26.029778784173352</v>
      </c>
      <c r="FH46" s="22">
        <f t="shared" si="22"/>
        <v>212.70239804910193</v>
      </c>
      <c r="FI46" s="62">
        <f t="shared" si="23"/>
        <v>506.03573138243524</v>
      </c>
      <c r="FJ46" s="62">
        <f ca="1">AVERAGE(OFFSET($FI$3,0,0,'Données projet'!$E$16+1,1))-AVERAGE(OFFSET($H$3,0,0,'Données projet'!$E$16+1,1))</f>
        <v>175.08726167127026</v>
      </c>
      <c r="FK46" s="62">
        <f t="shared" si="48"/>
        <v>196.05343924817117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4.5999999999999996</v>
      </c>
      <c r="FZ46" s="13">
        <f>IF('Données projet'!$A$244&gt;35,FZ45+FY46-GH45,IF(A46&lt;'Données projet'!$A$244,$FW$205^A46,IF(A46='Données projet'!$A$244,'Données projet'!$B$244,FZ45+FY46-GH45)))</f>
        <v>123.8</v>
      </c>
      <c r="GA46" s="18">
        <f>FZ46*VLOOKUP('Données projet'!$B$17,Paramètres!$A$1:$I$89,3,0)*VLOOKUP('Données projet'!$B$17,Paramètres!$A$1:$I$89,5,0)</f>
        <v>81.113759999999999</v>
      </c>
      <c r="GB46" s="14">
        <f t="shared" si="49"/>
        <v>22.409284723370501</v>
      </c>
      <c r="GC46" s="22">
        <f t="shared" si="25"/>
        <v>180.30263622653695</v>
      </c>
      <c r="GD46" s="62">
        <f t="shared" si="26"/>
        <v>473.63596955987026</v>
      </c>
      <c r="GE46" s="62">
        <f ca="1">AVERAGE(OFFSET($GD$3,0,0,'Données projet'!$E$17+1,1))-AVERAGE(OFFSET($H$3,0,0,'Données projet'!$E$17+1,1))</f>
        <v>142.93037460866543</v>
      </c>
      <c r="GF46" s="62">
        <f t="shared" si="50"/>
        <v>146.18554498808049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3.8</v>
      </c>
      <c r="GU46" s="13">
        <f>IF('Données projet'!$A$270&gt;35,GU45+GT46-HC45,IF(A46&lt;'Données projet'!$A$270,$GR$205^A46,IF(A46='Données projet'!$A$270,'Données projet'!$B$270,GU45+GT46-HC45)))</f>
        <v>77.400000000000006</v>
      </c>
      <c r="GV46" s="18">
        <f>GU46*VLOOKUP('Données projet'!$B$18,Paramètres!$A$1:$I$89,3,0)*VLOOKUP('Données projet'!$B$18,Paramètres!$A$1:$I$89,5,0)</f>
        <v>66.409200000000013</v>
      </c>
      <c r="GW46" s="14">
        <f t="shared" si="51"/>
        <v>18.779020899296363</v>
      </c>
      <c r="GX46" s="22">
        <f t="shared" si="28"/>
        <v>148.36948473294117</v>
      </c>
      <c r="GY46" s="62">
        <f t="shared" si="29"/>
        <v>441.70281806627452</v>
      </c>
      <c r="GZ46" s="62">
        <f ca="1">AVERAGE(OFFSET($GY$3,0,0,'Données projet'!$E$18+1,1))-AVERAGE(OFFSET($H$3,0,0,'Données projet'!$E$18+1,1))</f>
        <v>188.08607733149256</v>
      </c>
      <c r="HA46" s="62">
        <f t="shared" si="52"/>
        <v>119.95698016603842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13.155999999999995</v>
      </c>
      <c r="D47" s="12">
        <f t="shared" si="32"/>
        <v>4.4916914128654293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136.22779336246995</v>
      </c>
      <c r="H47" s="70">
        <f t="shared" si="1"/>
        <v>287.40306254407398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3.8</v>
      </c>
      <c r="N47" s="14">
        <f>IF('Données projet'!$A$36&gt;35,N46+M47-V46,IF(A47&lt;'Données projet'!$A$36,$K$205^A47,IF(A47='Données projet'!$A$36,'Données projet'!$B$36,N46+M47-V46)))</f>
        <v>81.2</v>
      </c>
      <c r="O47" s="14">
        <f>N47*VLOOKUP('Données projet'!$B$9,Paramètres!$A$1:$I$89,3,0)*VLOOKUP('Données projet'!$B$9,Paramètres!$A$1:$I$89,5,0)</f>
        <v>87.403679999999994</v>
      </c>
      <c r="P47" s="14">
        <f t="shared" si="33"/>
        <v>23.937992357455176</v>
      </c>
      <c r="Q47" s="22">
        <f t="shared" si="53"/>
        <v>193.92007935590107</v>
      </c>
      <c r="R47" s="62">
        <f t="shared" si="0"/>
        <v>487.25341268923438</v>
      </c>
      <c r="S47" s="62">
        <f ca="1">AVERAGE(OFFSET($R$3,0,0,'Données projet'!$E$9+1,1))-AVERAGE(OFFSET($H$3,0,0,'Données projet'!$E$9+1,1))</f>
        <v>236.98575892380046</v>
      </c>
      <c r="T47" s="62">
        <f t="shared" si="34"/>
        <v>145.77678223659774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>
        <f>VLOOKUP(A47,'Données projet'!$A$61:$I$81,2,0)</f>
        <v>138.62307692307692</v>
      </c>
      <c r="AG47" s="13">
        <f>VLOOKUP(A47,'Données projet'!$A$61:$I$81,9,0)</f>
        <v>5.9557692307692314</v>
      </c>
      <c r="AH47" s="13">
        <f t="array" ref="AH47">INDEX(AG:AG,MIN(IF(ISNUMBER(AG47:AG243),ROW(AG47:AG243),"")))</f>
        <v>5.9557692307692314</v>
      </c>
      <c r="AI47" s="14">
        <f>IF('Données projet'!$A$62&gt;35,AI46+AH47-AQ46,IF(A47&lt;'Données projet'!$A$62,$AF$205^A47,IF(A47='Données projet'!$A$62,'Données projet'!$B$62,AI46+AH47-AQ46)))</f>
        <v>138.62307692307689</v>
      </c>
      <c r="AJ47" s="14">
        <f>AI47*VLOOKUP('Données projet'!$B$10,Paramètres!$A$1:$I$89,3,0)*VLOOKUP('Données projet'!$B$10,Paramètres!$A$1:$I$89,5,0)</f>
        <v>81.094499999999996</v>
      </c>
      <c r="AK47" s="14">
        <f t="shared" si="35"/>
        <v>22.404583060844672</v>
      </c>
      <c r="AL47" s="22">
        <f t="shared" si="4"/>
        <v>180.2609029976378</v>
      </c>
      <c r="AM47" s="62">
        <f t="shared" si="5"/>
        <v>473.59423633097111</v>
      </c>
      <c r="AN47" s="62">
        <f ca="1">AVERAGE(OFFSET($AM$3,0,0,'Données projet'!$E$10+1,1))-AVERAGE(OFFSET($H$3,0,0,'Données projet'!$E$10+1,1))</f>
        <v>140.04898296125504</v>
      </c>
      <c r="AO47" s="62">
        <f t="shared" si="36"/>
        <v>129.5395511270716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10.869230769230773</v>
      </c>
      <c r="BD47" s="13">
        <f>IF('Données projet'!$A$88&gt;35,BD46+BC47-BL46,IF(A47&lt;'Données projet'!$A$88,$BA$205^A47,IF(A47='Données projet'!$A$88,'Données projet'!$B$88,BD46+BC47-BL46)))</f>
        <v>241.27692307692305</v>
      </c>
      <c r="BE47" s="14">
        <f>BD47*VLOOKUP('Données projet'!$B$11,Paramètres!$A$1:$I$89,3,0)*VLOOKUP('Données projet'!$B$11,Paramètres!$A$1:$I$89,5,0)</f>
        <v>112.91759999999999</v>
      </c>
      <c r="BF47" s="14">
        <f t="shared" si="37"/>
        <v>30.017343081157474</v>
      </c>
      <c r="BG47" s="22">
        <f t="shared" si="7"/>
        <v>248.9450258663492</v>
      </c>
      <c r="BH47" s="62">
        <f t="shared" si="8"/>
        <v>542.27835919968254</v>
      </c>
      <c r="BI47" s="62">
        <f ca="1">AVERAGE(OFFSET($BH$3,0,0,'Données projet'!$E$11+1,1))-AVERAGE(OFFSET($H$3,0,0,'Données projet'!$E$11+1,1))</f>
        <v>207.84100251878419</v>
      </c>
      <c r="BJ47" s="62">
        <f t="shared" si="38"/>
        <v>124.34917784241952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3.7399999999999975</v>
      </c>
      <c r="BY47" s="13">
        <f>IF('Données projet'!$A$114&gt;35,BY46+BX47-CG46,IF(A47&lt;'Données projet'!$A$114,$BV$205^A47,IF(A47='Données projet'!$A$114,'Données projet'!$B$114,BY46+BX47-CG46)))</f>
        <v>187.96</v>
      </c>
      <c r="BZ47" s="14">
        <f>BY47*VLOOKUP('Données projet'!$B$12,Paramètres!$A$1:$I$89,3,0)*VLOOKUP('Données projet'!$B$12,Paramètres!$A$1:$I$89,5,0)</f>
        <v>97.739200000000025</v>
      </c>
      <c r="CA47" s="14">
        <f t="shared" si="39"/>
        <v>26.422678401406777</v>
      </c>
      <c r="CB47" s="22">
        <f t="shared" si="10"/>
        <v>216.24860488245017</v>
      </c>
      <c r="CC47" s="62">
        <f t="shared" si="11"/>
        <v>509.58193821578345</v>
      </c>
      <c r="CD47" s="62">
        <f ca="1">AVERAGE(OFFSET($CC$3,0,0,'Données projet'!$E$12+1,1))-AVERAGE(OFFSET($H$3,0,0,'Données projet'!$E$12+1,1))</f>
        <v>211.05980622218578</v>
      </c>
      <c r="CE47" s="62">
        <f t="shared" si="40"/>
        <v>168.57746894604855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1.8720833333333331</v>
      </c>
      <c r="CT47" s="13">
        <f>IF('Données projet'!$A$140&gt;35,CT46+CS47-DB46,IF(A47&lt;'Données projet'!$A$140,$CQ$205^A47,IF(A47='Données projet'!$A$140,'Données projet'!$B$140,CT46+CS47-DB46)))</f>
        <v>63.155000000000015</v>
      </c>
      <c r="CU47" s="18">
        <f>CT47*VLOOKUP('Données projet'!$B$13,Paramètres!$A$1:$I$89,3,0)*VLOOKUP('Données projet'!$B$13,Paramètres!$A$1:$I$89,5,0)</f>
        <v>72.754560000000012</v>
      </c>
      <c r="CV47" s="14">
        <f t="shared" si="41"/>
        <v>20.355967742631517</v>
      </c>
      <c r="CW47" s="22">
        <f t="shared" si="13"/>
        <v>162.16750248508325</v>
      </c>
      <c r="CX47" s="62">
        <f t="shared" si="14"/>
        <v>455.50083581841659</v>
      </c>
      <c r="CY47" s="62">
        <f ca="1">AVERAGE(OFFSET($CX$3,0,0,'Données projet'!$E$13+1,1))-AVERAGE(OFFSET($H$3,0,0,'Données projet'!$E$13+1,1))</f>
        <v>191.79777926975839</v>
      </c>
      <c r="CZ47" s="62">
        <f t="shared" si="42"/>
        <v>156.66161375678712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0.4479999999999999</v>
      </c>
      <c r="DO47" s="13">
        <f>IF('Données projet'!$A$166&gt;35,DO46+DN47-DW46,IF(A47&lt;'Données projet'!$A$166,$DL$205^A47,IF(A47='Données projet'!$A$166,'Données projet'!$B$166,DO46+DN47-DW46)))</f>
        <v>105.80199999999995</v>
      </c>
      <c r="DP47" s="18">
        <f>DO47*VLOOKUP('Données projet'!$B$14,Paramètres!$A$1:$I$89,3,0)*VLOOKUP('Données projet'!$B$14,Paramètres!$A$1:$I$89,5,0)</f>
        <v>115.53578399999995</v>
      </c>
      <c r="DQ47" s="14">
        <f t="shared" si="43"/>
        <v>30.631508024817538</v>
      </c>
      <c r="DR47" s="22">
        <f t="shared" si="16"/>
        <v>254.57470027655714</v>
      </c>
      <c r="DS47" s="62">
        <f t="shared" si="17"/>
        <v>547.90803360989048</v>
      </c>
      <c r="DT47" s="62">
        <f ca="1">AVERAGE(OFFSET($DS$3,0,0,'Données projet'!$E$14+1,1))-AVERAGE(OFFSET($H$3,0,0,'Données projet'!$E$14+1,1))</f>
        <v>541.0854688453461</v>
      </c>
      <c r="DU47" s="62">
        <f t="shared" si="44"/>
        <v>171.04847168584473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12.818181818181818</v>
      </c>
      <c r="EJ47" s="13">
        <f>IF('Données projet'!$A$192&gt;35,EJ46+EI47-ER46,IF(A47&lt;'Données projet'!$A$192,$EG$205^A47,IF(A47='Données projet'!$A$192,'Données projet'!$B$192,EJ46+EI47-ER46)))</f>
        <v>211.90909090909082</v>
      </c>
      <c r="EK47" s="18">
        <f>EJ47*VLOOKUP('Données projet'!$B$15,Paramètres!$A$1:$I$89,3,0)*VLOOKUP('Données projet'!$B$15,Paramètres!$A$1:$I$89,5,0)</f>
        <v>126.72163636363632</v>
      </c>
      <c r="EL47" s="14">
        <f t="shared" si="45"/>
        <v>33.237703345000618</v>
      </c>
      <c r="EM47" s="22">
        <f t="shared" si="19"/>
        <v>278.5958499925427</v>
      </c>
      <c r="EN47" s="62">
        <f t="shared" si="20"/>
        <v>571.92918332587601</v>
      </c>
      <c r="EO47" s="62">
        <f ca="1">AVERAGE(OFFSET($EN$3,0,0,'Données projet'!$E$15+1,1))-AVERAGE(OFFSET($H$3,0,0,'Données projet'!$E$15+1,1))</f>
        <v>244.01698421598974</v>
      </c>
      <c r="EP47" s="62">
        <f t="shared" si="46"/>
        <v>156.96653202915024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2.439742760351407</v>
      </c>
      <c r="EX47" s="23">
        <f>EXP(-LN(2)/2)*EX46+(1-EXP(-LN(2)/2))/(LN(2)/2)*ER47*EU47*VLOOKUP('Données projet'!$B$15,Paramètres!$A$1:$I$89,3,0)*0.475*44/12</f>
        <v>7.7799192738266187E-2</v>
      </c>
      <c r="EY47" s="24">
        <f t="shared" si="21"/>
        <v>2.5175419530896734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5</v>
      </c>
      <c r="FE47" s="13">
        <f>IF('Données projet'!$A$218&gt;35,FE46+FD47-FM46,IF(A47&lt;'Données projet'!$A$218,$FB$205^A47,IF(A47='Données projet'!$A$218,'Données projet'!$B$218,FE46+FD47-FM46)))</f>
        <v>114.99999999999997</v>
      </c>
      <c r="FF47" s="18">
        <f>FE47*VLOOKUP('Données projet'!$B$16,Paramètres!$A$1:$I$89,3,0)*VLOOKUP('Données projet'!$B$16,Paramètres!$A$1:$I$89,5,0)</f>
        <v>100.46399999999998</v>
      </c>
      <c r="FG47" s="14">
        <f t="shared" si="47"/>
        <v>27.072509349827456</v>
      </c>
      <c r="FH47" s="22">
        <f t="shared" si="22"/>
        <v>222.12608711761615</v>
      </c>
      <c r="FI47" s="62">
        <f t="shared" si="23"/>
        <v>515.45942045094944</v>
      </c>
      <c r="FJ47" s="62">
        <f ca="1">AVERAGE(OFFSET($FI$3,0,0,'Données projet'!$E$16+1,1))-AVERAGE(OFFSET($H$3,0,0,'Données projet'!$E$16+1,1))</f>
        <v>175.08726167127026</v>
      </c>
      <c r="FK47" s="62">
        <f t="shared" si="48"/>
        <v>196.05343924817117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4.5999999999999996</v>
      </c>
      <c r="FZ47" s="13">
        <f>IF('Données projet'!$A$244&gt;35,FZ46+FY47-GH46,IF(A47&lt;'Données projet'!$A$244,$FW$205^A47,IF(A47='Données projet'!$A$244,'Données projet'!$B$244,FZ46+FY47-GH46)))</f>
        <v>128.4</v>
      </c>
      <c r="GA47" s="18">
        <f>FZ47*VLOOKUP('Données projet'!$B$17,Paramètres!$A$1:$I$89,3,0)*VLOOKUP('Données projet'!$B$17,Paramètres!$A$1:$I$89,5,0)</f>
        <v>84.127679999999998</v>
      </c>
      <c r="GB47" s="14">
        <f t="shared" si="49"/>
        <v>23.143449366413215</v>
      </c>
      <c r="GC47" s="22">
        <f t="shared" si="25"/>
        <v>186.83055031316971</v>
      </c>
      <c r="GD47" s="62">
        <f t="shared" si="26"/>
        <v>480.163883646503</v>
      </c>
      <c r="GE47" s="62">
        <f ca="1">AVERAGE(OFFSET($GD$3,0,0,'Données projet'!$E$17+1,1))-AVERAGE(OFFSET($H$3,0,0,'Données projet'!$E$17+1,1))</f>
        <v>142.93037460866543</v>
      </c>
      <c r="GF47" s="62">
        <f t="shared" si="50"/>
        <v>146.18554498808049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3.8</v>
      </c>
      <c r="GU47" s="13">
        <f>IF('Données projet'!$A$270&gt;35,GU46+GT47-HC46,IF(A47&lt;'Données projet'!$A$270,$GR$205^A47,IF(A47='Données projet'!$A$270,'Données projet'!$B$270,GU46+GT47-HC46)))</f>
        <v>81.2</v>
      </c>
      <c r="GV47" s="18">
        <f>GU47*VLOOKUP('Données projet'!$B$18,Paramètres!$A$1:$I$89,3,0)*VLOOKUP('Données projet'!$B$18,Paramètres!$A$1:$I$89,5,0)</f>
        <v>69.669600000000003</v>
      </c>
      <c r="GW47" s="14">
        <f t="shared" si="51"/>
        <v>19.591385027476957</v>
      </c>
      <c r="GX47" s="22">
        <f t="shared" si="28"/>
        <v>155.46288225618903</v>
      </c>
      <c r="GY47" s="62">
        <f t="shared" si="29"/>
        <v>448.79621558952238</v>
      </c>
      <c r="GZ47" s="62">
        <f ca="1">AVERAGE(OFFSET($GY$3,0,0,'Données projet'!$E$18+1,1))-AVERAGE(OFFSET($H$3,0,0,'Données projet'!$E$18+1,1))</f>
        <v>188.08607733149256</v>
      </c>
      <c r="HA47" s="62">
        <f t="shared" si="52"/>
        <v>119.95698016603842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13.454999999999995</v>
      </c>
      <c r="D48" s="12">
        <f t="shared" si="32"/>
        <v>4.5817744285110367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139.2312412025413</v>
      </c>
      <c r="H48" s="70">
        <f t="shared" si="1"/>
        <v>288.08071546299004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85</v>
      </c>
      <c r="L48" s="13">
        <f>VLOOKUP(A48,'Données projet'!$A$35:$I$55,9,0)</f>
        <v>3.8</v>
      </c>
      <c r="M48" s="13">
        <f t="array" ref="M48">INDEX(L:L,MIN(IF(ISNUMBER(L48:L244),ROW(L48:L244),"")))</f>
        <v>3.8</v>
      </c>
      <c r="N48" s="14">
        <f>IF('Données projet'!$A$36&gt;35,N47+M48-V47,IF(A48&lt;'Données projet'!$A$36,$K$205^A48,IF(A48='Données projet'!$A$36,'Données projet'!$B$36,N47+M48-V47)))</f>
        <v>85</v>
      </c>
      <c r="O48" s="14">
        <f>N48*VLOOKUP('Données projet'!$B$9,Paramètres!$A$1:$I$89,3,0)*VLOOKUP('Données projet'!$B$9,Paramètres!$A$1:$I$89,5,0)</f>
        <v>91.494</v>
      </c>
      <c r="P48" s="14">
        <f t="shared" si="33"/>
        <v>24.925195840896517</v>
      </c>
      <c r="Q48" s="22">
        <f t="shared" si="53"/>
        <v>202.7634327562281</v>
      </c>
      <c r="R48" s="62">
        <f t="shared" si="0"/>
        <v>496.09676608956141</v>
      </c>
      <c r="S48" s="62">
        <f ca="1">AVERAGE(OFFSET($R$3,0,0,'Données projet'!$E$9+1,1))-AVERAGE(OFFSET($H$3,0,0,'Données projet'!$E$9+1,1))</f>
        <v>236.98575892380046</v>
      </c>
      <c r="T48" s="62">
        <f t="shared" si="34"/>
        <v>145.77678223659774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6.4759615384615365</v>
      </c>
      <c r="AI48" s="14">
        <f>IF('Données projet'!$A$62&gt;35,AI47+AH48-AQ47,IF(A48&lt;'Données projet'!$A$62,$AF$205^A48,IF(A48='Données projet'!$A$62,'Données projet'!$B$62,AI47+AH48-AQ47)))</f>
        <v>145.09903846153844</v>
      </c>
      <c r="AJ48" s="14">
        <f>AI48*VLOOKUP('Données projet'!$B$10,Paramètres!$A$1:$I$89,3,0)*VLOOKUP('Données projet'!$B$10,Paramètres!$A$1:$I$89,5,0)</f>
        <v>84.882937499999997</v>
      </c>
      <c r="AK48" s="14">
        <f t="shared" si="35"/>
        <v>23.326939919529902</v>
      </c>
      <c r="AL48" s="22">
        <f t="shared" si="4"/>
        <v>188.46553650568126</v>
      </c>
      <c r="AM48" s="62">
        <f t="shared" si="5"/>
        <v>481.79886983901457</v>
      </c>
      <c r="AN48" s="62">
        <f ca="1">AVERAGE(OFFSET($AM$3,0,0,'Données projet'!$E$10+1,1))-AVERAGE(OFFSET($H$3,0,0,'Données projet'!$E$10+1,1))</f>
        <v>140.04898296125504</v>
      </c>
      <c r="AO48" s="62">
        <f t="shared" si="36"/>
        <v>129.5395511270716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252.14615384615385</v>
      </c>
      <c r="BB48" s="13">
        <f>VLOOKUP(A48,'Données projet'!$A$87:$I$107,9,0)</f>
        <v>10.869230769230773</v>
      </c>
      <c r="BC48" s="13">
        <f t="array" ref="BC48">INDEX(BB:BB,MIN(IF(ISNUMBER(BB48:BB244),ROW(BB48:BB244),"")))</f>
        <v>10.869230769230773</v>
      </c>
      <c r="BD48" s="13">
        <f>IF('Données projet'!$A$88&gt;35,BD47+BC48-BL47,IF(A48&lt;'Données projet'!$A$88,$BA$205^A48,IF(A48='Données projet'!$A$88,'Données projet'!$B$88,BD47+BC48-BL47)))</f>
        <v>252.14615384615382</v>
      </c>
      <c r="BE48" s="14">
        <f>BD48*VLOOKUP('Données projet'!$B$11,Paramètres!$A$1:$I$89,3,0)*VLOOKUP('Données projet'!$B$11,Paramètres!$A$1:$I$89,5,0)</f>
        <v>118.00439999999999</v>
      </c>
      <c r="BF48" s="14">
        <f t="shared" si="37"/>
        <v>31.209105068500421</v>
      </c>
      <c r="BG48" s="22">
        <f t="shared" si="7"/>
        <v>259.88018799430489</v>
      </c>
      <c r="BH48" s="62">
        <f t="shared" si="8"/>
        <v>553.2135213276382</v>
      </c>
      <c r="BI48" s="62">
        <f ca="1">AVERAGE(OFFSET($BH$3,0,0,'Données projet'!$E$11+1,1))-AVERAGE(OFFSET($H$3,0,0,'Données projet'!$E$11+1,1))</f>
        <v>207.84100251878419</v>
      </c>
      <c r="BJ48" s="62">
        <f t="shared" si="38"/>
        <v>124.34917784241952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191.7</v>
      </c>
      <c r="BW48" s="13">
        <f>VLOOKUP(A48,'Données projet'!$A$113:$I$133,9,0)</f>
        <v>3.7399999999999975</v>
      </c>
      <c r="BX48" s="13">
        <f t="array" ref="BX48">INDEX(BW:BW,MIN(IF(ISNUMBER(BW48:BW244),ROW(BW48:BW244),"")))</f>
        <v>3.7399999999999975</v>
      </c>
      <c r="BY48" s="13">
        <f>IF('Données projet'!$A$114&gt;35,BY47+BX48-CG47,IF(A48&lt;'Données projet'!$A$114,$BV$205^A48,IF(A48='Données projet'!$A$114,'Données projet'!$B$114,BY47+BX48-CG47)))</f>
        <v>191.70000000000002</v>
      </c>
      <c r="BZ48" s="14">
        <f>BY48*VLOOKUP('Données projet'!$B$12,Paramètres!$A$1:$I$89,3,0)*VLOOKUP('Données projet'!$B$12,Paramètres!$A$1:$I$89,5,0)</f>
        <v>99.684000000000012</v>
      </c>
      <c r="CA48" s="14">
        <f t="shared" si="39"/>
        <v>26.886701044194457</v>
      </c>
      <c r="CB48" s="22">
        <f t="shared" si="10"/>
        <v>220.44397098530536</v>
      </c>
      <c r="CC48" s="62">
        <f t="shared" si="11"/>
        <v>513.7773043186387</v>
      </c>
      <c r="CD48" s="62">
        <f ca="1">AVERAGE(OFFSET($CC$3,0,0,'Données projet'!$E$12+1,1))-AVERAGE(OFFSET($H$3,0,0,'Données projet'!$E$12+1,1))</f>
        <v>211.05980622218578</v>
      </c>
      <c r="CE48" s="62">
        <f t="shared" si="40"/>
        <v>168.57746894604855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1.8720833333333331</v>
      </c>
      <c r="CT48" s="13">
        <f>IF('Données projet'!$A$140&gt;35,CT47+CS48-DB47,IF(A48&lt;'Données projet'!$A$140,$CQ$205^A48,IF(A48='Données projet'!$A$140,'Données projet'!$B$140,CT47+CS48-DB47)))</f>
        <v>65.027083333333351</v>
      </c>
      <c r="CU48" s="18">
        <f>CT48*VLOOKUP('Données projet'!$B$13,Paramètres!$A$1:$I$89,3,0)*VLOOKUP('Données projet'!$B$13,Paramètres!$A$1:$I$89,5,0)</f>
        <v>74.911200000000022</v>
      </c>
      <c r="CV48" s="14">
        <f t="shared" si="41"/>
        <v>20.888226917907243</v>
      </c>
      <c r="CW48" s="22">
        <f t="shared" si="13"/>
        <v>166.8506685486885</v>
      </c>
      <c r="CX48" s="62">
        <f t="shared" si="14"/>
        <v>460.18400188202179</v>
      </c>
      <c r="CY48" s="62">
        <f ca="1">AVERAGE(OFFSET($CX$3,0,0,'Données projet'!$E$13+1,1))-AVERAGE(OFFSET($H$3,0,0,'Données projet'!$E$13+1,1))</f>
        <v>191.79777926975839</v>
      </c>
      <c r="CZ48" s="62">
        <f t="shared" si="42"/>
        <v>156.66161375678712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0.4479999999999999</v>
      </c>
      <c r="DO48" s="13">
        <f>IF('Données projet'!$A$166&gt;35,DO47+DN48-DW47,IF(A48&lt;'Données projet'!$A$166,$DL$205^A48,IF(A48='Données projet'!$A$166,'Données projet'!$B$166,DO47+DN48-DW47)))</f>
        <v>106.24999999999994</v>
      </c>
      <c r="DP48" s="18">
        <f>DO48*VLOOKUP('Données projet'!$B$14,Paramètres!$A$1:$I$89,3,0)*VLOOKUP('Données projet'!$B$14,Paramètres!$A$1:$I$89,5,0)</f>
        <v>116.02499999999993</v>
      </c>
      <c r="DQ48" s="14">
        <f t="shared" si="43"/>
        <v>30.746086054731535</v>
      </c>
      <c r="DR48" s="22">
        <f t="shared" si="16"/>
        <v>255.62630821199068</v>
      </c>
      <c r="DS48" s="62">
        <f t="shared" si="17"/>
        <v>548.95964154532396</v>
      </c>
      <c r="DT48" s="62">
        <f ca="1">AVERAGE(OFFSET($DS$3,0,0,'Données projet'!$E$14+1,1))-AVERAGE(OFFSET($H$3,0,0,'Données projet'!$E$14+1,1))</f>
        <v>541.0854688453461</v>
      </c>
      <c r="DU48" s="62">
        <f t="shared" si="44"/>
        <v>171.04847168584473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12.818181818181818</v>
      </c>
      <c r="EJ48" s="13">
        <f>IF('Données projet'!$A$192&gt;35,EJ47+EI48-ER47,IF(A48&lt;'Données projet'!$A$192,$EG$205^A48,IF(A48='Données projet'!$A$192,'Données projet'!$B$192,EJ47+EI48-ER47)))</f>
        <v>224.72727272727263</v>
      </c>
      <c r="EK48" s="18">
        <f>EJ48*VLOOKUP('Données projet'!$B$15,Paramètres!$A$1:$I$89,3,0)*VLOOKUP('Données projet'!$B$15,Paramètres!$A$1:$I$89,5,0)</f>
        <v>134.38690909090903</v>
      </c>
      <c r="EL48" s="14">
        <f t="shared" si="45"/>
        <v>35.008078919784097</v>
      </c>
      <c r="EM48" s="22">
        <f t="shared" si="19"/>
        <v>295.02960411862381</v>
      </c>
      <c r="EN48" s="62">
        <f t="shared" si="20"/>
        <v>588.36293745195712</v>
      </c>
      <c r="EO48" s="62">
        <f ca="1">AVERAGE(OFFSET($EN$3,0,0,'Données projet'!$E$15+1,1))-AVERAGE(OFFSET($H$3,0,0,'Données projet'!$E$15+1,1))</f>
        <v>244.01698421598974</v>
      </c>
      <c r="EP48" s="62">
        <f t="shared" si="46"/>
        <v>156.96653202915024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2.3730278662691022</v>
      </c>
      <c r="EX48" s="23">
        <f>EXP(-LN(2)/2)*EX47+(1-EXP(-LN(2)/2))/(LN(2)/2)*ER48*EU48*VLOOKUP('Données projet'!$B$15,Paramètres!$A$1:$I$89,3,0)*0.475*44/12</f>
        <v>5.5012336756067232E-2</v>
      </c>
      <c r="EY48" s="24">
        <f t="shared" si="21"/>
        <v>2.4280402030251693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120</v>
      </c>
      <c r="FC48" s="13">
        <f>VLOOKUP(A48,'Données projet'!$A$217:$I$237,9,0)</f>
        <v>5</v>
      </c>
      <c r="FD48" s="13">
        <f t="array" ref="FD48">INDEX(FC:FC,MIN(IF(ISNUMBER(FC48:FC244),ROW(FC48:FC244),"")))</f>
        <v>5</v>
      </c>
      <c r="FE48" s="13">
        <f>IF('Données projet'!$A$218&gt;35,FE47+FD48-FM47,IF(A48&lt;'Données projet'!$A$218,$FB$205^A48,IF(A48='Données projet'!$A$218,'Données projet'!$B$218,FE47+FD48-FM47)))</f>
        <v>119.99999999999997</v>
      </c>
      <c r="FF48" s="18">
        <f>FE48*VLOOKUP('Données projet'!$B$16,Paramètres!$A$1:$I$89,3,0)*VLOOKUP('Données projet'!$B$16,Paramètres!$A$1:$I$89,5,0)</f>
        <v>104.83199999999998</v>
      </c>
      <c r="FG48" s="14">
        <f t="shared" si="47"/>
        <v>28.109974371137692</v>
      </c>
      <c r="FH48" s="22">
        <f t="shared" si="22"/>
        <v>231.54060536306474</v>
      </c>
      <c r="FI48" s="62">
        <f t="shared" si="23"/>
        <v>524.873938696398</v>
      </c>
      <c r="FJ48" s="62">
        <f ca="1">AVERAGE(OFFSET($FI$3,0,0,'Données projet'!$E$16+1,1))-AVERAGE(OFFSET($H$3,0,0,'Données projet'!$E$16+1,1))</f>
        <v>175.08726167127026</v>
      </c>
      <c r="FK48" s="62">
        <f t="shared" si="48"/>
        <v>196.05343924817117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133</v>
      </c>
      <c r="FX48" s="13">
        <f>VLOOKUP(A48,'Données projet'!$A$243:$I$263,9,0)</f>
        <v>4.5999999999999996</v>
      </c>
      <c r="FY48" s="13">
        <f t="array" ref="FY48">INDEX(FX:FX,MIN(IF(ISNUMBER(FX48:FX244),ROW(FX48:FX244),"")))</f>
        <v>4.5999999999999996</v>
      </c>
      <c r="FZ48" s="13">
        <f>IF('Données projet'!$A$244&gt;35,FZ47+FY48-GH47,IF(A48&lt;'Données projet'!$A$244,$FW$205^A48,IF(A48='Données projet'!$A$244,'Données projet'!$B$244,FZ47+FY48-GH47)))</f>
        <v>133</v>
      </c>
      <c r="GA48" s="18">
        <f>FZ48*VLOOKUP('Données projet'!$B$17,Paramètres!$A$1:$I$89,3,0)*VLOOKUP('Données projet'!$B$17,Paramètres!$A$1:$I$89,5,0)</f>
        <v>87.141599999999997</v>
      </c>
      <c r="GB48" s="14">
        <f t="shared" si="49"/>
        <v>23.874558158360944</v>
      </c>
      <c r="GC48" s="22">
        <f t="shared" si="25"/>
        <v>193.35314212581196</v>
      </c>
      <c r="GD48" s="62">
        <f t="shared" si="26"/>
        <v>486.6864754591453</v>
      </c>
      <c r="GE48" s="62">
        <f ca="1">AVERAGE(OFFSET($GD$3,0,0,'Données projet'!$E$17+1,1))-AVERAGE(OFFSET($H$3,0,0,'Données projet'!$E$17+1,1))</f>
        <v>142.93037460866543</v>
      </c>
      <c r="GF48" s="62">
        <f t="shared" si="50"/>
        <v>146.18554498808049</v>
      </c>
      <c r="GG48" s="16">
        <f>IF(ISNA(VLOOKUP(A48,'Données projet'!$A$243:$I$263,3,0)),0,VLOOKUP(A48,'Données projet'!$A$243:$I$263,3,0))</f>
        <v>3</v>
      </c>
      <c r="GH48" s="16">
        <f>IF(ISNA(VLOOKUP(A48,'Données projet'!$A$243:$I$263,4,0)),0,VLOOKUP(A48,'Données projet'!$A$243:$I$263,4,0))</f>
        <v>30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85</v>
      </c>
      <c r="GS48" s="13">
        <f>VLOOKUP(A48,'Données projet'!$A$269:$I$289,9,0)</f>
        <v>3.8</v>
      </c>
      <c r="GT48" s="13">
        <f t="array" ref="GT48">INDEX(GS:GS,MIN(IF(ISNUMBER(GS48:GS244),ROW(GS48:GS244),"")))</f>
        <v>3.8</v>
      </c>
      <c r="GU48" s="13">
        <f>IF('Données projet'!$A$270&gt;35,GU47+GT48-HC47,IF(A48&lt;'Données projet'!$A$270,$GR$205^A48,IF(A48='Données projet'!$A$270,'Données projet'!$B$270,GU47+GT48-HC47)))</f>
        <v>85</v>
      </c>
      <c r="GV48" s="18">
        <f>GU48*VLOOKUP('Données projet'!$B$18,Paramètres!$A$1:$I$89,3,0)*VLOOKUP('Données projet'!$B$18,Paramètres!$A$1:$I$89,5,0)</f>
        <v>72.930000000000007</v>
      </c>
      <c r="GW48" s="14">
        <f t="shared" si="51"/>
        <v>20.39933430140773</v>
      </c>
      <c r="GX48" s="22">
        <f t="shared" si="28"/>
        <v>162.54859057495182</v>
      </c>
      <c r="GY48" s="62">
        <f t="shared" si="29"/>
        <v>455.8819239082851</v>
      </c>
      <c r="GZ48" s="62">
        <f ca="1">AVERAGE(OFFSET($GY$3,0,0,'Données projet'!$E$18+1,1))-AVERAGE(OFFSET($H$3,0,0,'Données projet'!$E$18+1,1))</f>
        <v>188.08607733149256</v>
      </c>
      <c r="HA48" s="62">
        <f t="shared" si="52"/>
        <v>119.95698016603842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13.753999999999994</v>
      </c>
      <c r="D49" s="12">
        <f t="shared" si="32"/>
        <v>4.671624710282793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142.23289250042853</v>
      </c>
      <c r="H49" s="70">
        <f t="shared" si="1"/>
        <v>288.75796303707585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3.8</v>
      </c>
      <c r="N49" s="14">
        <f>IF('Données projet'!$A$36&gt;35,N48+M49-V48,IF(A49&lt;'Données projet'!$A$36,$K$205^A49,IF(A49='Données projet'!$A$36,'Données projet'!$B$36,N48+M49-V48)))</f>
        <v>88.8</v>
      </c>
      <c r="O49" s="14">
        <f>N49*VLOOKUP('Données projet'!$B$9,Paramètres!$A$1:$I$89,3,0)*VLOOKUP('Données projet'!$B$9,Paramètres!$A$1:$I$89,5,0)</f>
        <v>95.584319999999991</v>
      </c>
      <c r="P49" s="14">
        <f t="shared" si="33"/>
        <v>25.907273689954479</v>
      </c>
      <c r="Q49" s="22">
        <f t="shared" si="53"/>
        <v>211.59785901000404</v>
      </c>
      <c r="R49" s="62">
        <f t="shared" si="0"/>
        <v>504.93119234333733</v>
      </c>
      <c r="S49" s="62">
        <f ca="1">AVERAGE(OFFSET($R$3,0,0,'Données projet'!$E$9+1,1))-AVERAGE(OFFSET($H$3,0,0,'Données projet'!$E$9+1,1))</f>
        <v>236.98575892380046</v>
      </c>
      <c r="T49" s="62">
        <f t="shared" si="34"/>
        <v>145.77678223659774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6.4759615384615365</v>
      </c>
      <c r="AI49" s="14">
        <f>IF('Données projet'!$A$62&gt;35,AI48+AH49-AQ48,IF(A49&lt;'Données projet'!$A$62,$AF$205^A49,IF(A49='Données projet'!$A$62,'Données projet'!$B$62,AI48+AH49-AQ48)))</f>
        <v>151.57499999999999</v>
      </c>
      <c r="AJ49" s="14">
        <f>AI49*VLOOKUP('Données projet'!$B$10,Paramètres!$A$1:$I$89,3,0)*VLOOKUP('Données projet'!$B$10,Paramètres!$A$1:$I$89,5,0)</f>
        <v>88.671374999999998</v>
      </c>
      <c r="AK49" s="14">
        <f t="shared" si="35"/>
        <v>24.244515804498253</v>
      </c>
      <c r="AL49" s="22">
        <f t="shared" si="4"/>
        <v>196.66184315116777</v>
      </c>
      <c r="AM49" s="62">
        <f t="shared" si="5"/>
        <v>489.99517648450109</v>
      </c>
      <c r="AN49" s="62">
        <f ca="1">AVERAGE(OFFSET($AM$3,0,0,'Données projet'!$E$10+1,1))-AVERAGE(OFFSET($H$3,0,0,'Données projet'!$E$10+1,1))</f>
        <v>140.04898296125504</v>
      </c>
      <c r="AO49" s="62">
        <f t="shared" si="36"/>
        <v>129.5395511270716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11.615384615384608</v>
      </c>
      <c r="BD49" s="13">
        <f>IF('Données projet'!$A$88&gt;35,BD48+BC49-BL48,IF(A49&lt;'Données projet'!$A$88,$BA$205^A49,IF(A49='Données projet'!$A$88,'Données projet'!$B$88,BD48+BC49-BL48)))</f>
        <v>263.76153846153841</v>
      </c>
      <c r="BE49" s="14">
        <f>BD49*VLOOKUP('Données projet'!$B$11,Paramètres!$A$1:$I$89,3,0)*VLOOKUP('Données projet'!$B$11,Paramètres!$A$1:$I$89,5,0)</f>
        <v>123.44039999999998</v>
      </c>
      <c r="BF49" s="14">
        <f t="shared" si="37"/>
        <v>32.476091260477197</v>
      </c>
      <c r="BG49" s="22">
        <f t="shared" si="7"/>
        <v>271.55455561199773</v>
      </c>
      <c r="BH49" s="62">
        <f t="shared" si="8"/>
        <v>564.88788894533104</v>
      </c>
      <c r="BI49" s="62">
        <f ca="1">AVERAGE(OFFSET($BH$3,0,0,'Données projet'!$E$11+1,1))-AVERAGE(OFFSET($H$3,0,0,'Données projet'!$E$11+1,1))</f>
        <v>207.84100251878419</v>
      </c>
      <c r="BJ49" s="62">
        <f t="shared" si="38"/>
        <v>124.34917784241952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3.5</v>
      </c>
      <c r="BY49" s="13">
        <f>IF('Données projet'!$A$114&gt;35,BY48+BX49-CG48,IF(A49&lt;'Données projet'!$A$114,$BV$205^A49,IF(A49='Données projet'!$A$114,'Données projet'!$B$114,BY48+BX49-CG48)))</f>
        <v>195.20000000000002</v>
      </c>
      <c r="BZ49" s="14">
        <f>BY49*VLOOKUP('Données projet'!$B$12,Paramètres!$A$1:$I$89,3,0)*VLOOKUP('Données projet'!$B$12,Paramètres!$A$1:$I$89,5,0)</f>
        <v>101.50400000000002</v>
      </c>
      <c r="CA49" s="14">
        <f t="shared" si="39"/>
        <v>27.31999291386828</v>
      </c>
      <c r="CB49" s="22">
        <f t="shared" si="10"/>
        <v>224.36845432498728</v>
      </c>
      <c r="CC49" s="62">
        <f t="shared" si="11"/>
        <v>517.70178765832065</v>
      </c>
      <c r="CD49" s="62">
        <f ca="1">AVERAGE(OFFSET($CC$3,0,0,'Données projet'!$E$12+1,1))-AVERAGE(OFFSET($H$3,0,0,'Données projet'!$E$12+1,1))</f>
        <v>211.05980622218578</v>
      </c>
      <c r="CE49" s="62">
        <f t="shared" si="40"/>
        <v>168.57746894604855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1.8720833333333331</v>
      </c>
      <c r="CT49" s="13">
        <f>IF('Données projet'!$A$140&gt;35,CT48+CS49-DB48,IF(A49&lt;'Données projet'!$A$140,$CQ$205^A49,IF(A49='Données projet'!$A$140,'Données projet'!$B$140,CT48+CS49-DB48)))</f>
        <v>66.899166666666687</v>
      </c>
      <c r="CU49" s="18">
        <f>CT49*VLOOKUP('Données projet'!$B$13,Paramètres!$A$1:$I$89,3,0)*VLOOKUP('Données projet'!$B$13,Paramètres!$A$1:$I$89,5,0)</f>
        <v>77.067840000000018</v>
      </c>
      <c r="CV49" s="14">
        <f t="shared" si="41"/>
        <v>21.418705179130875</v>
      </c>
      <c r="CW49" s="22">
        <f t="shared" si="13"/>
        <v>171.53073285365295</v>
      </c>
      <c r="CX49" s="62">
        <f t="shared" si="14"/>
        <v>464.86406618698629</v>
      </c>
      <c r="CY49" s="62">
        <f ca="1">AVERAGE(OFFSET($CX$3,0,0,'Données projet'!$E$13+1,1))-AVERAGE(OFFSET($H$3,0,0,'Données projet'!$E$13+1,1))</f>
        <v>191.79777926975839</v>
      </c>
      <c r="CZ49" s="62">
        <f t="shared" si="42"/>
        <v>156.66161375678712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0.4479999999999999</v>
      </c>
      <c r="DO49" s="13">
        <f>IF('Données projet'!$A$166&gt;35,DO48+DN49-DW48,IF(A49&lt;'Données projet'!$A$166,$DL$205^A49,IF(A49='Données projet'!$A$166,'Données projet'!$B$166,DO48+DN49-DW48)))</f>
        <v>106.69799999999994</v>
      </c>
      <c r="DP49" s="18">
        <f>DO49*VLOOKUP('Données projet'!$B$14,Paramètres!$A$1:$I$89,3,0)*VLOOKUP('Données projet'!$B$14,Paramètres!$A$1:$I$89,5,0)</f>
        <v>116.51421599999993</v>
      </c>
      <c r="DQ49" s="14">
        <f t="shared" si="43"/>
        <v>30.860607863693318</v>
      </c>
      <c r="DR49" s="22">
        <f t="shared" si="16"/>
        <v>256.67781822926577</v>
      </c>
      <c r="DS49" s="62">
        <f t="shared" si="17"/>
        <v>550.01115156259903</v>
      </c>
      <c r="DT49" s="62">
        <f ca="1">AVERAGE(OFFSET($DS$3,0,0,'Données projet'!$E$14+1,1))-AVERAGE(OFFSET($H$3,0,0,'Données projet'!$E$14+1,1))</f>
        <v>541.0854688453461</v>
      </c>
      <c r="DU49" s="62">
        <f t="shared" si="44"/>
        <v>171.04847168584473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12.818181818181818</v>
      </c>
      <c r="EJ49" s="13">
        <f>IF('Données projet'!$A$192&gt;35,EJ48+EI49-ER48,IF(A49&lt;'Données projet'!$A$192,$EG$205^A49,IF(A49='Données projet'!$A$192,'Données projet'!$B$192,EJ48+EI49-ER48)))</f>
        <v>237.54545454545445</v>
      </c>
      <c r="EK49" s="18">
        <f>EJ49*VLOOKUP('Données projet'!$B$15,Paramètres!$A$1:$I$89,3,0)*VLOOKUP('Données projet'!$B$15,Paramètres!$A$1:$I$89,5,0)</f>
        <v>142.05218181818177</v>
      </c>
      <c r="EL49" s="14">
        <f t="shared" si="45"/>
        <v>36.766732628338723</v>
      </c>
      <c r="EM49" s="22">
        <f t="shared" si="19"/>
        <v>311.44294266102321</v>
      </c>
      <c r="EN49" s="62">
        <f t="shared" si="20"/>
        <v>604.77627599435652</v>
      </c>
      <c r="EO49" s="62">
        <f ca="1">AVERAGE(OFFSET($EN$3,0,0,'Données projet'!$E$15+1,1))-AVERAGE(OFFSET($H$3,0,0,'Données projet'!$E$15+1,1))</f>
        <v>244.01698421598974</v>
      </c>
      <c r="EP49" s="62">
        <f t="shared" si="46"/>
        <v>156.96653202915024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2.3081372944738616</v>
      </c>
      <c r="EX49" s="23">
        <f>EXP(-LN(2)/2)*EX48+(1-EXP(-LN(2)/2))/(LN(2)/2)*ER49*EU49*VLOOKUP('Données projet'!$B$15,Paramètres!$A$1:$I$89,3,0)*0.475*44/12</f>
        <v>3.8899596369133101E-2</v>
      </c>
      <c r="EY49" s="24">
        <f t="shared" si="21"/>
        <v>2.3470368908429946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4.2</v>
      </c>
      <c r="FE49" s="13">
        <f>IF('Données projet'!$A$218&gt;35,FE48+FD49-FM48,IF(A49&lt;'Données projet'!$A$218,$FB$205^A49,IF(A49='Données projet'!$A$218,'Données projet'!$B$218,FE48+FD49-FM48)))</f>
        <v>124.19999999999997</v>
      </c>
      <c r="FF49" s="18">
        <f>FE49*VLOOKUP('Données projet'!$B$16,Paramètres!$A$1:$I$89,3,0)*VLOOKUP('Données projet'!$B$16,Paramètres!$A$1:$I$89,5,0)</f>
        <v>108.50111999999999</v>
      </c>
      <c r="FG49" s="14">
        <f t="shared" si="47"/>
        <v>28.977555261594095</v>
      </c>
      <c r="FH49" s="22">
        <f t="shared" si="22"/>
        <v>239.44202608060968</v>
      </c>
      <c r="FI49" s="62">
        <f t="shared" si="23"/>
        <v>532.77535941394297</v>
      </c>
      <c r="FJ49" s="62">
        <f ca="1">AVERAGE(OFFSET($FI$3,0,0,'Données projet'!$E$16+1,1))-AVERAGE(OFFSET($H$3,0,0,'Données projet'!$E$16+1,1))</f>
        <v>175.08726167127026</v>
      </c>
      <c r="FK49" s="62">
        <f t="shared" si="48"/>
        <v>196.05343924817117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4.2</v>
      </c>
      <c r="FZ49" s="13">
        <f>IF('Données projet'!$A$244&gt;35,FZ48+FY49-GH48,IF(A49&lt;'Données projet'!$A$244,$FW$205^A49,IF(A49='Données projet'!$A$244,'Données projet'!$B$244,FZ48+FY49-GH48)))</f>
        <v>107.19999999999999</v>
      </c>
      <c r="GA49" s="18">
        <f>FZ49*VLOOKUP('Données projet'!$B$17,Paramètres!$A$1:$I$89,3,0)*VLOOKUP('Données projet'!$B$17,Paramètres!$A$1:$I$89,5,0)</f>
        <v>70.237439999999992</v>
      </c>
      <c r="GB49" s="14">
        <f t="shared" si="49"/>
        <v>19.73241066599866</v>
      </c>
      <c r="GC49" s="22">
        <f t="shared" si="25"/>
        <v>156.69748990994762</v>
      </c>
      <c r="GD49" s="62">
        <f t="shared" si="26"/>
        <v>450.03082324328091</v>
      </c>
      <c r="GE49" s="62">
        <f ca="1">AVERAGE(OFFSET($GD$3,0,0,'Données projet'!$E$17+1,1))-AVERAGE(OFFSET($H$3,0,0,'Données projet'!$E$17+1,1))</f>
        <v>142.93037460866543</v>
      </c>
      <c r="GF49" s="62">
        <f t="shared" si="50"/>
        <v>146.18554498808049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3.8</v>
      </c>
      <c r="GU49" s="13">
        <f>IF('Données projet'!$A$270&gt;35,GU48+GT49-HC48,IF(A49&lt;'Données projet'!$A$270,$GR$205^A49,IF(A49='Données projet'!$A$270,'Données projet'!$B$270,GU48+GT49-HC48)))</f>
        <v>88.8</v>
      </c>
      <c r="GV49" s="18">
        <f>GU49*VLOOKUP('Données projet'!$B$18,Paramètres!$A$1:$I$89,3,0)*VLOOKUP('Données projet'!$B$18,Paramètres!$A$1:$I$89,5,0)</f>
        <v>76.190400000000011</v>
      </c>
      <c r="GW49" s="14">
        <f t="shared" si="51"/>
        <v>21.203088642228987</v>
      </c>
      <c r="GX49" s="22">
        <f t="shared" si="28"/>
        <v>169.62699271854885</v>
      </c>
      <c r="GY49" s="62">
        <f t="shared" si="29"/>
        <v>462.96032605188213</v>
      </c>
      <c r="GZ49" s="62">
        <f ca="1">AVERAGE(OFFSET($GY$3,0,0,'Données projet'!$E$18+1,1))-AVERAGE(OFFSET($H$3,0,0,'Données projet'!$E$18+1,1))</f>
        <v>188.08607733149256</v>
      </c>
      <c r="HA49" s="62">
        <f t="shared" si="52"/>
        <v>119.95698016603842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14.052999999999994</v>
      </c>
      <c r="D50" s="12">
        <f t="shared" si="32"/>
        <v>4.7612479002879029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145.2327908092399</v>
      </c>
      <c r="H50" s="70">
        <f t="shared" si="1"/>
        <v>289.43481509300142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3.8</v>
      </c>
      <c r="N50" s="14">
        <f>IF('Données projet'!$A$36&gt;35,N49+M50-V49,IF(A50&lt;'Données projet'!$A$36,$K$205^A50,IF(A50='Données projet'!$A$36,'Données projet'!$B$36,N49+M50-V49)))</f>
        <v>92.6</v>
      </c>
      <c r="O50" s="14">
        <f>N50*VLOOKUP('Données projet'!$B$9,Paramètres!$A$1:$I$89,3,0)*VLOOKUP('Données projet'!$B$9,Paramètres!$A$1:$I$89,5,0)</f>
        <v>99.674639999999997</v>
      </c>
      <c r="P50" s="14">
        <f t="shared" si="33"/>
        <v>26.884470319417503</v>
      </c>
      <c r="Q50" s="22">
        <f t="shared" si="53"/>
        <v>220.42378380631877</v>
      </c>
      <c r="R50" s="62">
        <f t="shared" si="0"/>
        <v>513.75711713965211</v>
      </c>
      <c r="S50" s="62">
        <f ca="1">AVERAGE(OFFSET($R$3,0,0,'Données projet'!$E$9+1,1))-AVERAGE(OFFSET($H$3,0,0,'Données projet'!$E$9+1,1))</f>
        <v>236.98575892380046</v>
      </c>
      <c r="T50" s="62">
        <f t="shared" si="34"/>
        <v>145.77678223659774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6.4759615384615365</v>
      </c>
      <c r="AI50" s="14">
        <f>IF('Données projet'!$A$62&gt;35,AI49+AH50-AQ49,IF(A50&lt;'Données projet'!$A$62,$AF$205^A50,IF(A50='Données projet'!$A$62,'Données projet'!$B$62,AI49+AH50-AQ49)))</f>
        <v>158.05096153846154</v>
      </c>
      <c r="AJ50" s="14">
        <f>AI50*VLOOKUP('Données projet'!$B$10,Paramètres!$A$1:$I$89,3,0)*VLOOKUP('Données projet'!$B$10,Paramètres!$A$1:$I$89,5,0)</f>
        <v>92.459812500000012</v>
      </c>
      <c r="AK50" s="14">
        <f t="shared" si="35"/>
        <v>25.157538331922787</v>
      </c>
      <c r="AL50" s="22">
        <f t="shared" si="4"/>
        <v>204.85021936559886</v>
      </c>
      <c r="AM50" s="62">
        <f t="shared" si="5"/>
        <v>498.1835526989322</v>
      </c>
      <c r="AN50" s="62">
        <f ca="1">AVERAGE(OFFSET($AM$3,0,0,'Données projet'!$E$10+1,1))-AVERAGE(OFFSET($H$3,0,0,'Données projet'!$E$10+1,1))</f>
        <v>140.04898296125504</v>
      </c>
      <c r="AO50" s="62">
        <f t="shared" si="36"/>
        <v>129.5395511270716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11.615384615384608</v>
      </c>
      <c r="BD50" s="13">
        <f>IF('Données projet'!$A$88&gt;35,BD49+BC50-BL49,IF(A50&lt;'Données projet'!$A$88,$BA$205^A50,IF(A50='Données projet'!$A$88,'Données projet'!$B$88,BD49+BC50-BL49)))</f>
        <v>275.37692307692299</v>
      </c>
      <c r="BE50" s="14">
        <f>BD50*VLOOKUP('Données projet'!$B$11,Paramètres!$A$1:$I$89,3,0)*VLOOKUP('Données projet'!$B$11,Paramètres!$A$1:$I$89,5,0)</f>
        <v>128.87639999999996</v>
      </c>
      <c r="BF50" s="14">
        <f t="shared" si="37"/>
        <v>33.736597338654839</v>
      </c>
      <c r="BG50" s="22">
        <f t="shared" si="7"/>
        <v>283.21763703149043</v>
      </c>
      <c r="BH50" s="62">
        <f t="shared" si="8"/>
        <v>576.5509703648238</v>
      </c>
      <c r="BI50" s="62">
        <f ca="1">AVERAGE(OFFSET($BH$3,0,0,'Données projet'!$E$11+1,1))-AVERAGE(OFFSET($H$3,0,0,'Données projet'!$E$11+1,1))</f>
        <v>207.84100251878419</v>
      </c>
      <c r="BJ50" s="62">
        <f t="shared" si="38"/>
        <v>124.34917784241952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3.5</v>
      </c>
      <c r="BY50" s="13">
        <f>IF('Données projet'!$A$114&gt;35,BY49+BX50-CG49,IF(A50&lt;'Données projet'!$A$114,$BV$205^A50,IF(A50='Données projet'!$A$114,'Données projet'!$B$114,BY49+BX50-CG49)))</f>
        <v>198.70000000000002</v>
      </c>
      <c r="BZ50" s="14">
        <f>BY50*VLOOKUP('Données projet'!$B$12,Paramètres!$A$1:$I$89,3,0)*VLOOKUP('Données projet'!$B$12,Paramètres!$A$1:$I$89,5,0)</f>
        <v>103.32400000000003</v>
      </c>
      <c r="CA50" s="14">
        <f t="shared" si="39"/>
        <v>27.752381356208407</v>
      </c>
      <c r="CB50" s="22">
        <f t="shared" si="10"/>
        <v>228.29136419539634</v>
      </c>
      <c r="CC50" s="62">
        <f t="shared" si="11"/>
        <v>521.62469752872971</v>
      </c>
      <c r="CD50" s="62">
        <f ca="1">AVERAGE(OFFSET($CC$3,0,0,'Données projet'!$E$12+1,1))-AVERAGE(OFFSET($H$3,0,0,'Données projet'!$E$12+1,1))</f>
        <v>211.05980622218578</v>
      </c>
      <c r="CE50" s="62">
        <f t="shared" si="40"/>
        <v>168.57746894604855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1.8720833333333331</v>
      </c>
      <c r="CT50" s="13">
        <f>IF('Données projet'!$A$140&gt;35,CT49+CS50-DB49,IF(A50&lt;'Données projet'!$A$140,$CQ$205^A50,IF(A50='Données projet'!$A$140,'Données projet'!$B$140,CT49+CS50-DB49)))</f>
        <v>68.771250000000023</v>
      </c>
      <c r="CU50" s="18">
        <f>CT50*VLOOKUP('Données projet'!$B$13,Paramètres!$A$1:$I$89,3,0)*VLOOKUP('Données projet'!$B$13,Paramètres!$A$1:$I$89,5,0)</f>
        <v>79.224480000000028</v>
      </c>
      <c r="CV50" s="14">
        <f t="shared" si="41"/>
        <v>21.947458087932979</v>
      </c>
      <c r="CW50" s="22">
        <f t="shared" si="13"/>
        <v>176.20779216981666</v>
      </c>
      <c r="CX50" s="62">
        <f t="shared" si="14"/>
        <v>469.54112550314994</v>
      </c>
      <c r="CY50" s="62">
        <f ca="1">AVERAGE(OFFSET($CX$3,0,0,'Données projet'!$E$13+1,1))-AVERAGE(OFFSET($H$3,0,0,'Données projet'!$E$13+1,1))</f>
        <v>191.79777926975839</v>
      </c>
      <c r="CZ50" s="62">
        <f t="shared" si="42"/>
        <v>156.66161375678712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0.4479999999999999</v>
      </c>
      <c r="DO50" s="13">
        <f>IF('Données projet'!$A$166&gt;35,DO49+DN50-DW49,IF(A50&lt;'Données projet'!$A$166,$DL$205^A50,IF(A50='Données projet'!$A$166,'Données projet'!$B$166,DO49+DN50-DW49)))</f>
        <v>107.14599999999993</v>
      </c>
      <c r="DP50" s="18">
        <f>DO50*VLOOKUP('Données projet'!$B$14,Paramètres!$A$1:$I$89,3,0)*VLOOKUP('Données projet'!$B$14,Paramètres!$A$1:$I$89,5,0)</f>
        <v>117.00343199999992</v>
      </c>
      <c r="DQ50" s="14">
        <f t="shared" si="43"/>
        <v>30.975073715175991</v>
      </c>
      <c r="DR50" s="22">
        <f t="shared" si="16"/>
        <v>257.72923078726473</v>
      </c>
      <c r="DS50" s="62">
        <f t="shared" si="17"/>
        <v>551.06256412059804</v>
      </c>
      <c r="DT50" s="62">
        <f ca="1">AVERAGE(OFFSET($DS$3,0,0,'Données projet'!$E$14+1,1))-AVERAGE(OFFSET($H$3,0,0,'Données projet'!$E$14+1,1))</f>
        <v>541.0854688453461</v>
      </c>
      <c r="DU50" s="62">
        <f t="shared" si="44"/>
        <v>171.04847168584473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12.818181818181818</v>
      </c>
      <c r="EJ50" s="13">
        <f>IF('Données projet'!$A$192&gt;35,EJ49+EI50-ER49,IF(A50&lt;'Données projet'!$A$192,$EG$205^A50,IF(A50='Données projet'!$A$192,'Données projet'!$B$192,EJ49+EI50-ER49)))</f>
        <v>250.36363636363626</v>
      </c>
      <c r="EK50" s="18">
        <f>EJ50*VLOOKUP('Données projet'!$B$15,Paramètres!$A$1:$I$89,3,0)*VLOOKUP('Données projet'!$B$15,Paramètres!$A$1:$I$89,5,0)</f>
        <v>149.7174545454545</v>
      </c>
      <c r="EL50" s="14">
        <f t="shared" si="45"/>
        <v>38.514369108360931</v>
      </c>
      <c r="EM50" s="22">
        <f t="shared" si="19"/>
        <v>327.83709286372851</v>
      </c>
      <c r="EN50" s="62">
        <f t="shared" si="20"/>
        <v>621.17042619706183</v>
      </c>
      <c r="EO50" s="62">
        <f ca="1">AVERAGE(OFFSET($EN$3,0,0,'Données projet'!$E$15+1,1))-AVERAGE(OFFSET($H$3,0,0,'Données projet'!$E$15+1,1))</f>
        <v>244.01698421598974</v>
      </c>
      <c r="EP50" s="62">
        <f t="shared" si="46"/>
        <v>156.96653202915024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2.245021158776809</v>
      </c>
      <c r="EX50" s="23">
        <f>EXP(-LN(2)/2)*EX49+(1-EXP(-LN(2)/2))/(LN(2)/2)*ER50*EU50*VLOOKUP('Données projet'!$B$15,Paramètres!$A$1:$I$89,3,0)*0.475*44/12</f>
        <v>2.7506168378033619E-2</v>
      </c>
      <c r="EY50" s="24">
        <f t="shared" si="21"/>
        <v>2.2725273271548425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4.2</v>
      </c>
      <c r="FE50" s="13">
        <f>IF('Données projet'!$A$218&gt;35,FE49+FD50-FM49,IF(A50&lt;'Données projet'!$A$218,$FB$205^A50,IF(A50='Données projet'!$A$218,'Données projet'!$B$218,FE49+FD50-FM49)))</f>
        <v>128.39999999999998</v>
      </c>
      <c r="FF50" s="18">
        <f>FE50*VLOOKUP('Données projet'!$B$16,Paramètres!$A$1:$I$89,3,0)*VLOOKUP('Données projet'!$B$16,Paramètres!$A$1:$I$89,5,0)</f>
        <v>112.17023999999999</v>
      </c>
      <c r="FG50" s="14">
        <f t="shared" si="47"/>
        <v>29.841727178418456</v>
      </c>
      <c r="FH50" s="22">
        <f t="shared" si="22"/>
        <v>247.3375095024121</v>
      </c>
      <c r="FI50" s="62">
        <f t="shared" si="23"/>
        <v>540.67084283574536</v>
      </c>
      <c r="FJ50" s="62">
        <f ca="1">AVERAGE(OFFSET($FI$3,0,0,'Données projet'!$E$16+1,1))-AVERAGE(OFFSET($H$3,0,0,'Données projet'!$E$16+1,1))</f>
        <v>175.08726167127026</v>
      </c>
      <c r="FK50" s="62">
        <f t="shared" si="48"/>
        <v>196.05343924817117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4.2</v>
      </c>
      <c r="FZ50" s="13">
        <f>IF('Données projet'!$A$244&gt;35,FZ49+FY50-GH49,IF(A50&lt;'Données projet'!$A$244,$FW$205^A50,IF(A50='Données projet'!$A$244,'Données projet'!$B$244,FZ49+FY50-GH49)))</f>
        <v>111.39999999999999</v>
      </c>
      <c r="GA50" s="18">
        <f>FZ50*VLOOKUP('Données projet'!$B$17,Paramètres!$A$1:$I$89,3,0)*VLOOKUP('Données projet'!$B$17,Paramètres!$A$1:$I$89,5,0)</f>
        <v>72.989279999999994</v>
      </c>
      <c r="GB50" s="14">
        <f t="shared" si="49"/>
        <v>20.413984824940087</v>
      </c>
      <c r="GC50" s="22">
        <f t="shared" si="25"/>
        <v>162.67735290343731</v>
      </c>
      <c r="GD50" s="62">
        <f t="shared" si="26"/>
        <v>456.01068623677065</v>
      </c>
      <c r="GE50" s="62">
        <f ca="1">AVERAGE(OFFSET($GD$3,0,0,'Données projet'!$E$17+1,1))-AVERAGE(OFFSET($H$3,0,0,'Données projet'!$E$17+1,1))</f>
        <v>142.93037460866543</v>
      </c>
      <c r="GF50" s="62">
        <f t="shared" si="50"/>
        <v>146.18554498808049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3.8</v>
      </c>
      <c r="GU50" s="13">
        <f>IF('Données projet'!$A$270&gt;35,GU49+GT50-HC49,IF(A50&lt;'Données projet'!$A$270,$GR$205^A50,IF(A50='Données projet'!$A$270,'Données projet'!$B$270,GU49+GT50-HC49)))</f>
        <v>92.6</v>
      </c>
      <c r="GV50" s="18">
        <f>GU50*VLOOKUP('Données projet'!$B$18,Paramètres!$A$1:$I$89,3,0)*VLOOKUP('Données projet'!$B$18,Paramètres!$A$1:$I$89,5,0)</f>
        <v>79.450800000000001</v>
      </c>
      <c r="GW50" s="14">
        <f t="shared" si="51"/>
        <v>22.002848084436344</v>
      </c>
      <c r="GX50" s="22">
        <f t="shared" si="28"/>
        <v>176.69843708039329</v>
      </c>
      <c r="GY50" s="62">
        <f t="shared" si="29"/>
        <v>470.03177041372658</v>
      </c>
      <c r="GZ50" s="62">
        <f ca="1">AVERAGE(OFFSET($GY$3,0,0,'Données projet'!$E$18+1,1))-AVERAGE(OFFSET($H$3,0,0,'Données projet'!$E$18+1,1))</f>
        <v>188.08607733149256</v>
      </c>
      <c r="HA50" s="62">
        <f t="shared" si="52"/>
        <v>119.95698016603842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14.351999999999993</v>
      </c>
      <c r="D51" s="12">
        <f t="shared" si="32"/>
        <v>4.8506493868275227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148.23097772287909</v>
      </c>
      <c r="H51" s="70">
        <f t="shared" si="1"/>
        <v>290.11128101539128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3.8</v>
      </c>
      <c r="N51" s="14">
        <f>IF('Données projet'!$A$36&gt;35,N50+M51-V50,IF(A51&lt;'Données projet'!$A$36,$K$205^A51,IF(A51='Données projet'!$A$36,'Données projet'!$B$36,N50+M51-V50)))</f>
        <v>96.399999999999991</v>
      </c>
      <c r="O51" s="14">
        <f>N51*VLOOKUP('Données projet'!$B$9,Paramètres!$A$1:$I$89,3,0)*VLOOKUP('Données projet'!$B$9,Paramètres!$A$1:$I$89,5,0)</f>
        <v>103.76495999999999</v>
      </c>
      <c r="P51" s="14">
        <f t="shared" si="33"/>
        <v>27.857008949003003</v>
      </c>
      <c r="Q51" s="22">
        <f t="shared" si="53"/>
        <v>229.24159591951351</v>
      </c>
      <c r="R51" s="62">
        <f t="shared" si="0"/>
        <v>522.5749292528468</v>
      </c>
      <c r="S51" s="62">
        <f ca="1">AVERAGE(OFFSET($R$3,0,0,'Données projet'!$E$9+1,1))-AVERAGE(OFFSET($H$3,0,0,'Données projet'!$E$9+1,1))</f>
        <v>236.98575892380046</v>
      </c>
      <c r="T51" s="62">
        <f t="shared" si="34"/>
        <v>145.77678223659774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6.4759615384615365</v>
      </c>
      <c r="AI51" s="14">
        <f>IF('Données projet'!$A$62&gt;35,AI50+AH51-AQ50,IF(A51&lt;'Données projet'!$A$62,$AF$205^A51,IF(A51='Données projet'!$A$62,'Données projet'!$B$62,AI50+AH51-AQ50)))</f>
        <v>164.52692307692308</v>
      </c>
      <c r="AJ51" s="14">
        <f>AI51*VLOOKUP('Données projet'!$B$10,Paramètres!$A$1:$I$89,3,0)*VLOOKUP('Données projet'!$B$10,Paramètres!$A$1:$I$89,5,0)</f>
        <v>96.248250000000013</v>
      </c>
      <c r="AK51" s="14">
        <f t="shared" si="35"/>
        <v>26.066215409845562</v>
      </c>
      <c r="AL51" s="22">
        <f t="shared" si="4"/>
        <v>213.03102725548104</v>
      </c>
      <c r="AM51" s="62">
        <f t="shared" si="5"/>
        <v>506.36436058881435</v>
      </c>
      <c r="AN51" s="62">
        <f ca="1">AVERAGE(OFFSET($AM$3,0,0,'Données projet'!$E$10+1,1))-AVERAGE(OFFSET($H$3,0,0,'Données projet'!$E$10+1,1))</f>
        <v>140.04898296125504</v>
      </c>
      <c r="AO51" s="62">
        <f t="shared" si="36"/>
        <v>129.5395511270716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11.615384615384608</v>
      </c>
      <c r="BD51" s="13">
        <f>IF('Données projet'!$A$88&gt;35,BD50+BC51-BL50,IF(A51&lt;'Données projet'!$A$88,$BA$205^A51,IF(A51='Données projet'!$A$88,'Données projet'!$B$88,BD50+BC51-BL50)))</f>
        <v>286.99230769230758</v>
      </c>
      <c r="BE51" s="14">
        <f>BD51*VLOOKUP('Données projet'!$B$11,Paramètres!$A$1:$I$89,3,0)*VLOOKUP('Données projet'!$B$11,Paramètres!$A$1:$I$89,5,0)</f>
        <v>134.31239999999994</v>
      </c>
      <c r="BF51" s="14">
        <f t="shared" si="37"/>
        <v>34.990927885997522</v>
      </c>
      <c r="BG51" s="22">
        <f t="shared" si="7"/>
        <v>294.86996273477894</v>
      </c>
      <c r="BH51" s="62">
        <f t="shared" si="8"/>
        <v>588.20329606811219</v>
      </c>
      <c r="BI51" s="62">
        <f ca="1">AVERAGE(OFFSET($BH$3,0,0,'Données projet'!$E$11+1,1))-AVERAGE(OFFSET($H$3,0,0,'Données projet'!$E$11+1,1))</f>
        <v>207.84100251878419</v>
      </c>
      <c r="BJ51" s="62">
        <f t="shared" si="38"/>
        <v>124.34917784241952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3.5</v>
      </c>
      <c r="BY51" s="13">
        <f>IF('Données projet'!$A$114&gt;35,BY50+BX51-CG50,IF(A51&lt;'Données projet'!$A$114,$BV$205^A51,IF(A51='Données projet'!$A$114,'Données projet'!$B$114,BY50+BX51-CG50)))</f>
        <v>202.20000000000002</v>
      </c>
      <c r="BZ51" s="14">
        <f>BY51*VLOOKUP('Données projet'!$B$12,Paramètres!$A$1:$I$89,3,0)*VLOOKUP('Données projet'!$B$12,Paramètres!$A$1:$I$89,5,0)</f>
        <v>105.14400000000002</v>
      </c>
      <c r="CA51" s="14">
        <f t="shared" si="39"/>
        <v>28.183884120602002</v>
      </c>
      <c r="CB51" s="22">
        <f t="shared" si="10"/>
        <v>232.21273151004849</v>
      </c>
      <c r="CC51" s="62">
        <f t="shared" si="11"/>
        <v>525.54606484338183</v>
      </c>
      <c r="CD51" s="62">
        <f ca="1">AVERAGE(OFFSET($CC$3,0,0,'Données projet'!$E$12+1,1))-AVERAGE(OFFSET($H$3,0,0,'Données projet'!$E$12+1,1))</f>
        <v>211.05980622218578</v>
      </c>
      <c r="CE51" s="62">
        <f t="shared" si="40"/>
        <v>168.57746894604855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1.8720833333333331</v>
      </c>
      <c r="CT51" s="13">
        <f>IF('Données projet'!$A$140&gt;35,CT50+CS51-DB50,IF(A51&lt;'Données projet'!$A$140,$CQ$205^A51,IF(A51='Données projet'!$A$140,'Données projet'!$B$140,CT50+CS51-DB50)))</f>
        <v>70.643333333333359</v>
      </c>
      <c r="CU51" s="18">
        <f>CT51*VLOOKUP('Données projet'!$B$13,Paramètres!$A$1:$I$89,3,0)*VLOOKUP('Données projet'!$B$13,Paramètres!$A$1:$I$89,5,0)</f>
        <v>81.381120000000024</v>
      </c>
      <c r="CV51" s="14">
        <f t="shared" si="41"/>
        <v>22.474538008777976</v>
      </c>
      <c r="CW51" s="22">
        <f t="shared" si="13"/>
        <v>180.88193769862167</v>
      </c>
      <c r="CX51" s="62">
        <f t="shared" si="14"/>
        <v>474.21527103195501</v>
      </c>
      <c r="CY51" s="62">
        <f ca="1">AVERAGE(OFFSET($CX$3,0,0,'Données projet'!$E$13+1,1))-AVERAGE(OFFSET($H$3,0,0,'Données projet'!$E$13+1,1))</f>
        <v>191.79777926975839</v>
      </c>
      <c r="CZ51" s="62">
        <f t="shared" si="42"/>
        <v>156.66161375678712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0.4479999999999999</v>
      </c>
      <c r="DO51" s="13">
        <f>IF('Données projet'!$A$166&gt;35,DO50+DN51-DW50,IF(A51&lt;'Données projet'!$A$166,$DL$205^A51,IF(A51='Données projet'!$A$166,'Données projet'!$B$166,DO50+DN51-DW50)))</f>
        <v>107.59399999999992</v>
      </c>
      <c r="DP51" s="18">
        <f>DO51*VLOOKUP('Données projet'!$B$14,Paramètres!$A$1:$I$89,3,0)*VLOOKUP('Données projet'!$B$14,Paramètres!$A$1:$I$89,5,0)</f>
        <v>117.4926479999999</v>
      </c>
      <c r="DQ51" s="14">
        <f t="shared" si="43"/>
        <v>31.089483870321597</v>
      </c>
      <c r="DR51" s="22">
        <f t="shared" si="16"/>
        <v>258.78054634080991</v>
      </c>
      <c r="DS51" s="62">
        <f t="shared" si="17"/>
        <v>552.11387967414316</v>
      </c>
      <c r="DT51" s="62">
        <f ca="1">AVERAGE(OFFSET($DS$3,0,0,'Données projet'!$E$14+1,1))-AVERAGE(OFFSET($H$3,0,0,'Données projet'!$E$14+1,1))</f>
        <v>541.0854688453461</v>
      </c>
      <c r="DU51" s="62">
        <f t="shared" si="44"/>
        <v>171.04847168584473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12.818181818181818</v>
      </c>
      <c r="EJ51" s="13">
        <f>IF('Données projet'!$A$192&gt;35,EJ50+EI51-ER50,IF(A51&lt;'Données projet'!$A$192,$EG$205^A51,IF(A51='Données projet'!$A$192,'Données projet'!$B$192,EJ50+EI51-ER50)))</f>
        <v>263.18181818181807</v>
      </c>
      <c r="EK51" s="18">
        <f>EJ51*VLOOKUP('Données projet'!$B$15,Paramètres!$A$1:$I$89,3,0)*VLOOKUP('Données projet'!$B$15,Paramètres!$A$1:$I$89,5,0)</f>
        <v>157.38272727272721</v>
      </c>
      <c r="EL51" s="14">
        <f t="shared" si="45"/>
        <v>40.251616769645032</v>
      </c>
      <c r="EM51" s="22">
        <f t="shared" si="19"/>
        <v>344.21314920713166</v>
      </c>
      <c r="EN51" s="62">
        <f t="shared" si="20"/>
        <v>637.54648254046492</v>
      </c>
      <c r="EO51" s="62">
        <f ca="1">AVERAGE(OFFSET($EN$3,0,0,'Données projet'!$E$15+1,1))-AVERAGE(OFFSET($H$3,0,0,'Données projet'!$E$15+1,1))</f>
        <v>244.01698421598974</v>
      </c>
      <c r="EP51" s="62">
        <f t="shared" si="46"/>
        <v>156.96653202915024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2.1836309371295255</v>
      </c>
      <c r="EX51" s="23">
        <f>EXP(-LN(2)/2)*EX50+(1-EXP(-LN(2)/2))/(LN(2)/2)*ER51*EU51*VLOOKUP('Données projet'!$B$15,Paramètres!$A$1:$I$89,3,0)*0.475*44/12</f>
        <v>1.9449798184566554E-2</v>
      </c>
      <c r="EY51" s="24">
        <f t="shared" si="21"/>
        <v>2.2030807353140922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4.2</v>
      </c>
      <c r="FE51" s="13">
        <f>IF('Données projet'!$A$218&gt;35,FE50+FD51-FM50,IF(A51&lt;'Données projet'!$A$218,$FB$205^A51,IF(A51='Données projet'!$A$218,'Données projet'!$B$218,FE50+FD51-FM50)))</f>
        <v>132.59999999999997</v>
      </c>
      <c r="FF51" s="18">
        <f>FE51*VLOOKUP('Données projet'!$B$16,Paramètres!$A$1:$I$89,3,0)*VLOOKUP('Données projet'!$B$16,Paramètres!$A$1:$I$89,5,0)</f>
        <v>115.83935999999999</v>
      </c>
      <c r="FG51" s="14">
        <f t="shared" si="47"/>
        <v>30.70261441799703</v>
      </c>
      <c r="FH51" s="22">
        <f t="shared" si="22"/>
        <v>255.22727211134475</v>
      </c>
      <c r="FI51" s="62">
        <f t="shared" si="23"/>
        <v>548.560605444678</v>
      </c>
      <c r="FJ51" s="62">
        <f ca="1">AVERAGE(OFFSET($FI$3,0,0,'Données projet'!$E$16+1,1))-AVERAGE(OFFSET($H$3,0,0,'Données projet'!$E$16+1,1))</f>
        <v>175.08726167127026</v>
      </c>
      <c r="FK51" s="62">
        <f t="shared" si="48"/>
        <v>196.05343924817117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4.2</v>
      </c>
      <c r="FZ51" s="13">
        <f>IF('Données projet'!$A$244&gt;35,FZ50+FY51-GH50,IF(A51&lt;'Données projet'!$A$244,$FW$205^A51,IF(A51='Données projet'!$A$244,'Données projet'!$B$244,FZ50+FY51-GH50)))</f>
        <v>115.6</v>
      </c>
      <c r="GA51" s="18">
        <f>FZ51*VLOOKUP('Données projet'!$B$17,Paramètres!$A$1:$I$89,3,0)*VLOOKUP('Données projet'!$B$17,Paramètres!$A$1:$I$89,5,0)</f>
        <v>75.741119999999995</v>
      </c>
      <c r="GB51" s="14">
        <f t="shared" si="49"/>
        <v>21.092573695577645</v>
      </c>
      <c r="GC51" s="22">
        <f t="shared" si="25"/>
        <v>168.65201651979771</v>
      </c>
      <c r="GD51" s="62">
        <f t="shared" si="26"/>
        <v>461.98534985313103</v>
      </c>
      <c r="GE51" s="62">
        <f ca="1">AVERAGE(OFFSET($GD$3,0,0,'Données projet'!$E$17+1,1))-AVERAGE(OFFSET($H$3,0,0,'Données projet'!$E$17+1,1))</f>
        <v>142.93037460866543</v>
      </c>
      <c r="GF51" s="62">
        <f t="shared" si="50"/>
        <v>146.18554498808049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3.8</v>
      </c>
      <c r="GU51" s="13">
        <f>IF('Données projet'!$A$270&gt;35,GU50+GT51-HC50,IF(A51&lt;'Données projet'!$A$270,$GR$205^A51,IF(A51='Données projet'!$A$270,'Données projet'!$B$270,GU50+GT51-HC50)))</f>
        <v>96.399999999999991</v>
      </c>
      <c r="GV51" s="18">
        <f>GU51*VLOOKUP('Données projet'!$B$18,Paramètres!$A$1:$I$89,3,0)*VLOOKUP('Données projet'!$B$18,Paramètres!$A$1:$I$89,5,0)</f>
        <v>82.711200000000005</v>
      </c>
      <c r="GW51" s="14">
        <f t="shared" si="51"/>
        <v>22.798795316008206</v>
      </c>
      <c r="GX51" s="22">
        <f t="shared" si="28"/>
        <v>183.76324184204762</v>
      </c>
      <c r="GY51" s="62">
        <f t="shared" si="29"/>
        <v>477.09657517538096</v>
      </c>
      <c r="GZ51" s="62">
        <f ca="1">AVERAGE(OFFSET($GY$3,0,0,'Données projet'!$E$18+1,1))-AVERAGE(OFFSET($H$3,0,0,'Données projet'!$E$18+1,1))</f>
        <v>188.08607733149256</v>
      </c>
      <c r="HA51" s="62">
        <f t="shared" si="52"/>
        <v>119.95698016603842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14.650999999999993</v>
      </c>
      <c r="D52" s="12">
        <f t="shared" si="32"/>
        <v>4.9398343208599158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151.22749300312913</v>
      </c>
      <c r="H52" s="70">
        <f t="shared" si="1"/>
        <v>290.78736977549772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3.8</v>
      </c>
      <c r="N52" s="14">
        <f>IF('Données projet'!$A$36&gt;35,N51+M52-V51,IF(A52&lt;'Données projet'!$A$36,$K$205^A52,IF(A52='Données projet'!$A$36,'Données projet'!$B$36,N51+M52-V51)))</f>
        <v>100.19999999999999</v>
      </c>
      <c r="O52" s="14">
        <f>N52*VLOOKUP('Données projet'!$B$9,Paramètres!$A$1:$I$89,3,0)*VLOOKUP('Données projet'!$B$9,Paramètres!$A$1:$I$89,5,0)</f>
        <v>107.85527999999999</v>
      </c>
      <c r="P52" s="14">
        <f t="shared" si="33"/>
        <v>28.825094203896473</v>
      </c>
      <c r="Q52" s="22">
        <f t="shared" si="53"/>
        <v>238.05165173845296</v>
      </c>
      <c r="R52" s="62">
        <f t="shared" si="0"/>
        <v>531.38498507178633</v>
      </c>
      <c r="S52" s="62">
        <f ca="1">AVERAGE(OFFSET($R$3,0,0,'Données projet'!$E$9+1,1))-AVERAGE(OFFSET($H$3,0,0,'Données projet'!$E$9+1,1))</f>
        <v>236.98575892380046</v>
      </c>
      <c r="T52" s="62">
        <f t="shared" si="34"/>
        <v>145.77678223659774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6.4759615384615365</v>
      </c>
      <c r="AI52" s="14">
        <f>IF('Données projet'!$A$62&gt;35,AI51+AH52-AQ51,IF(A52&lt;'Données projet'!$A$62,$AF$205^A52,IF(A52='Données projet'!$A$62,'Données projet'!$B$62,AI51+AH52-AQ51)))</f>
        <v>171.00288461538463</v>
      </c>
      <c r="AJ52" s="14">
        <f>AI52*VLOOKUP('Données projet'!$B$10,Paramètres!$A$1:$I$89,3,0)*VLOOKUP('Données projet'!$B$10,Paramètres!$A$1:$I$89,5,0)</f>
        <v>100.03668750000001</v>
      </c>
      <c r="AK52" s="14">
        <f t="shared" si="35"/>
        <v>26.970737652719411</v>
      </c>
      <c r="AL52" s="22">
        <f t="shared" si="4"/>
        <v>221.20459880765301</v>
      </c>
      <c r="AM52" s="62">
        <f t="shared" si="5"/>
        <v>514.5379321409863</v>
      </c>
      <c r="AN52" s="62">
        <f ca="1">AVERAGE(OFFSET($AM$3,0,0,'Données projet'!$E$10+1,1))-AVERAGE(OFFSET($H$3,0,0,'Données projet'!$E$10+1,1))</f>
        <v>140.04898296125504</v>
      </c>
      <c r="AO52" s="62">
        <f t="shared" si="36"/>
        <v>129.5395511270716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11.615384615384608</v>
      </c>
      <c r="BD52" s="13">
        <f>IF('Données projet'!$A$88&gt;35,BD51+BC52-BL51,IF(A52&lt;'Données projet'!$A$88,$BA$205^A52,IF(A52='Données projet'!$A$88,'Données projet'!$B$88,BD51+BC52-BL51)))</f>
        <v>298.60769230769216</v>
      </c>
      <c r="BE52" s="14">
        <f>BD52*VLOOKUP('Données projet'!$B$11,Paramètres!$A$1:$I$89,3,0)*VLOOKUP('Données projet'!$B$11,Paramètres!$A$1:$I$89,5,0)</f>
        <v>139.74839999999992</v>
      </c>
      <c r="BF52" s="14">
        <f t="shared" si="37"/>
        <v>36.239361435480362</v>
      </c>
      <c r="BG52" s="22">
        <f t="shared" si="7"/>
        <v>306.51201783346147</v>
      </c>
      <c r="BH52" s="62">
        <f t="shared" si="8"/>
        <v>599.84535116679479</v>
      </c>
      <c r="BI52" s="62">
        <f ca="1">AVERAGE(OFFSET($BH$3,0,0,'Données projet'!$E$11+1,1))-AVERAGE(OFFSET($H$3,0,0,'Données projet'!$E$11+1,1))</f>
        <v>207.84100251878419</v>
      </c>
      <c r="BJ52" s="62">
        <f t="shared" si="38"/>
        <v>124.34917784241952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3.5</v>
      </c>
      <c r="BY52" s="13">
        <f>IF('Données projet'!$A$114&gt;35,BY51+BX52-CG51,IF(A52&lt;'Données projet'!$A$114,$BV$205^A52,IF(A52='Données projet'!$A$114,'Données projet'!$B$114,BY51+BX52-CG51)))</f>
        <v>205.70000000000002</v>
      </c>
      <c r="BZ52" s="14">
        <f>BY52*VLOOKUP('Données projet'!$B$12,Paramètres!$A$1:$I$89,3,0)*VLOOKUP('Données projet'!$B$12,Paramètres!$A$1:$I$89,5,0)</f>
        <v>106.96400000000003</v>
      </c>
      <c r="CA52" s="14">
        <f t="shared" si="39"/>
        <v>28.614518306762253</v>
      </c>
      <c r="CB52" s="22">
        <f t="shared" si="10"/>
        <v>236.1325860509443</v>
      </c>
      <c r="CC52" s="62">
        <f t="shared" si="11"/>
        <v>529.46591938427764</v>
      </c>
      <c r="CD52" s="62">
        <f ca="1">AVERAGE(OFFSET($CC$3,0,0,'Données projet'!$E$12+1,1))-AVERAGE(OFFSET($H$3,0,0,'Données projet'!$E$12+1,1))</f>
        <v>211.05980622218578</v>
      </c>
      <c r="CE52" s="62">
        <f t="shared" si="40"/>
        <v>168.57746894604855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1.8720833333333331</v>
      </c>
      <c r="CT52" s="13">
        <f>IF('Données projet'!$A$140&gt;35,CT51+CS52-DB51,IF(A52&lt;'Données projet'!$A$140,$CQ$205^A52,IF(A52='Données projet'!$A$140,'Données projet'!$B$140,CT51+CS52-DB51)))</f>
        <v>72.515416666666695</v>
      </c>
      <c r="CU52" s="18">
        <f>CT52*VLOOKUP('Données projet'!$B$13,Paramètres!$A$1:$I$89,3,0)*VLOOKUP('Données projet'!$B$13,Paramètres!$A$1:$I$89,5,0)</f>
        <v>83.537760000000034</v>
      </c>
      <c r="CV52" s="14">
        <f t="shared" si="41"/>
        <v>22.999994372723616</v>
      </c>
      <c r="CW52" s="22">
        <f t="shared" si="13"/>
        <v>185.55325553249369</v>
      </c>
      <c r="CX52" s="62">
        <f t="shared" si="14"/>
        <v>478.88658886582698</v>
      </c>
      <c r="CY52" s="62">
        <f ca="1">AVERAGE(OFFSET($CX$3,0,0,'Données projet'!$E$13+1,1))-AVERAGE(OFFSET($H$3,0,0,'Données projet'!$E$13+1,1))</f>
        <v>191.79777926975839</v>
      </c>
      <c r="CZ52" s="62">
        <f t="shared" si="42"/>
        <v>156.66161375678712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0.4479999999999999</v>
      </c>
      <c r="DO52" s="13">
        <f>IF('Données projet'!$A$166&gt;35,DO51+DN52-DW51,IF(A52&lt;'Données projet'!$A$166,$DL$205^A52,IF(A52='Données projet'!$A$166,'Données projet'!$B$166,DO51+DN52-DW51)))</f>
        <v>108.04199999999992</v>
      </c>
      <c r="DP52" s="18">
        <f>DO52*VLOOKUP('Données projet'!$B$14,Paramètres!$A$1:$I$89,3,0)*VLOOKUP('Données projet'!$B$14,Paramètres!$A$1:$I$89,5,0)</f>
        <v>117.9818639999999</v>
      </c>
      <c r="DQ52" s="14">
        <f t="shared" si="43"/>
        <v>31.203838587971568</v>
      </c>
      <c r="DR52" s="22">
        <f t="shared" si="16"/>
        <v>259.83176534071691</v>
      </c>
      <c r="DS52" s="62">
        <f t="shared" si="17"/>
        <v>553.16509867405023</v>
      </c>
      <c r="DT52" s="62">
        <f ca="1">AVERAGE(OFFSET($DS$3,0,0,'Données projet'!$E$14+1,1))-AVERAGE(OFFSET($H$3,0,0,'Données projet'!$E$14+1,1))</f>
        <v>541.0854688453461</v>
      </c>
      <c r="DU52" s="62">
        <f t="shared" si="44"/>
        <v>171.04847168584473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>
        <f>VLOOKUP(A52,'Données projet'!$A$191:$I$211,2,0)</f>
        <v>276</v>
      </c>
      <c r="EH52" s="13">
        <f>VLOOKUP(A52,'Données projet'!$A$191:$I$211,9,0)</f>
        <v>12.818181818181818</v>
      </c>
      <c r="EI52" s="13">
        <f t="array" ref="EI52">INDEX(EH:EH,MIN(IF(ISNUMBER(EH52:EH248),ROW(EH52:EH248),"")))</f>
        <v>12.818181818181818</v>
      </c>
      <c r="EJ52" s="13">
        <f>IF('Données projet'!$A$192&gt;35,EJ51+EI52-ER51,IF(A52&lt;'Données projet'!$A$192,$EG$205^A52,IF(A52='Données projet'!$A$192,'Données projet'!$B$192,EJ51+EI52-ER51)))</f>
        <v>275.99999999999989</v>
      </c>
      <c r="EK52" s="18">
        <f>EJ52*VLOOKUP('Données projet'!$B$15,Paramètres!$A$1:$I$89,3,0)*VLOOKUP('Données projet'!$B$15,Paramètres!$A$1:$I$89,5,0)</f>
        <v>165.04799999999994</v>
      </c>
      <c r="EL52" s="14">
        <f t="shared" si="45"/>
        <v>41.979039350635581</v>
      </c>
      <c r="EM52" s="22">
        <f t="shared" si="19"/>
        <v>360.57209353569016</v>
      </c>
      <c r="EN52" s="62">
        <f t="shared" si="20"/>
        <v>653.90542686902347</v>
      </c>
      <c r="EO52" s="62">
        <f ca="1">AVERAGE(OFFSET($EN$3,0,0,'Données projet'!$E$15+1,1))-AVERAGE(OFFSET($H$3,0,0,'Données projet'!$E$15+1,1))</f>
        <v>244.01698421598974</v>
      </c>
      <c r="EP52" s="62">
        <f t="shared" si="46"/>
        <v>156.96653202915024</v>
      </c>
      <c r="EQ52" s="16">
        <f>IF(ISNA(VLOOKUP(A52,'Données projet'!$A$191:$I$211,3,0)),0,VLOOKUP(A52,'Données projet'!$A$191:$I$211,3,0))</f>
        <v>3</v>
      </c>
      <c r="ER52" s="16">
        <f>IF(ISNA(VLOOKUP(A52,'Données projet'!$A$191:$I$211,4,0)),0,VLOOKUP(A52,'Données projet'!$A$191:$I$211,4,0))</f>
        <v>94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2.1239194343215586</v>
      </c>
      <c r="EX52" s="23">
        <f>EXP(-LN(2)/2)*EX51+(1-EXP(-LN(2)/2))/(LN(2)/2)*ER52*EU52*VLOOKUP('Données projet'!$B$15,Paramètres!$A$1:$I$89,3,0)*0.475*44/12</f>
        <v>1.3753084189016813E-2</v>
      </c>
      <c r="EY52" s="24">
        <f t="shared" si="21"/>
        <v>2.1376725185105756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4.2</v>
      </c>
      <c r="FE52" s="13">
        <f>IF('Données projet'!$A$218&gt;35,FE51+FD52-FM51,IF(A52&lt;'Données projet'!$A$218,$FB$205^A52,IF(A52='Données projet'!$A$218,'Données projet'!$B$218,FE51+FD52-FM51)))</f>
        <v>136.79999999999995</v>
      </c>
      <c r="FF52" s="18">
        <f>FE52*VLOOKUP('Données projet'!$B$16,Paramètres!$A$1:$I$89,3,0)*VLOOKUP('Données projet'!$B$16,Paramètres!$A$1:$I$89,5,0)</f>
        <v>119.50847999999996</v>
      </c>
      <c r="FG52" s="14">
        <f t="shared" si="47"/>
        <v>31.560332955588962</v>
      </c>
      <c r="FH52" s="22">
        <f t="shared" si="22"/>
        <v>263.11151589765069</v>
      </c>
      <c r="FI52" s="62">
        <f t="shared" si="23"/>
        <v>556.444849230984</v>
      </c>
      <c r="FJ52" s="62">
        <f ca="1">AVERAGE(OFFSET($FI$3,0,0,'Données projet'!$E$16+1,1))-AVERAGE(OFFSET($H$3,0,0,'Données projet'!$E$16+1,1))</f>
        <v>175.08726167127026</v>
      </c>
      <c r="FK52" s="62">
        <f t="shared" si="48"/>
        <v>196.05343924817117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4.2</v>
      </c>
      <c r="FZ52" s="13">
        <f>IF('Données projet'!$A$244&gt;35,FZ51+FY52-GH51,IF(A52&lt;'Données projet'!$A$244,$FW$205^A52,IF(A52='Données projet'!$A$244,'Données projet'!$B$244,FZ51+FY52-GH51)))</f>
        <v>119.8</v>
      </c>
      <c r="GA52" s="18">
        <f>FZ52*VLOOKUP('Données projet'!$B$17,Paramètres!$A$1:$I$89,3,0)*VLOOKUP('Données projet'!$B$17,Paramètres!$A$1:$I$89,5,0)</f>
        <v>78.492959999999997</v>
      </c>
      <c r="GB52" s="14">
        <f t="shared" si="49"/>
        <v>21.768298163340617</v>
      </c>
      <c r="GC52" s="22">
        <f t="shared" si="25"/>
        <v>174.62169130115157</v>
      </c>
      <c r="GD52" s="62">
        <f t="shared" si="26"/>
        <v>467.95502463448486</v>
      </c>
      <c r="GE52" s="62">
        <f ca="1">AVERAGE(OFFSET($GD$3,0,0,'Données projet'!$E$17+1,1))-AVERAGE(OFFSET($H$3,0,0,'Données projet'!$E$17+1,1))</f>
        <v>142.93037460866543</v>
      </c>
      <c r="GF52" s="62">
        <f t="shared" si="50"/>
        <v>146.18554498808049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3.8</v>
      </c>
      <c r="GU52" s="13">
        <f>IF('Données projet'!$A$270&gt;35,GU51+GT52-HC51,IF(A52&lt;'Données projet'!$A$270,$GR$205^A52,IF(A52='Données projet'!$A$270,'Données projet'!$B$270,GU51+GT52-HC51)))</f>
        <v>100.19999999999999</v>
      </c>
      <c r="GV52" s="18">
        <f>GU52*VLOOKUP('Données projet'!$B$18,Paramètres!$A$1:$I$89,3,0)*VLOOKUP('Données projet'!$B$18,Paramètres!$A$1:$I$89,5,0)</f>
        <v>85.971599999999995</v>
      </c>
      <c r="GW52" s="14">
        <f t="shared" si="51"/>
        <v>23.591097806744607</v>
      </c>
      <c r="GX52" s="22">
        <f t="shared" si="28"/>
        <v>190.8216986800802</v>
      </c>
      <c r="GY52" s="62">
        <f t="shared" si="29"/>
        <v>484.15503201341352</v>
      </c>
      <c r="GZ52" s="62">
        <f ca="1">AVERAGE(OFFSET($GY$3,0,0,'Données projet'!$E$18+1,1))-AVERAGE(OFFSET($H$3,0,0,'Données projet'!$E$18+1,1))</f>
        <v>188.08607733149256</v>
      </c>
      <c r="HA52" s="62">
        <f t="shared" si="52"/>
        <v>119.95698016603842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14.949999999999992</v>
      </c>
      <c r="D53" s="12">
        <f t="shared" si="32"/>
        <v>5.0288076310817456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154.22237469606955</v>
      </c>
      <c r="H53" s="70">
        <f t="shared" si="1"/>
        <v>291.46308995746739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104</v>
      </c>
      <c r="L53" s="13">
        <f>VLOOKUP(A53,'Données projet'!$A$35:$I$55,9,0)</f>
        <v>3.8</v>
      </c>
      <c r="M53" s="13">
        <f t="array" ref="M53">INDEX(L:L,MIN(IF(ISNUMBER(L53:L249),ROW(L53:L249),"")))</f>
        <v>3.8</v>
      </c>
      <c r="N53" s="14">
        <f>IF('Données projet'!$A$36&gt;35,N52+M53-V52,IF(A53&lt;'Données projet'!$A$36,$K$205^A53,IF(A53='Données projet'!$A$36,'Données projet'!$B$36,N52+M53-V52)))</f>
        <v>103.99999999999999</v>
      </c>
      <c r="O53" s="14">
        <f>N53*VLOOKUP('Données projet'!$B$9,Paramètres!$A$1:$I$89,3,0)*VLOOKUP('Données projet'!$B$9,Paramètres!$A$1:$I$89,5,0)</f>
        <v>111.94559999999998</v>
      </c>
      <c r="P53" s="14">
        <f t="shared" si="33"/>
        <v>29.788914309703763</v>
      </c>
      <c r="Q53" s="22">
        <f t="shared" si="53"/>
        <v>246.85427908940071</v>
      </c>
      <c r="R53" s="62">
        <f t="shared" si="0"/>
        <v>540.18761242273399</v>
      </c>
      <c r="S53" s="62">
        <f ca="1">AVERAGE(OFFSET($R$3,0,0,'Données projet'!$E$9+1,1))-AVERAGE(OFFSET($H$3,0,0,'Données projet'!$E$9+1,1))</f>
        <v>236.98575892380046</v>
      </c>
      <c r="T53" s="62">
        <f t="shared" si="34"/>
        <v>145.77678223659774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18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6.4759615384615365</v>
      </c>
      <c r="AI53" s="14">
        <f>IF('Données projet'!$A$62&gt;35,AI52+AH53-AQ52,IF(A53&lt;'Données projet'!$A$62,$AF$205^A53,IF(A53='Données projet'!$A$62,'Données projet'!$B$62,AI52+AH53-AQ52)))</f>
        <v>177.47884615384618</v>
      </c>
      <c r="AJ53" s="14">
        <f>AI53*VLOOKUP('Données projet'!$B$10,Paramètres!$A$1:$I$89,3,0)*VLOOKUP('Données projet'!$B$10,Paramètres!$A$1:$I$89,5,0)</f>
        <v>103.82512500000003</v>
      </c>
      <c r="AK53" s="14">
        <f t="shared" si="35"/>
        <v>27.871280419904867</v>
      </c>
      <c r="AL53" s="22">
        <f t="shared" si="4"/>
        <v>229.37123943966768</v>
      </c>
      <c r="AM53" s="62">
        <f t="shared" si="5"/>
        <v>522.70457277300102</v>
      </c>
      <c r="AN53" s="62">
        <f ca="1">AVERAGE(OFFSET($AM$3,0,0,'Données projet'!$E$10+1,1))-AVERAGE(OFFSET($H$3,0,0,'Données projet'!$E$10+1,1))</f>
        <v>140.04898296125504</v>
      </c>
      <c r="AO53" s="62">
        <f t="shared" si="36"/>
        <v>129.5395511270716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11.615384615384608</v>
      </c>
      <c r="BD53" s="13">
        <f>IF('Données projet'!$A$88&gt;35,BD52+BC53-BL52,IF(A53&lt;'Données projet'!$A$88,$BA$205^A53,IF(A53='Données projet'!$A$88,'Données projet'!$B$88,BD52+BC53-BL52)))</f>
        <v>310.22307692307675</v>
      </c>
      <c r="BE53" s="14">
        <f>BD53*VLOOKUP('Données projet'!$B$11,Paramètres!$A$1:$I$89,3,0)*VLOOKUP('Données projet'!$B$11,Paramètres!$A$1:$I$89,5,0)</f>
        <v>145.18439999999993</v>
      </c>
      <c r="BF53" s="14">
        <f t="shared" si="37"/>
        <v>37.482153624096057</v>
      </c>
      <c r="BG53" s="22">
        <f t="shared" si="7"/>
        <v>318.14424756196712</v>
      </c>
      <c r="BH53" s="62">
        <f t="shared" si="8"/>
        <v>611.47758089530043</v>
      </c>
      <c r="BI53" s="62">
        <f ca="1">AVERAGE(OFFSET($BH$3,0,0,'Données projet'!$E$11+1,1))-AVERAGE(OFFSET($H$3,0,0,'Données projet'!$E$11+1,1))</f>
        <v>207.84100251878419</v>
      </c>
      <c r="BJ53" s="62">
        <f t="shared" si="38"/>
        <v>124.34917784241952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209.2</v>
      </c>
      <c r="BW53" s="13">
        <f>VLOOKUP(A53,'Données projet'!$A$113:$I$133,9,0)</f>
        <v>3.5</v>
      </c>
      <c r="BX53" s="13">
        <f t="array" ref="BX53">INDEX(BW:BW,MIN(IF(ISNUMBER(BW53:BW249),ROW(BW53:BW249),"")))</f>
        <v>3.5</v>
      </c>
      <c r="BY53" s="13">
        <f>IF('Données projet'!$A$114&gt;35,BY52+BX53-CG52,IF(A53&lt;'Données projet'!$A$114,$BV$205^A53,IF(A53='Données projet'!$A$114,'Données projet'!$B$114,BY52+BX53-CG52)))</f>
        <v>209.20000000000002</v>
      </c>
      <c r="BZ53" s="14">
        <f>BY53*VLOOKUP('Données projet'!$B$12,Paramètres!$A$1:$I$89,3,0)*VLOOKUP('Données projet'!$B$12,Paramètres!$A$1:$I$89,5,0)</f>
        <v>108.78400000000001</v>
      </c>
      <c r="CA53" s="14">
        <f t="shared" si="39"/>
        <v>29.044300399150487</v>
      </c>
      <c r="CB53" s="22">
        <f t="shared" si="10"/>
        <v>240.05095652852046</v>
      </c>
      <c r="CC53" s="62">
        <f t="shared" si="11"/>
        <v>533.38428986185374</v>
      </c>
      <c r="CD53" s="62">
        <f ca="1">AVERAGE(OFFSET($CC$3,0,0,'Données projet'!$E$12+1,1))-AVERAGE(OFFSET($H$3,0,0,'Données projet'!$E$12+1,1))</f>
        <v>211.05980622218578</v>
      </c>
      <c r="CE53" s="62">
        <f t="shared" si="40"/>
        <v>168.57746894604855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74.387500000000003</v>
      </c>
      <c r="CR53" s="13">
        <f>VLOOKUP(A53,'Données projet'!$A$139:$I$159,9,0)</f>
        <v>1.8720833333333331</v>
      </c>
      <c r="CS53" s="13">
        <f t="array" ref="CS53">INDEX(CR:CR,MIN(IF(ISNUMBER(CR53:CR249),ROW(CR53:CR249),"")))</f>
        <v>1.8720833333333331</v>
      </c>
      <c r="CT53" s="13">
        <f>IF('Données projet'!$A$140&gt;35,CT52+CS53-DB52,IF(A53&lt;'Données projet'!$A$140,$CQ$205^A53,IF(A53='Données projet'!$A$140,'Données projet'!$B$140,CT52+CS53-DB52)))</f>
        <v>74.387500000000031</v>
      </c>
      <c r="CU53" s="18">
        <f>CT53*VLOOKUP('Données projet'!$B$13,Paramètres!$A$1:$I$89,3,0)*VLOOKUP('Données projet'!$B$13,Paramètres!$A$1:$I$89,5,0)</f>
        <v>85.694400000000016</v>
      </c>
      <c r="CV53" s="14">
        <f t="shared" si="41"/>
        <v>23.523873913177109</v>
      </c>
      <c r="CW53" s="22">
        <f t="shared" si="13"/>
        <v>190.22182706545016</v>
      </c>
      <c r="CX53" s="62">
        <f t="shared" si="14"/>
        <v>483.55516039878347</v>
      </c>
      <c r="CY53" s="62">
        <f ca="1">AVERAGE(OFFSET($CX$3,0,0,'Données projet'!$E$13+1,1))-AVERAGE(OFFSET($H$3,0,0,'Données projet'!$E$13+1,1))</f>
        <v>191.79777926975839</v>
      </c>
      <c r="CZ53" s="62">
        <f t="shared" si="42"/>
        <v>156.66161375678712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7.7500000000000009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0.4479999999999999</v>
      </c>
      <c r="DO53" s="13">
        <f>IF('Données projet'!$A$166&gt;35,DO52+DN53-DW52,IF(A53&lt;'Données projet'!$A$166,$DL$205^A53,IF(A53='Données projet'!$A$166,'Données projet'!$B$166,DO52+DN53-DW52)))</f>
        <v>108.48999999999991</v>
      </c>
      <c r="DP53" s="18">
        <f>DO53*VLOOKUP('Données projet'!$B$14,Paramètres!$A$1:$I$89,3,0)*VLOOKUP('Données projet'!$B$14,Paramètres!$A$1:$I$89,5,0)</f>
        <v>118.47107999999989</v>
      </c>
      <c r="DQ53" s="14">
        <f t="shared" si="43"/>
        <v>31.318138124696215</v>
      </c>
      <c r="DR53" s="22">
        <f t="shared" si="16"/>
        <v>260.88288823384568</v>
      </c>
      <c r="DS53" s="62">
        <f t="shared" si="17"/>
        <v>554.21622156717899</v>
      </c>
      <c r="DT53" s="62">
        <f ca="1">AVERAGE(OFFSET($DS$3,0,0,'Données projet'!$E$14+1,1))-AVERAGE(OFFSET($H$3,0,0,'Données projet'!$E$14+1,1))</f>
        <v>541.0854688453461</v>
      </c>
      <c r="DU53" s="62">
        <f t="shared" si="44"/>
        <v>171.04847168584473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15.75</v>
      </c>
      <c r="EJ53" s="13">
        <f>IF('Données projet'!$A$192&gt;35,EJ52+EI53-ER52,IF(A53&lt;'Données projet'!$A$192,$EG$205^A53,IF(A53='Données projet'!$A$192,'Données projet'!$B$192,EJ52+EI53-ER52)))</f>
        <v>197.74999999999989</v>
      </c>
      <c r="EK53" s="18">
        <f>EJ53*VLOOKUP('Données projet'!$B$15,Paramètres!$A$1:$I$89,3,0)*VLOOKUP('Données projet'!$B$15,Paramètres!$A$1:$I$89,5,0)</f>
        <v>118.25449999999994</v>
      </c>
      <c r="EL53" s="14">
        <f t="shared" si="45"/>
        <v>31.267543558009152</v>
      </c>
      <c r="EM53" s="22">
        <f t="shared" si="19"/>
        <v>260.41755919686585</v>
      </c>
      <c r="EN53" s="62">
        <f t="shared" si="20"/>
        <v>553.75089253019917</v>
      </c>
      <c r="EO53" s="62">
        <f ca="1">AVERAGE(OFFSET($EN$3,0,0,'Données projet'!$E$15+1,1))-AVERAGE(OFFSET($H$3,0,0,'Données projet'!$E$15+1,1))</f>
        <v>244.01698421598974</v>
      </c>
      <c r="EP53" s="62">
        <f t="shared" si="46"/>
        <v>156.96653202915024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2.0658407456979666</v>
      </c>
      <c r="EX53" s="23">
        <f>EXP(-LN(2)/2)*EX52+(1-EXP(-LN(2)/2))/(LN(2)/2)*ER53*EU53*VLOOKUP('Données projet'!$B$15,Paramètres!$A$1:$I$89,3,0)*0.475*44/12</f>
        <v>9.7248990922832786E-3</v>
      </c>
      <c r="EY53" s="24">
        <f t="shared" si="21"/>
        <v>2.0755656447902497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141</v>
      </c>
      <c r="FC53" s="13">
        <f>VLOOKUP(A53,'Données projet'!$A$217:$I$237,9,0)</f>
        <v>4.2</v>
      </c>
      <c r="FD53" s="13">
        <f t="array" ref="FD53">INDEX(FC:FC,MIN(IF(ISNUMBER(FC53:FC249),ROW(FC53:FC249),"")))</f>
        <v>4.2</v>
      </c>
      <c r="FE53" s="13">
        <f>IF('Données projet'!$A$218&gt;35,FE52+FD53-FM52,IF(A53&lt;'Données projet'!$A$218,$FB$205^A53,IF(A53='Données projet'!$A$218,'Données projet'!$B$218,FE52+FD53-FM52)))</f>
        <v>140.99999999999994</v>
      </c>
      <c r="FF53" s="18">
        <f>FE53*VLOOKUP('Données projet'!$B$16,Paramètres!$A$1:$I$89,3,0)*VLOOKUP('Données projet'!$B$16,Paramètres!$A$1:$I$89,5,0)</f>
        <v>123.17759999999997</v>
      </c>
      <c r="FG53" s="14">
        <f t="shared" si="47"/>
        <v>32.414991240570416</v>
      </c>
      <c r="FH53" s="22">
        <f t="shared" si="22"/>
        <v>270.99042974399339</v>
      </c>
      <c r="FI53" s="62">
        <f t="shared" si="23"/>
        <v>564.3237630773267</v>
      </c>
      <c r="FJ53" s="62">
        <f ca="1">AVERAGE(OFFSET($FI$3,0,0,'Données projet'!$E$16+1,1))-AVERAGE(OFFSET($H$3,0,0,'Données projet'!$E$16+1,1))</f>
        <v>175.08726167127026</v>
      </c>
      <c r="FK53" s="62">
        <f t="shared" si="48"/>
        <v>196.05343924817117</v>
      </c>
      <c r="FL53" s="16">
        <f>IF(ISNA(VLOOKUP(A53,'Données projet'!$A$217:$I$237,3,0)),0,VLOOKUP(A53,'Données projet'!$A$217:$I$237,3,0))</f>
        <v>3</v>
      </c>
      <c r="FM53" s="16">
        <f>IF(ISNA(VLOOKUP(A53,'Données projet'!$A$217:$I$237,4,0)),0,VLOOKUP(A53,'Données projet'!$A$217:$I$237,4,0))</f>
        <v>25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124</v>
      </c>
      <c r="FX53" s="13">
        <f>VLOOKUP(A53,'Données projet'!$A$243:$I$263,9,0)</f>
        <v>4.2</v>
      </c>
      <c r="FY53" s="13">
        <f t="array" ref="FY53">INDEX(FX:FX,MIN(IF(ISNUMBER(FX53:FX249),ROW(FX53:FX249),"")))</f>
        <v>4.2</v>
      </c>
      <c r="FZ53" s="13">
        <f>IF('Données projet'!$A$244&gt;35,FZ52+FY53-GH52,IF(A53&lt;'Données projet'!$A$244,$FW$205^A53,IF(A53='Données projet'!$A$244,'Données projet'!$B$244,FZ52+FY53-GH52)))</f>
        <v>124</v>
      </c>
      <c r="GA53" s="18">
        <f>FZ53*VLOOKUP('Données projet'!$B$17,Paramètres!$A$1:$I$89,3,0)*VLOOKUP('Données projet'!$B$17,Paramètres!$A$1:$I$89,5,0)</f>
        <v>81.244799999999998</v>
      </c>
      <c r="GB53" s="14">
        <f t="shared" si="49"/>
        <v>22.441270156928962</v>
      </c>
      <c r="GC53" s="22">
        <f t="shared" si="25"/>
        <v>180.58657218998462</v>
      </c>
      <c r="GD53" s="62">
        <f t="shared" si="26"/>
        <v>473.91990552331794</v>
      </c>
      <c r="GE53" s="62">
        <f ca="1">AVERAGE(OFFSET($GD$3,0,0,'Données projet'!$E$17+1,1))-AVERAGE(OFFSET($H$3,0,0,'Données projet'!$E$17+1,1))</f>
        <v>142.93037460866543</v>
      </c>
      <c r="GF53" s="62">
        <f t="shared" si="50"/>
        <v>146.18554498808049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104</v>
      </c>
      <c r="GS53" s="13">
        <f>VLOOKUP(A53,'Données projet'!$A$269:$I$289,9,0)</f>
        <v>3.8</v>
      </c>
      <c r="GT53" s="13">
        <f t="array" ref="GT53">INDEX(GS:GS,MIN(IF(ISNUMBER(GS53:GS249),ROW(GS53:GS249),"")))</f>
        <v>3.8</v>
      </c>
      <c r="GU53" s="13">
        <f>IF('Données projet'!$A$270&gt;35,GU52+GT53-HC52,IF(A53&lt;'Données projet'!$A$270,$GR$205^A53,IF(A53='Données projet'!$A$270,'Données projet'!$B$270,GU52+GT53-HC52)))</f>
        <v>103.99999999999999</v>
      </c>
      <c r="GV53" s="18">
        <f>GU53*VLOOKUP('Données projet'!$B$18,Paramètres!$A$1:$I$89,3,0)*VLOOKUP('Données projet'!$B$18,Paramètres!$A$1:$I$89,5,0)</f>
        <v>89.231999999999999</v>
      </c>
      <c r="GW53" s="14">
        <f t="shared" si="51"/>
        <v>24.379909604665222</v>
      </c>
      <c r="GX53" s="22">
        <f t="shared" si="28"/>
        <v>197.8740758947919</v>
      </c>
      <c r="GY53" s="62">
        <f t="shared" si="29"/>
        <v>491.20740922812524</v>
      </c>
      <c r="GZ53" s="62">
        <f ca="1">AVERAGE(OFFSET($GY$3,0,0,'Données projet'!$E$18+1,1))-AVERAGE(OFFSET($H$3,0,0,'Données projet'!$E$18+1,1))</f>
        <v>188.08607733149256</v>
      </c>
      <c r="HA53" s="62">
        <f t="shared" si="52"/>
        <v>119.95698016603842</v>
      </c>
      <c r="HB53" s="16">
        <f>IF(ISNA(VLOOKUP(A53,'Données projet'!$A$269:$I$289,3,0)),0,VLOOKUP(A53,'Données projet'!$A$269:$I$289,3,0))</f>
        <v>3</v>
      </c>
      <c r="HC53" s="16">
        <f>IF(ISNA(VLOOKUP(A53,'Données projet'!$A$269:$I$289,4,0)),0,VLOOKUP(A53,'Données projet'!$A$269:$I$289,4,0))</f>
        <v>18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15.248999999999992</v>
      </c>
      <c r="D54" s="12">
        <f t="shared" si="32"/>
        <v>5.1175740377687724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157.2156592389168</v>
      </c>
      <c r="H54" s="70">
        <f t="shared" si="1"/>
        <v>292.13844978244731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4</v>
      </c>
      <c r="N54" s="14">
        <f>IF('Données projet'!$A$36&gt;35,N53+M54-V53,IF(A54&lt;'Données projet'!$A$36,$K$205^A54,IF(A54='Données projet'!$A$36,'Données projet'!$B$36,N53+M54-V53)))</f>
        <v>89.999999999999986</v>
      </c>
      <c r="O54" s="14">
        <f>N54*VLOOKUP('Données projet'!$B$9,Paramètres!$A$1:$I$89,3,0)*VLOOKUP('Données projet'!$B$9,Paramètres!$A$1:$I$89,5,0)</f>
        <v>96.875999999999976</v>
      </c>
      <c r="P54" s="14">
        <f t="shared" si="33"/>
        <v>26.216378459450219</v>
      </c>
      <c r="Q54" s="22">
        <f t="shared" si="53"/>
        <v>214.38589248354242</v>
      </c>
      <c r="R54" s="62">
        <f t="shared" si="0"/>
        <v>507.71922581687573</v>
      </c>
      <c r="S54" s="62">
        <f ca="1">AVERAGE(OFFSET($R$3,0,0,'Données projet'!$E$9+1,1))-AVERAGE(OFFSET($H$3,0,0,'Données projet'!$E$9+1,1))</f>
        <v>236.98575892380046</v>
      </c>
      <c r="T54" s="62">
        <f t="shared" si="34"/>
        <v>145.77678223659774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6.4759615384615365</v>
      </c>
      <c r="AI54" s="14">
        <f>IF('Données projet'!$A$62&gt;35,AI53+AH54-AQ53,IF(A54&lt;'Données projet'!$A$62,$AF$205^A54,IF(A54='Données projet'!$A$62,'Données projet'!$B$62,AI53+AH54-AQ53)))</f>
        <v>183.95480769230772</v>
      </c>
      <c r="AJ54" s="14">
        <f>AI54*VLOOKUP('Données projet'!$B$10,Paramètres!$A$1:$I$89,3,0)*VLOOKUP('Données projet'!$B$10,Paramètres!$A$1:$I$89,5,0)</f>
        <v>107.61356250000003</v>
      </c>
      <c r="AK54" s="14">
        <f t="shared" si="35"/>
        <v>28.768005548276541</v>
      </c>
      <c r="AL54" s="22">
        <f t="shared" si="4"/>
        <v>237.53123101741502</v>
      </c>
      <c r="AM54" s="62">
        <f t="shared" si="5"/>
        <v>530.86456435074831</v>
      </c>
      <c r="AN54" s="62">
        <f ca="1">AVERAGE(OFFSET($AM$3,0,0,'Données projet'!$E$10+1,1))-AVERAGE(OFFSET($H$3,0,0,'Données projet'!$E$10+1,1))</f>
        <v>140.04898296125504</v>
      </c>
      <c r="AO54" s="62">
        <f t="shared" si="36"/>
        <v>129.5395511270716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>
        <f>VLOOKUP(A54,'Données projet'!$A$87:$I$107,2,0)</f>
        <v>321.8384615384615</v>
      </c>
      <c r="BB54" s="13">
        <f>VLOOKUP(A54,'Données projet'!$A$87:$I$107,9,0)</f>
        <v>11.615384615384608</v>
      </c>
      <c r="BC54" s="13">
        <f t="array" ref="BC54">INDEX(BB:BB,MIN(IF(ISNUMBER(BB54:BB250),ROW(BB54:BB250),"")))</f>
        <v>11.615384615384608</v>
      </c>
      <c r="BD54" s="13">
        <f>IF('Données projet'!$A$88&gt;35,BD53+BC54-BL53,IF(A54&lt;'Données projet'!$A$88,$BA$205^A54,IF(A54='Données projet'!$A$88,'Données projet'!$B$88,BD53+BC54-BL53)))</f>
        <v>321.83846153846133</v>
      </c>
      <c r="BE54" s="14">
        <f>BD54*VLOOKUP('Données projet'!$B$11,Paramètres!$A$1:$I$89,3,0)*VLOOKUP('Données projet'!$B$11,Paramètres!$A$1:$I$89,5,0)</f>
        <v>150.6203999999999</v>
      </c>
      <c r="BF54" s="14">
        <f t="shared" si="37"/>
        <v>38.719539861211025</v>
      </c>
      <c r="BG54" s="22">
        <f t="shared" si="7"/>
        <v>329.76706192494237</v>
      </c>
      <c r="BH54" s="62">
        <f t="shared" si="8"/>
        <v>623.10039525827574</v>
      </c>
      <c r="BI54" s="62">
        <f ca="1">AVERAGE(OFFSET($BH$3,0,0,'Données projet'!$E$11+1,1))-AVERAGE(OFFSET($H$3,0,0,'Données projet'!$E$11+1,1))</f>
        <v>207.84100251878419</v>
      </c>
      <c r="BJ54" s="62">
        <f t="shared" si="38"/>
        <v>124.34917784241952</v>
      </c>
      <c r="BK54" s="16">
        <f>IF(ISNA(VLOOKUP(A54,'Données projet'!$A$87:$I$107,3,0)),0,VLOOKUP(A54,'Données projet'!$A$87:$I$107,3,0))</f>
        <v>1</v>
      </c>
      <c r="BL54" s="16">
        <f>IF(ISNA(VLOOKUP(A54,'Données projet'!$A$87:$I$107,4,0)),0,VLOOKUP(A54,'Données projet'!$A$87:$I$107,4,0))</f>
        <v>100.30769230769231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3.2600000000000025</v>
      </c>
      <c r="BY54" s="13">
        <f>IF('Données projet'!$A$114&gt;35,BY53+BX54-CG53,IF(A54&lt;'Données projet'!$A$114,$BV$205^A54,IF(A54='Données projet'!$A$114,'Données projet'!$B$114,BY53+BX54-CG53)))</f>
        <v>212.46</v>
      </c>
      <c r="BZ54" s="14">
        <f>BY54*VLOOKUP('Données projet'!$B$12,Paramètres!$A$1:$I$89,3,0)*VLOOKUP('Données projet'!$B$12,Paramètres!$A$1:$I$89,5,0)</f>
        <v>110.47920000000002</v>
      </c>
      <c r="CA54" s="14">
        <f t="shared" si="39"/>
        <v>29.443859250947572</v>
      </c>
      <c r="CB54" s="22">
        <f t="shared" si="10"/>
        <v>243.6993281954004</v>
      </c>
      <c r="CC54" s="62">
        <f t="shared" si="11"/>
        <v>537.03266152873368</v>
      </c>
      <c r="CD54" s="62">
        <f ca="1">AVERAGE(OFFSET($CC$3,0,0,'Données projet'!$E$12+1,1))-AVERAGE(OFFSET($H$3,0,0,'Données projet'!$E$12+1,1))</f>
        <v>211.05980622218578</v>
      </c>
      <c r="CE54" s="62">
        <f t="shared" si="40"/>
        <v>168.57746894604855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1.7724999999999995</v>
      </c>
      <c r="CT54" s="13">
        <f>IF('Données projet'!$A$140&gt;35,CT53+CS54-DB53,IF(A54&lt;'Données projet'!$A$140,$CQ$205^A54,IF(A54='Données projet'!$A$140,'Données projet'!$B$140,CT53+CS54-DB53)))</f>
        <v>68.410000000000025</v>
      </c>
      <c r="CU54" s="18">
        <f>CT54*VLOOKUP('Données projet'!$B$13,Paramètres!$A$1:$I$89,3,0)*VLOOKUP('Données projet'!$B$13,Paramètres!$A$1:$I$89,5,0)</f>
        <v>78.808320000000023</v>
      </c>
      <c r="CV54" s="14">
        <f t="shared" si="41"/>
        <v>21.845558157973084</v>
      </c>
      <c r="CW54" s="22">
        <f t="shared" si="13"/>
        <v>175.30550445846984</v>
      </c>
      <c r="CX54" s="62">
        <f t="shared" si="14"/>
        <v>468.63883779180316</v>
      </c>
      <c r="CY54" s="62">
        <f ca="1">AVERAGE(OFFSET($CX$3,0,0,'Données projet'!$E$13+1,1))-AVERAGE(OFFSET($H$3,0,0,'Données projet'!$E$13+1,1))</f>
        <v>191.79777926975839</v>
      </c>
      <c r="CZ54" s="62">
        <f t="shared" si="42"/>
        <v>156.66161375678712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0.4479999999999999</v>
      </c>
      <c r="DO54" s="13">
        <f>IF('Données projet'!$A$166&gt;35,DO53+DN54-DW53,IF(A54&lt;'Données projet'!$A$166,$DL$205^A54,IF(A54='Données projet'!$A$166,'Données projet'!$B$166,DO53+DN54-DW53)))</f>
        <v>108.9379999999999</v>
      </c>
      <c r="DP54" s="18">
        <f>DO54*VLOOKUP('Données projet'!$B$14,Paramètres!$A$1:$I$89,3,0)*VLOOKUP('Données projet'!$B$14,Paramètres!$A$1:$I$89,5,0)</f>
        <v>118.96029599999989</v>
      </c>
      <c r="DQ54" s="14">
        <f t="shared" si="43"/>
        <v>31.432382734824198</v>
      </c>
      <c r="DR54" s="22">
        <f t="shared" si="16"/>
        <v>261.93391546315195</v>
      </c>
      <c r="DS54" s="62">
        <f t="shared" si="17"/>
        <v>555.26724879648532</v>
      </c>
      <c r="DT54" s="62">
        <f ca="1">AVERAGE(OFFSET($DS$3,0,0,'Données projet'!$E$14+1,1))-AVERAGE(OFFSET($H$3,0,0,'Données projet'!$E$14+1,1))</f>
        <v>541.0854688453461</v>
      </c>
      <c r="DU54" s="62">
        <f t="shared" si="44"/>
        <v>171.04847168584473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15.75</v>
      </c>
      <c r="EJ54" s="13">
        <f>IF('Données projet'!$A$192&gt;35,EJ53+EI54-ER53,IF(A54&lt;'Données projet'!$A$192,$EG$205^A54,IF(A54='Données projet'!$A$192,'Données projet'!$B$192,EJ53+EI54-ER53)))</f>
        <v>213.49999999999989</v>
      </c>
      <c r="EK54" s="18">
        <f>EJ54*VLOOKUP('Données projet'!$B$15,Paramètres!$A$1:$I$89,3,0)*VLOOKUP('Données projet'!$B$15,Paramètres!$A$1:$I$89,5,0)</f>
        <v>127.67299999999994</v>
      </c>
      <c r="EL54" s="14">
        <f t="shared" si="45"/>
        <v>33.458094021097516</v>
      </c>
      <c r="EM54" s="22">
        <f t="shared" si="19"/>
        <v>280.63665542007806</v>
      </c>
      <c r="EN54" s="62">
        <f t="shared" si="20"/>
        <v>573.96998875341137</v>
      </c>
      <c r="EO54" s="62">
        <f ca="1">AVERAGE(OFFSET($EN$3,0,0,'Données projet'!$E$15+1,1))-AVERAGE(OFFSET($H$3,0,0,'Données projet'!$E$15+1,1))</f>
        <v>244.01698421598974</v>
      </c>
      <c r="EP54" s="62">
        <f t="shared" si="46"/>
        <v>156.96653202915024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2.0093502218690125</v>
      </c>
      <c r="EX54" s="23">
        <f>EXP(-LN(2)/2)*EX53+(1-EXP(-LN(2)/2))/(LN(2)/2)*ER54*EU54*VLOOKUP('Données projet'!$B$15,Paramètres!$A$1:$I$89,3,0)*0.475*44/12</f>
        <v>6.8765420945084074E-3</v>
      </c>
      <c r="EY54" s="24">
        <f t="shared" si="21"/>
        <v>2.016226763963521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3.4</v>
      </c>
      <c r="FE54" s="13">
        <f>IF('Données projet'!$A$218&gt;35,FE53+FD54-FM53,IF(A54&lt;'Données projet'!$A$218,$FB$205^A54,IF(A54='Données projet'!$A$218,'Données projet'!$B$218,FE53+FD54-FM53)))</f>
        <v>119.39999999999995</v>
      </c>
      <c r="FF54" s="18">
        <f>FE54*VLOOKUP('Données projet'!$B$16,Paramètres!$A$1:$I$89,3,0)*VLOOKUP('Données projet'!$B$16,Paramètres!$A$1:$I$89,5,0)</f>
        <v>104.30783999999997</v>
      </c>
      <c r="FG54" s="14">
        <f t="shared" si="47"/>
        <v>27.985748297693238</v>
      </c>
      <c r="FH54" s="22">
        <f t="shared" si="22"/>
        <v>230.41133295181569</v>
      </c>
      <c r="FI54" s="62">
        <f t="shared" si="23"/>
        <v>523.74466628514904</v>
      </c>
      <c r="FJ54" s="62">
        <f ca="1">AVERAGE(OFFSET($FI$3,0,0,'Données projet'!$E$16+1,1))-AVERAGE(OFFSET($H$3,0,0,'Données projet'!$E$16+1,1))</f>
        <v>175.08726167127026</v>
      </c>
      <c r="FK54" s="62">
        <f t="shared" si="48"/>
        <v>196.05343924817117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3.8</v>
      </c>
      <c r="FZ54" s="13">
        <f>IF('Données projet'!$A$244&gt;35,FZ53+FY54-GH53,IF(A54&lt;'Données projet'!$A$244,$FW$205^A54,IF(A54='Données projet'!$A$244,'Données projet'!$B$244,FZ53+FY54-GH53)))</f>
        <v>127.8</v>
      </c>
      <c r="GA54" s="18">
        <f>FZ54*VLOOKUP('Données projet'!$B$17,Paramètres!$A$1:$I$89,3,0)*VLOOKUP('Données projet'!$B$17,Paramètres!$A$1:$I$89,5,0)</f>
        <v>83.734560000000002</v>
      </c>
      <c r="GB54" s="14">
        <f t="shared" si="49"/>
        <v>23.047864679175266</v>
      </c>
      <c r="GC54" s="22">
        <f t="shared" si="25"/>
        <v>185.97938964956359</v>
      </c>
      <c r="GD54" s="62">
        <f t="shared" si="26"/>
        <v>479.3127229828969</v>
      </c>
      <c r="GE54" s="62">
        <f ca="1">AVERAGE(OFFSET($GD$3,0,0,'Données projet'!$E$17+1,1))-AVERAGE(OFFSET($H$3,0,0,'Données projet'!$E$17+1,1))</f>
        <v>142.93037460866543</v>
      </c>
      <c r="GF54" s="62">
        <f t="shared" si="50"/>
        <v>146.18554498808049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4</v>
      </c>
      <c r="GU54" s="13">
        <f>IF('Données projet'!$A$270&gt;35,GU53+GT54-HC53,IF(A54&lt;'Données projet'!$A$270,$GR$205^A54,IF(A54='Données projet'!$A$270,'Données projet'!$B$270,GU53+GT54-HC53)))</f>
        <v>89.999999999999986</v>
      </c>
      <c r="GV54" s="18">
        <f>GU54*VLOOKUP('Données projet'!$B$18,Paramètres!$A$1:$I$89,3,0)*VLOOKUP('Données projet'!$B$18,Paramètres!$A$1:$I$89,5,0)</f>
        <v>77.219999999999985</v>
      </c>
      <c r="GW54" s="14">
        <f t="shared" si="51"/>
        <v>21.456066856215866</v>
      </c>
      <c r="GX54" s="22">
        <f t="shared" si="28"/>
        <v>171.8608164412426</v>
      </c>
      <c r="GY54" s="62">
        <f t="shared" si="29"/>
        <v>465.19414977457592</v>
      </c>
      <c r="GZ54" s="62">
        <f ca="1">AVERAGE(OFFSET($GY$3,0,0,'Données projet'!$E$18+1,1))-AVERAGE(OFFSET($H$3,0,0,'Données projet'!$E$18+1,1))</f>
        <v>188.08607733149256</v>
      </c>
      <c r="HA54" s="62">
        <f t="shared" si="52"/>
        <v>119.95698016603842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15.547999999999991</v>
      </c>
      <c r="D55" s="12">
        <f t="shared" si="32"/>
        <v>5.2061380655003422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160.20738155824822</v>
      </c>
      <c r="H55" s="70">
        <f t="shared" si="1"/>
        <v>292.81345713074643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4</v>
      </c>
      <c r="N55" s="14">
        <f>IF('Données projet'!$A$36&gt;35,N54+M55-V54,IF(A55&lt;'Données projet'!$A$36,$K$205^A55,IF(A55='Données projet'!$A$36,'Données projet'!$B$36,N54+M55-V54)))</f>
        <v>93.999999999999986</v>
      </c>
      <c r="O55" s="14">
        <f>N55*VLOOKUP('Données projet'!$B$9,Paramètres!$A$1:$I$89,3,0)*VLOOKUP('Données projet'!$B$9,Paramètres!$A$1:$I$89,5,0)</f>
        <v>101.18159999999997</v>
      </c>
      <c r="P55" s="14">
        <f t="shared" si="33"/>
        <v>27.243304715412336</v>
      </c>
      <c r="Q55" s="22">
        <f t="shared" si="53"/>
        <v>223.6733757126764</v>
      </c>
      <c r="R55" s="62">
        <f t="shared" si="0"/>
        <v>517.00670904600975</v>
      </c>
      <c r="S55" s="62">
        <f ca="1">AVERAGE(OFFSET($R$3,0,0,'Données projet'!$E$9+1,1))-AVERAGE(OFFSET($H$3,0,0,'Données projet'!$E$9+1,1))</f>
        <v>236.98575892380046</v>
      </c>
      <c r="T55" s="62">
        <f t="shared" si="34"/>
        <v>145.77678223659774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>
        <f>VLOOKUP(A55,'Données projet'!$A$61:$I$81,2,0)</f>
        <v>190.43076923076922</v>
      </c>
      <c r="AG55" s="13">
        <f>VLOOKUP(A55,'Données projet'!$A$61:$I$81,9,0)</f>
        <v>6.4759615384615365</v>
      </c>
      <c r="AH55" s="13">
        <f t="array" ref="AH55">INDEX(AG:AG,MIN(IF(ISNUMBER(AG55:AG251),ROW(AG55:AG251),"")))</f>
        <v>6.4759615384615365</v>
      </c>
      <c r="AI55" s="14">
        <f>IF('Données projet'!$A$62&gt;35,AI54+AH55-AQ54,IF(A55&lt;'Données projet'!$A$62,$AF$205^A55,IF(A55='Données projet'!$A$62,'Données projet'!$B$62,AI54+AH55-AQ54)))</f>
        <v>190.43076923076927</v>
      </c>
      <c r="AJ55" s="14">
        <f>AI55*VLOOKUP('Données projet'!$B$10,Paramètres!$A$1:$I$89,3,0)*VLOOKUP('Données projet'!$B$10,Paramètres!$A$1:$I$89,5,0)</f>
        <v>111.40200000000004</v>
      </c>
      <c r="AK55" s="14">
        <f t="shared" si="35"/>
        <v>29.661062833995075</v>
      </c>
      <c r="AL55" s="22">
        <f t="shared" si="4"/>
        <v>245.68483443587479</v>
      </c>
      <c r="AM55" s="62">
        <f t="shared" si="5"/>
        <v>539.01816776920805</v>
      </c>
      <c r="AN55" s="62">
        <f ca="1">AVERAGE(OFFSET($AM$3,0,0,'Données projet'!$E$10+1,1))-AVERAGE(OFFSET($H$3,0,0,'Données projet'!$E$10+1,1))</f>
        <v>140.04898296125504</v>
      </c>
      <c r="AO55" s="62">
        <f t="shared" si="36"/>
        <v>129.5395511270716</v>
      </c>
      <c r="AP55" s="16">
        <f>IF(ISNA(VLOOKUP(A55,'Données projet'!$A$61:$I$81,3,0)),0,VLOOKUP(A55,'Données projet'!$A$61:$I$81,3,0))</f>
        <v>2</v>
      </c>
      <c r="AQ55" s="16">
        <f>IF(ISNA(VLOOKUP(A55,'Données projet'!$A$61:$I$81,4,0)),0,VLOOKUP(A55,'Données projet'!$A$61:$I$81,4,0))</f>
        <v>77.107692307692304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10.542307692307702</v>
      </c>
      <c r="BD55" s="13">
        <f>IF('Données projet'!$A$88&gt;35,BD54+BC55-BL54,IF(A55&lt;'Données projet'!$A$88,$BA$205^A55,IF(A55='Données projet'!$A$88,'Données projet'!$B$88,BD54+BC55-BL54)))</f>
        <v>232.07307692307671</v>
      </c>
      <c r="BE55" s="14">
        <f>BD55*VLOOKUP('Données projet'!$B$11,Paramètres!$A$1:$I$89,3,0)*VLOOKUP('Données projet'!$B$11,Paramètres!$A$1:$I$89,5,0)</f>
        <v>108.61019999999989</v>
      </c>
      <c r="BF55" s="14">
        <f t="shared" si="37"/>
        <v>29.003294930485936</v>
      </c>
      <c r="BG55" s="22">
        <f t="shared" si="7"/>
        <v>239.67683700392948</v>
      </c>
      <c r="BH55" s="62">
        <f t="shared" si="8"/>
        <v>533.01017033726282</v>
      </c>
      <c r="BI55" s="62">
        <f ca="1">AVERAGE(OFFSET($BH$3,0,0,'Données projet'!$E$11+1,1))-AVERAGE(OFFSET($H$3,0,0,'Données projet'!$E$11+1,1))</f>
        <v>207.84100251878419</v>
      </c>
      <c r="BJ55" s="62">
        <f t="shared" si="38"/>
        <v>124.34917784241952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3.2600000000000025</v>
      </c>
      <c r="BY55" s="13">
        <f>IF('Données projet'!$A$114&gt;35,BY54+BX55-CG54,IF(A55&lt;'Données projet'!$A$114,$BV$205^A55,IF(A55='Données projet'!$A$114,'Données projet'!$B$114,BY54+BX55-CG54)))</f>
        <v>215.72</v>
      </c>
      <c r="BZ55" s="14">
        <f>BY55*VLOOKUP('Données projet'!$B$12,Paramètres!$A$1:$I$89,3,0)*VLOOKUP('Données projet'!$B$12,Paramètres!$A$1:$I$89,5,0)</f>
        <v>112.17440000000002</v>
      </c>
      <c r="CA55" s="14">
        <f t="shared" si="39"/>
        <v>29.842705078330251</v>
      </c>
      <c r="CB55" s="22">
        <f t="shared" si="10"/>
        <v>247.34645801142526</v>
      </c>
      <c r="CC55" s="62">
        <f t="shared" si="11"/>
        <v>540.67979134475854</v>
      </c>
      <c r="CD55" s="62">
        <f ca="1">AVERAGE(OFFSET($CC$3,0,0,'Données projet'!$E$12+1,1))-AVERAGE(OFFSET($H$3,0,0,'Données projet'!$E$12+1,1))</f>
        <v>211.05980622218578</v>
      </c>
      <c r="CE55" s="62">
        <f t="shared" si="40"/>
        <v>168.57746894604855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1.7724999999999995</v>
      </c>
      <c r="CT55" s="13">
        <f>IF('Données projet'!$A$140&gt;35,CT54+CS55-DB54,IF(A55&lt;'Données projet'!$A$140,$CQ$205^A55,IF(A55='Données projet'!$A$140,'Données projet'!$B$140,CT54+CS55-DB54)))</f>
        <v>70.182500000000019</v>
      </c>
      <c r="CU55" s="18">
        <f>CT55*VLOOKUP('Données projet'!$B$13,Paramètres!$A$1:$I$89,3,0)*VLOOKUP('Données projet'!$B$13,Paramètres!$A$1:$I$89,5,0)</f>
        <v>80.850240000000028</v>
      </c>
      <c r="CV55" s="14">
        <f t="shared" si="41"/>
        <v>22.344944145436859</v>
      </c>
      <c r="CW55" s="22">
        <f t="shared" si="13"/>
        <v>179.7316123866359</v>
      </c>
      <c r="CX55" s="62">
        <f t="shared" si="14"/>
        <v>473.06494571996922</v>
      </c>
      <c r="CY55" s="62">
        <f ca="1">AVERAGE(OFFSET($CX$3,0,0,'Données projet'!$E$13+1,1))-AVERAGE(OFFSET($H$3,0,0,'Données projet'!$E$13+1,1))</f>
        <v>191.79777926975839</v>
      </c>
      <c r="CZ55" s="62">
        <f t="shared" si="42"/>
        <v>156.66161375678712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0.4479999999999999</v>
      </c>
      <c r="DO55" s="13">
        <f>IF('Données projet'!$A$166&gt;35,DO54+DN55-DW54,IF(A55&lt;'Données projet'!$A$166,$DL$205^A55,IF(A55='Données projet'!$A$166,'Données projet'!$B$166,DO54+DN55-DW54)))</f>
        <v>109.3859999999999</v>
      </c>
      <c r="DP55" s="18">
        <f>DO55*VLOOKUP('Données projet'!$B$14,Paramètres!$A$1:$I$89,3,0)*VLOOKUP('Données projet'!$B$14,Paramètres!$A$1:$I$89,5,0)</f>
        <v>119.4495119999999</v>
      </c>
      <c r="DQ55" s="14">
        <f t="shared" si="43"/>
        <v>31.546572670471061</v>
      </c>
      <c r="DR55" s="22">
        <f t="shared" si="16"/>
        <v>262.98484746773693</v>
      </c>
      <c r="DS55" s="62">
        <f t="shared" si="17"/>
        <v>556.31818080107018</v>
      </c>
      <c r="DT55" s="62">
        <f ca="1">AVERAGE(OFFSET($DS$3,0,0,'Données projet'!$E$14+1,1))-AVERAGE(OFFSET($H$3,0,0,'Données projet'!$E$14+1,1))</f>
        <v>541.0854688453461</v>
      </c>
      <c r="DU55" s="62">
        <f t="shared" si="44"/>
        <v>171.04847168584473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15.75</v>
      </c>
      <c r="EJ55" s="13">
        <f>IF('Données projet'!$A$192&gt;35,EJ54+EI55-ER54,IF(A55&lt;'Données projet'!$A$192,$EG$205^A55,IF(A55='Données projet'!$A$192,'Données projet'!$B$192,EJ54+EI55-ER54)))</f>
        <v>229.24999999999989</v>
      </c>
      <c r="EK55" s="18">
        <f>EJ55*VLOOKUP('Données projet'!$B$15,Paramètres!$A$1:$I$89,3,0)*VLOOKUP('Données projet'!$B$15,Paramètres!$A$1:$I$89,5,0)</f>
        <v>137.09149999999994</v>
      </c>
      <c r="EL55" s="14">
        <f t="shared" si="45"/>
        <v>35.629897067383737</v>
      </c>
      <c r="EM55" s="22">
        <f t="shared" si="19"/>
        <v>300.82309989235995</v>
      </c>
      <c r="EN55" s="62">
        <f t="shared" si="20"/>
        <v>594.15643322569326</v>
      </c>
      <c r="EO55" s="62">
        <f ca="1">AVERAGE(OFFSET($EN$3,0,0,'Données projet'!$E$15+1,1))-AVERAGE(OFFSET($H$3,0,0,'Données projet'!$E$15+1,1))</f>
        <v>244.01698421598974</v>
      </c>
      <c r="EP55" s="62">
        <f t="shared" si="46"/>
        <v>156.96653202915024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1.9544044343848685</v>
      </c>
      <c r="EX55" s="23">
        <f>EXP(-LN(2)/2)*EX54+(1-EXP(-LN(2)/2))/(LN(2)/2)*ER55*EU55*VLOOKUP('Données projet'!$B$15,Paramètres!$A$1:$I$89,3,0)*0.475*44/12</f>
        <v>4.8624495461416402E-3</v>
      </c>
      <c r="EY55" s="24">
        <f t="shared" si="21"/>
        <v>1.9592668839310101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3.4</v>
      </c>
      <c r="FE55" s="13">
        <f>IF('Données projet'!$A$218&gt;35,FE54+FD55-FM54,IF(A55&lt;'Données projet'!$A$218,$FB$205^A55,IF(A55='Données projet'!$A$218,'Données projet'!$B$218,FE54+FD55-FM54)))</f>
        <v>122.79999999999995</v>
      </c>
      <c r="FF55" s="18">
        <f>FE55*VLOOKUP('Données projet'!$B$16,Paramètres!$A$1:$I$89,3,0)*VLOOKUP('Données projet'!$B$16,Paramètres!$A$1:$I$89,5,0)</f>
        <v>107.27807999999999</v>
      </c>
      <c r="FG55" s="14">
        <f t="shared" si="47"/>
        <v>28.688746800886673</v>
      </c>
      <c r="FH55" s="22">
        <f t="shared" si="22"/>
        <v>236.80889001154424</v>
      </c>
      <c r="FI55" s="62">
        <f t="shared" si="23"/>
        <v>530.14222334487749</v>
      </c>
      <c r="FJ55" s="62">
        <f ca="1">AVERAGE(OFFSET($FI$3,0,0,'Données projet'!$E$16+1,1))-AVERAGE(OFFSET($H$3,0,0,'Données projet'!$E$16+1,1))</f>
        <v>175.08726167127026</v>
      </c>
      <c r="FK55" s="62">
        <f t="shared" si="48"/>
        <v>196.05343924817117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3.8</v>
      </c>
      <c r="FZ55" s="13">
        <f>IF('Données projet'!$A$244&gt;35,FZ54+FY55-GH54,IF(A55&lt;'Données projet'!$A$244,$FW$205^A55,IF(A55='Données projet'!$A$244,'Données projet'!$B$244,FZ54+FY55-GH54)))</f>
        <v>131.6</v>
      </c>
      <c r="GA55" s="18">
        <f>FZ55*VLOOKUP('Données projet'!$B$17,Paramètres!$A$1:$I$89,3,0)*VLOOKUP('Données projet'!$B$17,Paramètres!$A$1:$I$89,5,0)</f>
        <v>86.224320000000006</v>
      </c>
      <c r="GB55" s="14">
        <f t="shared" si="49"/>
        <v>23.652363060428655</v>
      </c>
      <c r="GC55" s="22">
        <f t="shared" si="25"/>
        <v>191.36855633024655</v>
      </c>
      <c r="GD55" s="62">
        <f t="shared" si="26"/>
        <v>484.70188966357989</v>
      </c>
      <c r="GE55" s="62">
        <f ca="1">AVERAGE(OFFSET($GD$3,0,0,'Données projet'!$E$17+1,1))-AVERAGE(OFFSET($H$3,0,0,'Données projet'!$E$17+1,1))</f>
        <v>142.93037460866543</v>
      </c>
      <c r="GF55" s="62">
        <f t="shared" si="50"/>
        <v>146.18554498808049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4</v>
      </c>
      <c r="GU55" s="13">
        <f>IF('Données projet'!$A$270&gt;35,GU54+GT55-HC54,IF(A55&lt;'Données projet'!$A$270,$GR$205^A55,IF(A55='Données projet'!$A$270,'Données projet'!$B$270,GU54+GT55-HC54)))</f>
        <v>93.999999999999986</v>
      </c>
      <c r="GV55" s="18">
        <f>GU55*VLOOKUP('Données projet'!$B$18,Paramètres!$A$1:$I$89,3,0)*VLOOKUP('Données projet'!$B$18,Paramètres!$A$1:$I$89,5,0)</f>
        <v>80.652000000000001</v>
      </c>
      <c r="GW55" s="14">
        <f t="shared" si="51"/>
        <v>22.296526130116245</v>
      </c>
      <c r="GX55" s="22">
        <f t="shared" si="28"/>
        <v>179.3020163432858</v>
      </c>
      <c r="GY55" s="62">
        <f t="shared" si="29"/>
        <v>472.63534967661911</v>
      </c>
      <c r="GZ55" s="62">
        <f ca="1">AVERAGE(OFFSET($GY$3,0,0,'Données projet'!$E$18+1,1))-AVERAGE(OFFSET($H$3,0,0,'Données projet'!$E$18+1,1))</f>
        <v>188.08607733149256</v>
      </c>
      <c r="HA55" s="62">
        <f t="shared" si="52"/>
        <v>119.95698016603842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15.846999999999991</v>
      </c>
      <c r="D56" s="12">
        <f t="shared" si="32"/>
        <v>5.2945040548773781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163.19757516045689</v>
      </c>
      <c r="H56" s="70">
        <f t="shared" si="1"/>
        <v>293.48811956224478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4</v>
      </c>
      <c r="N56" s="14">
        <f>IF('Données projet'!$A$36&gt;35,N55+M56-V55,IF(A56&lt;'Données projet'!$A$36,$K$205^A56,IF(A56='Données projet'!$A$36,'Données projet'!$B$36,N55+M56-V55)))</f>
        <v>97.999999999999986</v>
      </c>
      <c r="O56" s="14">
        <f>N56*VLOOKUP('Données projet'!$B$9,Paramètres!$A$1:$I$89,3,0)*VLOOKUP('Données projet'!$B$9,Paramètres!$A$1:$I$89,5,0)</f>
        <v>105.48719999999999</v>
      </c>
      <c r="P56" s="14">
        <f t="shared" si="33"/>
        <v>28.265155367923839</v>
      </c>
      <c r="Q56" s="22">
        <f t="shared" si="53"/>
        <v>232.95201893246733</v>
      </c>
      <c r="R56" s="62">
        <f t="shared" si="0"/>
        <v>526.28535226580061</v>
      </c>
      <c r="S56" s="62">
        <f ca="1">AVERAGE(OFFSET($R$3,0,0,'Données projet'!$E$9+1,1))-AVERAGE(OFFSET($H$3,0,0,'Données projet'!$E$9+1,1))</f>
        <v>236.98575892380046</v>
      </c>
      <c r="T56" s="62">
        <f t="shared" si="34"/>
        <v>145.77678223659774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4.9549450549450569</v>
      </c>
      <c r="AI56" s="14">
        <f>IF('Données projet'!$A$62&gt;35,AI55+AH56-AQ55,IF(A56&lt;'Données projet'!$A$62,$AF$205^A56,IF(A56='Données projet'!$A$62,'Données projet'!$B$62,AI55+AH56-AQ55)))</f>
        <v>118.27802197802202</v>
      </c>
      <c r="AJ56" s="14">
        <f>AI56*VLOOKUP('Données projet'!$B$10,Paramètres!$A$1:$I$89,3,0)*VLOOKUP('Données projet'!$B$10,Paramètres!$A$1:$I$89,5,0)</f>
        <v>69.192642857142886</v>
      </c>
      <c r="AK56" s="14">
        <f t="shared" si="35"/>
        <v>19.472827172380715</v>
      </c>
      <c r="AL56" s="22">
        <f t="shared" si="4"/>
        <v>154.42569363475363</v>
      </c>
      <c r="AM56" s="62">
        <f t="shared" si="5"/>
        <v>447.75902696808691</v>
      </c>
      <c r="AN56" s="62">
        <f ca="1">AVERAGE(OFFSET($AM$3,0,0,'Données projet'!$E$10+1,1))-AVERAGE(OFFSET($H$3,0,0,'Données projet'!$E$10+1,1))</f>
        <v>140.04898296125504</v>
      </c>
      <c r="AO56" s="62">
        <f t="shared" si="36"/>
        <v>129.5395511270716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10.542307692307702</v>
      </c>
      <c r="BD56" s="13">
        <f>IF('Données projet'!$A$88&gt;35,BD55+BC56-BL55,IF(A56&lt;'Données projet'!$A$88,$BA$205^A56,IF(A56='Données projet'!$A$88,'Données projet'!$B$88,BD55+BC56-BL55)))</f>
        <v>242.61538461538441</v>
      </c>
      <c r="BE56" s="14">
        <f>BD56*VLOOKUP('Données projet'!$B$11,Paramètres!$A$1:$I$89,3,0)*VLOOKUP('Données projet'!$B$11,Paramètres!$A$1:$I$89,5,0)</f>
        <v>113.54399999999991</v>
      </c>
      <c r="BF56" s="14">
        <f t="shared" si="37"/>
        <v>30.164431377064304</v>
      </c>
      <c r="BG56" s="22">
        <f t="shared" si="7"/>
        <v>250.29218464838678</v>
      </c>
      <c r="BH56" s="62">
        <f t="shared" si="8"/>
        <v>543.62551798172012</v>
      </c>
      <c r="BI56" s="62">
        <f ca="1">AVERAGE(OFFSET($BH$3,0,0,'Données projet'!$E$11+1,1))-AVERAGE(OFFSET($H$3,0,0,'Données projet'!$E$11+1,1))</f>
        <v>207.84100251878419</v>
      </c>
      <c r="BJ56" s="62">
        <f t="shared" si="38"/>
        <v>124.34917784241952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3.2600000000000025</v>
      </c>
      <c r="BY56" s="13">
        <f>IF('Données projet'!$A$114&gt;35,BY55+BX56-CG55,IF(A56&lt;'Données projet'!$A$114,$BV$205^A56,IF(A56='Données projet'!$A$114,'Données projet'!$B$114,BY55+BX56-CG55)))</f>
        <v>218.98</v>
      </c>
      <c r="BZ56" s="14">
        <f>BY56*VLOOKUP('Données projet'!$B$12,Paramètres!$A$1:$I$89,3,0)*VLOOKUP('Données projet'!$B$12,Paramètres!$A$1:$I$89,5,0)</f>
        <v>113.86960000000001</v>
      </c>
      <c r="CA56" s="14">
        <f t="shared" si="39"/>
        <v>30.240849901251988</v>
      </c>
      <c r="CB56" s="22">
        <f t="shared" si="10"/>
        <v>250.9923669113472</v>
      </c>
      <c r="CC56" s="62">
        <f t="shared" si="11"/>
        <v>544.32570024468055</v>
      </c>
      <c r="CD56" s="62">
        <f ca="1">AVERAGE(OFFSET($CC$3,0,0,'Données projet'!$E$12+1,1))-AVERAGE(OFFSET($H$3,0,0,'Données projet'!$E$12+1,1))</f>
        <v>211.05980622218578</v>
      </c>
      <c r="CE56" s="62">
        <f t="shared" si="40"/>
        <v>168.57746894604855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1.7724999999999995</v>
      </c>
      <c r="CT56" s="13">
        <f>IF('Données projet'!$A$140&gt;35,CT55+CS56-DB55,IF(A56&lt;'Données projet'!$A$140,$CQ$205^A56,IF(A56='Données projet'!$A$140,'Données projet'!$B$140,CT55+CS56-DB55)))</f>
        <v>71.955000000000013</v>
      </c>
      <c r="CU56" s="18">
        <f>CT56*VLOOKUP('Données projet'!$B$13,Paramètres!$A$1:$I$89,3,0)*VLOOKUP('Données projet'!$B$13,Paramètres!$A$1:$I$89,5,0)</f>
        <v>82.892160000000004</v>
      </c>
      <c r="CV56" s="14">
        <f t="shared" si="41"/>
        <v>22.842864054032365</v>
      </c>
      <c r="CW56" s="22">
        <f t="shared" si="13"/>
        <v>184.15516689410637</v>
      </c>
      <c r="CX56" s="62">
        <f t="shared" si="14"/>
        <v>477.48850022743966</v>
      </c>
      <c r="CY56" s="62">
        <f ca="1">AVERAGE(OFFSET($CX$3,0,0,'Données projet'!$E$13+1,1))-AVERAGE(OFFSET($H$3,0,0,'Données projet'!$E$13+1,1))</f>
        <v>191.79777926975839</v>
      </c>
      <c r="CZ56" s="62">
        <f t="shared" si="42"/>
        <v>156.66161375678712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0.4479999999999999</v>
      </c>
      <c r="DO56" s="13">
        <f>IF('Données projet'!$A$166&gt;35,DO55+DN56-DW55,IF(A56&lt;'Données projet'!$A$166,$DL$205^A56,IF(A56='Données projet'!$A$166,'Données projet'!$B$166,DO55+DN56-DW55)))</f>
        <v>109.83399999999989</v>
      </c>
      <c r="DP56" s="18">
        <f>DO56*VLOOKUP('Données projet'!$B$14,Paramètres!$A$1:$I$89,3,0)*VLOOKUP('Données projet'!$B$14,Paramètres!$A$1:$I$89,5,0)</f>
        <v>119.93872799999988</v>
      </c>
      <c r="DQ56" s="14">
        <f t="shared" si="43"/>
        <v>31.66070818156755</v>
      </c>
      <c r="DR56" s="22">
        <f t="shared" si="16"/>
        <v>264.0356846828966</v>
      </c>
      <c r="DS56" s="62">
        <f t="shared" si="17"/>
        <v>557.36901801622992</v>
      </c>
      <c r="DT56" s="62">
        <f ca="1">AVERAGE(OFFSET($DS$3,0,0,'Données projet'!$E$14+1,1))-AVERAGE(OFFSET($H$3,0,0,'Données projet'!$E$14+1,1))</f>
        <v>541.0854688453461</v>
      </c>
      <c r="DU56" s="62">
        <f t="shared" si="44"/>
        <v>171.04847168584473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15.75</v>
      </c>
      <c r="EJ56" s="13">
        <f>IF('Données projet'!$A$192&gt;35,EJ55+EI56-ER55,IF(A56&lt;'Données projet'!$A$192,$EG$205^A56,IF(A56='Données projet'!$A$192,'Données projet'!$B$192,EJ55+EI56-ER55)))</f>
        <v>244.99999999999989</v>
      </c>
      <c r="EK56" s="18">
        <f>EJ56*VLOOKUP('Données projet'!$B$15,Paramètres!$A$1:$I$89,3,0)*VLOOKUP('Données projet'!$B$15,Paramètres!$A$1:$I$89,5,0)</f>
        <v>146.50999999999993</v>
      </c>
      <c r="EL56" s="14">
        <f t="shared" si="45"/>
        <v>37.784387209607431</v>
      </c>
      <c r="EM56" s="22">
        <f t="shared" si="19"/>
        <v>320.97939105673277</v>
      </c>
      <c r="EN56" s="62">
        <f t="shared" si="20"/>
        <v>614.31272439006602</v>
      </c>
      <c r="EO56" s="62">
        <f ca="1">AVERAGE(OFFSET($EN$3,0,0,'Données projet'!$E$15+1,1))-AVERAGE(OFFSET($H$3,0,0,'Données projet'!$E$15+1,1))</f>
        <v>244.01698421598974</v>
      </c>
      <c r="EP56" s="62">
        <f t="shared" si="46"/>
        <v>156.96653202915024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1.9009611423489519</v>
      </c>
      <c r="EX56" s="23">
        <f>EXP(-LN(2)/2)*EX55+(1-EXP(-LN(2)/2))/(LN(2)/2)*ER56*EU56*VLOOKUP('Données projet'!$B$15,Paramètres!$A$1:$I$89,3,0)*0.475*44/12</f>
        <v>3.4382710472542041E-3</v>
      </c>
      <c r="EY56" s="24">
        <f t="shared" si="21"/>
        <v>1.9043994133962061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3.4</v>
      </c>
      <c r="FE56" s="13">
        <f>IF('Données projet'!$A$218&gt;35,FE55+FD56-FM55,IF(A56&lt;'Données projet'!$A$218,$FB$205^A56,IF(A56='Données projet'!$A$218,'Données projet'!$B$218,FE55+FD56-FM55)))</f>
        <v>126.19999999999996</v>
      </c>
      <c r="FF56" s="18">
        <f>FE56*VLOOKUP('Données projet'!$B$16,Paramètres!$A$1:$I$89,3,0)*VLOOKUP('Données projet'!$B$16,Paramètres!$A$1:$I$89,5,0)</f>
        <v>110.24831999999998</v>
      </c>
      <c r="FG56" s="14">
        <f t="shared" si="47"/>
        <v>29.389483021072536</v>
      </c>
      <c r="FH56" s="22">
        <f t="shared" si="22"/>
        <v>243.20250692836794</v>
      </c>
      <c r="FI56" s="62">
        <f t="shared" si="23"/>
        <v>536.5358402617012</v>
      </c>
      <c r="FJ56" s="62">
        <f ca="1">AVERAGE(OFFSET($FI$3,0,0,'Données projet'!$E$16+1,1))-AVERAGE(OFFSET($H$3,0,0,'Données projet'!$E$16+1,1))</f>
        <v>175.08726167127026</v>
      </c>
      <c r="FK56" s="62">
        <f t="shared" si="48"/>
        <v>196.05343924817117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3.8</v>
      </c>
      <c r="FZ56" s="13">
        <f>IF('Données projet'!$A$244&gt;35,FZ55+FY56-GH55,IF(A56&lt;'Données projet'!$A$244,$FW$205^A56,IF(A56='Données projet'!$A$244,'Données projet'!$B$244,FZ55+FY56-GH55)))</f>
        <v>135.4</v>
      </c>
      <c r="GA56" s="18">
        <f>FZ56*VLOOKUP('Données projet'!$B$17,Paramètres!$A$1:$I$89,3,0)*VLOOKUP('Données projet'!$B$17,Paramètres!$A$1:$I$89,5,0)</f>
        <v>88.71408000000001</v>
      </c>
      <c r="GB56" s="14">
        <f t="shared" si="49"/>
        <v>24.254832778458113</v>
      </c>
      <c r="GC56" s="22">
        <f t="shared" si="25"/>
        <v>196.75418975581454</v>
      </c>
      <c r="GD56" s="62">
        <f t="shared" si="26"/>
        <v>490.08752308914785</v>
      </c>
      <c r="GE56" s="62">
        <f ca="1">AVERAGE(OFFSET($GD$3,0,0,'Données projet'!$E$17+1,1))-AVERAGE(OFFSET($H$3,0,0,'Données projet'!$E$17+1,1))</f>
        <v>142.93037460866543</v>
      </c>
      <c r="GF56" s="62">
        <f t="shared" si="50"/>
        <v>146.18554498808049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4</v>
      </c>
      <c r="GU56" s="13">
        <f>IF('Données projet'!$A$270&gt;35,GU55+GT56-HC55,IF(A56&lt;'Données projet'!$A$270,$GR$205^A56,IF(A56='Données projet'!$A$270,'Données projet'!$B$270,GU55+GT56-HC55)))</f>
        <v>97.999999999999986</v>
      </c>
      <c r="GV56" s="18">
        <f>GU56*VLOOKUP('Données projet'!$B$18,Paramètres!$A$1:$I$89,3,0)*VLOOKUP('Données projet'!$B$18,Paramètres!$A$1:$I$89,5,0)</f>
        <v>84.084000000000003</v>
      </c>
      <c r="GW56" s="14">
        <f t="shared" si="51"/>
        <v>23.132831417334526</v>
      </c>
      <c r="GX56" s="22">
        <f t="shared" si="28"/>
        <v>186.73598138519097</v>
      </c>
      <c r="GY56" s="62">
        <f t="shared" si="29"/>
        <v>480.06931471852431</v>
      </c>
      <c r="GZ56" s="62">
        <f ca="1">AVERAGE(OFFSET($GY$3,0,0,'Données projet'!$E$18+1,1))-AVERAGE(OFFSET($H$3,0,0,'Données projet'!$E$18+1,1))</f>
        <v>188.08607733149256</v>
      </c>
      <c r="HA56" s="62">
        <f t="shared" si="52"/>
        <v>119.95698016603842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16.14599999999999</v>
      </c>
      <c r="D57" s="12">
        <f t="shared" si="32"/>
        <v>5.3826761733310171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166.18627221518673</v>
      </c>
      <c r="H57" s="70">
        <f t="shared" si="1"/>
        <v>294.1624443352182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4</v>
      </c>
      <c r="N57" s="14">
        <f>IF('Données projet'!$A$36&gt;35,N56+M57-V56,IF(A57&lt;'Données projet'!$A$36,$K$205^A57,IF(A57='Données projet'!$A$36,'Données projet'!$B$36,N56+M57-V56)))</f>
        <v>101.99999999999999</v>
      </c>
      <c r="O57" s="14">
        <f>N57*VLOOKUP('Données projet'!$B$9,Paramètres!$A$1:$I$89,3,0)*VLOOKUP('Données projet'!$B$9,Paramètres!$A$1:$I$89,5,0)</f>
        <v>109.79279999999997</v>
      </c>
      <c r="P57" s="14">
        <f t="shared" si="33"/>
        <v>29.28216128090861</v>
      </c>
      <c r="Q57" s="22">
        <f t="shared" si="53"/>
        <v>242.22222423091577</v>
      </c>
      <c r="R57" s="62">
        <f t="shared" si="0"/>
        <v>535.55555756424906</v>
      </c>
      <c r="S57" s="62">
        <f ca="1">AVERAGE(OFFSET($R$3,0,0,'Données projet'!$E$9+1,1))-AVERAGE(OFFSET($H$3,0,0,'Données projet'!$E$9+1,1))</f>
        <v>236.98575892380046</v>
      </c>
      <c r="T57" s="62">
        <f t="shared" si="34"/>
        <v>145.77678223659774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4.9549450549450569</v>
      </c>
      <c r="AI57" s="14">
        <f>IF('Données projet'!$A$62&gt;35,AI56+AH57-AQ56,IF(A57&lt;'Données projet'!$A$62,$AF$205^A57,IF(A57='Données projet'!$A$62,'Données projet'!$B$62,AI56+AH57-AQ56)))</f>
        <v>123.23296703296708</v>
      </c>
      <c r="AJ57" s="14">
        <f>AI57*VLOOKUP('Données projet'!$B$10,Paramètres!$A$1:$I$89,3,0)*VLOOKUP('Données projet'!$B$10,Paramètres!$A$1:$I$89,5,0)</f>
        <v>72.091285714285746</v>
      </c>
      <c r="AK57" s="14">
        <f t="shared" si="35"/>
        <v>20.191904399149117</v>
      </c>
      <c r="AL57" s="22">
        <f t="shared" si="4"/>
        <v>160.72655611423238</v>
      </c>
      <c r="AM57" s="62">
        <f t="shared" si="5"/>
        <v>454.05988944756569</v>
      </c>
      <c r="AN57" s="62">
        <f ca="1">AVERAGE(OFFSET($AM$3,0,0,'Données projet'!$E$10+1,1))-AVERAGE(OFFSET($H$3,0,0,'Données projet'!$E$10+1,1))</f>
        <v>140.04898296125504</v>
      </c>
      <c r="AO57" s="62">
        <f t="shared" si="36"/>
        <v>129.5395511270716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10.542307692307702</v>
      </c>
      <c r="BD57" s="13">
        <f>IF('Données projet'!$A$88&gt;35,BD56+BC57-BL56,IF(A57&lt;'Données projet'!$A$88,$BA$205^A57,IF(A57='Données projet'!$A$88,'Données projet'!$B$88,BD56+BC57-BL56)))</f>
        <v>253.15769230769212</v>
      </c>
      <c r="BE57" s="14">
        <f>BD57*VLOOKUP('Données projet'!$B$11,Paramètres!$A$1:$I$89,3,0)*VLOOKUP('Données projet'!$B$11,Paramètres!$A$1:$I$89,5,0)</f>
        <v>118.47779999999992</v>
      </c>
      <c r="BF57" s="14">
        <f t="shared" si="37"/>
        <v>31.319707790273014</v>
      </c>
      <c r="BG57" s="22">
        <f t="shared" si="7"/>
        <v>260.8973260680587</v>
      </c>
      <c r="BH57" s="62">
        <f t="shared" si="8"/>
        <v>554.23065940139202</v>
      </c>
      <c r="BI57" s="62">
        <f ca="1">AVERAGE(OFFSET($BH$3,0,0,'Données projet'!$E$11+1,1))-AVERAGE(OFFSET($H$3,0,0,'Données projet'!$E$11+1,1))</f>
        <v>207.84100251878419</v>
      </c>
      <c r="BJ57" s="62">
        <f t="shared" si="38"/>
        <v>124.34917784241952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3.2600000000000025</v>
      </c>
      <c r="BY57" s="13">
        <f>IF('Données projet'!$A$114&gt;35,BY56+BX57-CG56,IF(A57&lt;'Données projet'!$A$114,$BV$205^A57,IF(A57='Données projet'!$A$114,'Données projet'!$B$114,BY56+BX57-CG56)))</f>
        <v>222.23999999999998</v>
      </c>
      <c r="BZ57" s="14">
        <f>BY57*VLOOKUP('Données projet'!$B$12,Paramètres!$A$1:$I$89,3,0)*VLOOKUP('Données projet'!$B$12,Paramètres!$A$1:$I$89,5,0)</f>
        <v>115.56480000000001</v>
      </c>
      <c r="CA57" s="14">
        <f t="shared" si="39"/>
        <v>30.638305361236469</v>
      </c>
      <c r="CB57" s="22">
        <f t="shared" si="10"/>
        <v>254.63707517082017</v>
      </c>
      <c r="CC57" s="62">
        <f t="shared" si="11"/>
        <v>547.97040850415351</v>
      </c>
      <c r="CD57" s="62">
        <f ca="1">AVERAGE(OFFSET($CC$3,0,0,'Données projet'!$E$12+1,1))-AVERAGE(OFFSET($H$3,0,0,'Données projet'!$E$12+1,1))</f>
        <v>211.05980622218578</v>
      </c>
      <c r="CE57" s="62">
        <f t="shared" si="40"/>
        <v>168.57746894604855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1.7724999999999995</v>
      </c>
      <c r="CT57" s="13">
        <f>IF('Données projet'!$A$140&gt;35,CT56+CS57-DB56,IF(A57&lt;'Données projet'!$A$140,$CQ$205^A57,IF(A57='Données projet'!$A$140,'Données projet'!$B$140,CT56+CS57-DB56)))</f>
        <v>73.727500000000006</v>
      </c>
      <c r="CU57" s="18">
        <f>CT57*VLOOKUP('Données projet'!$B$13,Paramètres!$A$1:$I$89,3,0)*VLOOKUP('Données projet'!$B$13,Paramètres!$A$1:$I$89,5,0)</f>
        <v>84.934080000000009</v>
      </c>
      <c r="CV57" s="14">
        <f t="shared" si="41"/>
        <v>23.339358152569286</v>
      </c>
      <c r="CW57" s="22">
        <f t="shared" si="13"/>
        <v>188.57623811572486</v>
      </c>
      <c r="CX57" s="62">
        <f t="shared" si="14"/>
        <v>481.90957144905815</v>
      </c>
      <c r="CY57" s="62">
        <f ca="1">AVERAGE(OFFSET($CX$3,0,0,'Données projet'!$E$13+1,1))-AVERAGE(OFFSET($H$3,0,0,'Données projet'!$E$13+1,1))</f>
        <v>191.79777926975839</v>
      </c>
      <c r="CZ57" s="62">
        <f t="shared" si="42"/>
        <v>156.66161375678712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0.4479999999999999</v>
      </c>
      <c r="DO57" s="13">
        <f>IF('Données projet'!$A$166&gt;35,DO56+DN57-DW56,IF(A57&lt;'Données projet'!$A$166,$DL$205^A57,IF(A57='Données projet'!$A$166,'Données projet'!$B$166,DO56+DN57-DW56)))</f>
        <v>110.28199999999988</v>
      </c>
      <c r="DP57" s="18">
        <f>DO57*VLOOKUP('Données projet'!$B$14,Paramètres!$A$1:$I$89,3,0)*VLOOKUP('Données projet'!$B$14,Paramètres!$A$1:$I$89,5,0)</f>
        <v>120.42794399999987</v>
      </c>
      <c r="DQ57" s="14">
        <f t="shared" si="43"/>
        <v>31.774789515887356</v>
      </c>
      <c r="DR57" s="22">
        <f t="shared" si="16"/>
        <v>265.08642754017023</v>
      </c>
      <c r="DS57" s="62">
        <f t="shared" si="17"/>
        <v>558.41976087350349</v>
      </c>
      <c r="DT57" s="62">
        <f ca="1">AVERAGE(OFFSET($DS$3,0,0,'Données projet'!$E$14+1,1))-AVERAGE(OFFSET($H$3,0,0,'Données projet'!$E$14+1,1))</f>
        <v>541.0854688453461</v>
      </c>
      <c r="DU57" s="62">
        <f t="shared" si="44"/>
        <v>171.04847168584473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15.75</v>
      </c>
      <c r="EJ57" s="13">
        <f>IF('Données projet'!$A$192&gt;35,EJ56+EI57-ER56,IF(A57&lt;'Données projet'!$A$192,$EG$205^A57,IF(A57='Données projet'!$A$192,'Données projet'!$B$192,EJ56+EI57-ER56)))</f>
        <v>260.74999999999989</v>
      </c>
      <c r="EK57" s="18">
        <f>EJ57*VLOOKUP('Données projet'!$B$15,Paramètres!$A$1:$I$89,3,0)*VLOOKUP('Données projet'!$B$15,Paramètres!$A$1:$I$89,5,0)</f>
        <v>155.92849999999993</v>
      </c>
      <c r="EL57" s="14">
        <f t="shared" si="45"/>
        <v>39.922804094929681</v>
      </c>
      <c r="EM57" s="22">
        <f t="shared" si="19"/>
        <v>341.10768796533574</v>
      </c>
      <c r="EN57" s="62">
        <f t="shared" si="20"/>
        <v>634.44102129866906</v>
      </c>
      <c r="EO57" s="62">
        <f ca="1">AVERAGE(OFFSET($EN$3,0,0,'Données projet'!$E$15+1,1))-AVERAGE(OFFSET($H$3,0,0,'Données projet'!$E$15+1,1))</f>
        <v>244.01698421598974</v>
      </c>
      <c r="EP57" s="62">
        <f t="shared" si="46"/>
        <v>156.96653202915024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1.8489792599442181</v>
      </c>
      <c r="EX57" s="23">
        <f>EXP(-LN(2)/2)*EX56+(1-EXP(-LN(2)/2))/(LN(2)/2)*ER57*EU57*VLOOKUP('Données projet'!$B$15,Paramètres!$A$1:$I$89,3,0)*0.475*44/12</f>
        <v>2.4312247730708201E-3</v>
      </c>
      <c r="EY57" s="24">
        <f t="shared" si="21"/>
        <v>1.851410484717289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3.4</v>
      </c>
      <c r="FE57" s="13">
        <f>IF('Données projet'!$A$218&gt;35,FE56+FD57-FM56,IF(A57&lt;'Données projet'!$A$218,$FB$205^A57,IF(A57='Données projet'!$A$218,'Données projet'!$B$218,FE56+FD57-FM56)))</f>
        <v>129.59999999999997</v>
      </c>
      <c r="FF57" s="18">
        <f>FE57*VLOOKUP('Données projet'!$B$16,Paramètres!$A$1:$I$89,3,0)*VLOOKUP('Données projet'!$B$16,Paramètres!$A$1:$I$89,5,0)</f>
        <v>113.21856</v>
      </c>
      <c r="FG57" s="14">
        <f t="shared" si="47"/>
        <v>30.088024911766389</v>
      </c>
      <c r="FH57" s="22">
        <f t="shared" si="22"/>
        <v>249.59230205465974</v>
      </c>
      <c r="FI57" s="62">
        <f t="shared" si="23"/>
        <v>542.925635387993</v>
      </c>
      <c r="FJ57" s="62">
        <f ca="1">AVERAGE(OFFSET($FI$3,0,0,'Données projet'!$E$16+1,1))-AVERAGE(OFFSET($H$3,0,0,'Données projet'!$E$16+1,1))</f>
        <v>175.08726167127026</v>
      </c>
      <c r="FK57" s="62">
        <f t="shared" si="48"/>
        <v>196.05343924817117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3.8</v>
      </c>
      <c r="FZ57" s="13">
        <f>IF('Données projet'!$A$244&gt;35,FZ56+FY57-GH56,IF(A57&lt;'Données projet'!$A$244,$FW$205^A57,IF(A57='Données projet'!$A$244,'Données projet'!$B$244,FZ56+FY57-GH56)))</f>
        <v>139.20000000000002</v>
      </c>
      <c r="GA57" s="18">
        <f>FZ57*VLOOKUP('Données projet'!$B$17,Paramètres!$A$1:$I$89,3,0)*VLOOKUP('Données projet'!$B$17,Paramètres!$A$1:$I$89,5,0)</f>
        <v>91.203840000000014</v>
      </c>
      <c r="GB57" s="14">
        <f t="shared" si="49"/>
        <v>24.855337308022524</v>
      </c>
      <c r="GC57" s="22">
        <f t="shared" si="25"/>
        <v>202.13640047813922</v>
      </c>
      <c r="GD57" s="62">
        <f t="shared" si="26"/>
        <v>495.46973381147257</v>
      </c>
      <c r="GE57" s="62">
        <f ca="1">AVERAGE(OFFSET($GD$3,0,0,'Données projet'!$E$17+1,1))-AVERAGE(OFFSET($H$3,0,0,'Données projet'!$E$17+1,1))</f>
        <v>142.93037460866543</v>
      </c>
      <c r="GF57" s="62">
        <f t="shared" si="50"/>
        <v>146.18554498808049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4</v>
      </c>
      <c r="GU57" s="13">
        <f>IF('Données projet'!$A$270&gt;35,GU56+GT57-HC56,IF(A57&lt;'Données projet'!$A$270,$GR$205^A57,IF(A57='Données projet'!$A$270,'Données projet'!$B$270,GU56+GT57-HC56)))</f>
        <v>101.99999999999999</v>
      </c>
      <c r="GV57" s="18">
        <f>GU57*VLOOKUP('Données projet'!$B$18,Paramètres!$A$1:$I$89,3,0)*VLOOKUP('Données projet'!$B$18,Paramètres!$A$1:$I$89,5,0)</f>
        <v>87.515999999999991</v>
      </c>
      <c r="GW57" s="14">
        <f t="shared" si="51"/>
        <v>23.965171662037644</v>
      </c>
      <c r="GX57" s="22">
        <f t="shared" si="28"/>
        <v>194.16304064471555</v>
      </c>
      <c r="GY57" s="62">
        <f t="shared" si="29"/>
        <v>487.49637397804884</v>
      </c>
      <c r="GZ57" s="62">
        <f ca="1">AVERAGE(OFFSET($GY$3,0,0,'Données projet'!$E$18+1,1))-AVERAGE(OFFSET($H$3,0,0,'Données projet'!$E$18+1,1))</f>
        <v>188.08607733149256</v>
      </c>
      <c r="HA57" s="62">
        <f t="shared" si="52"/>
        <v>119.95698016603842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16.44499999999999</v>
      </c>
      <c r="D58" s="12">
        <f t="shared" si="32"/>
        <v>5.4706584251079367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169.17350363241209</v>
      </c>
      <c r="H58" s="70">
        <f t="shared" si="1"/>
        <v>294.83643842372965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106</v>
      </c>
      <c r="L58" s="13">
        <f>VLOOKUP(A58,'Données projet'!$A$35:$I$55,9,0)</f>
        <v>4</v>
      </c>
      <c r="M58" s="13">
        <f t="array" ref="M58">INDEX(L:L,MIN(IF(ISNUMBER(L58:L254),ROW(L58:L254),"")))</f>
        <v>4</v>
      </c>
      <c r="N58" s="14">
        <f>IF('Données projet'!$A$36&gt;35,N57+M58-V57,IF(A58&lt;'Données projet'!$A$36,$K$205^A58,IF(A58='Données projet'!$A$36,'Données projet'!$B$36,N57+M58-V57)))</f>
        <v>105.99999999999999</v>
      </c>
      <c r="O58" s="14">
        <f>N58*VLOOKUP('Données projet'!$B$9,Paramètres!$A$1:$I$89,3,0)*VLOOKUP('Données projet'!$B$9,Paramètres!$A$1:$I$89,5,0)</f>
        <v>114.09839999999998</v>
      </c>
      <c r="P58" s="14">
        <f t="shared" si="33"/>
        <v>30.294534186150837</v>
      </c>
      <c r="Q58" s="22">
        <f t="shared" si="53"/>
        <v>251.48436037421268</v>
      </c>
      <c r="R58" s="62">
        <f t="shared" si="0"/>
        <v>544.81769370754603</v>
      </c>
      <c r="S58" s="62">
        <f ca="1">AVERAGE(OFFSET($R$3,0,0,'Données projet'!$E$9+1,1))-AVERAGE(OFFSET($H$3,0,0,'Données projet'!$E$9+1,1))</f>
        <v>236.98575892380046</v>
      </c>
      <c r="T58" s="62">
        <f t="shared" si="34"/>
        <v>145.77678223659774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4.9549450549450569</v>
      </c>
      <c r="AI58" s="14">
        <f>IF('Données projet'!$A$62&gt;35,AI57+AH58-AQ57,IF(A58&lt;'Données projet'!$A$62,$AF$205^A58,IF(A58='Données projet'!$A$62,'Données projet'!$B$62,AI57+AH58-AQ57)))</f>
        <v>128.18791208791214</v>
      </c>
      <c r="AJ58" s="14">
        <f>AI58*VLOOKUP('Données projet'!$B$10,Paramètres!$A$1:$I$89,3,0)*VLOOKUP('Données projet'!$B$10,Paramètres!$A$1:$I$89,5,0)</f>
        <v>74.989928571428607</v>
      </c>
      <c r="AK58" s="14">
        <f t="shared" si="35"/>
        <v>20.907623104191963</v>
      </c>
      <c r="AL58" s="22">
        <f t="shared" si="4"/>
        <v>167.02156916837251</v>
      </c>
      <c r="AM58" s="62">
        <f t="shared" si="5"/>
        <v>460.35490250170585</v>
      </c>
      <c r="AN58" s="62">
        <f ca="1">AVERAGE(OFFSET($AM$3,0,0,'Données projet'!$E$10+1,1))-AVERAGE(OFFSET($H$3,0,0,'Données projet'!$E$10+1,1))</f>
        <v>140.04898296125504</v>
      </c>
      <c r="AO58" s="62">
        <f t="shared" si="36"/>
        <v>129.5395511270716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10.542307692307702</v>
      </c>
      <c r="BD58" s="13">
        <f>IF('Données projet'!$A$88&gt;35,BD57+BC58-BL57,IF(A58&lt;'Données projet'!$A$88,$BA$205^A58,IF(A58='Données projet'!$A$88,'Données projet'!$B$88,BD57+BC58-BL57)))</f>
        <v>263.69999999999982</v>
      </c>
      <c r="BE58" s="14">
        <f>BD58*VLOOKUP('Données projet'!$B$11,Paramètres!$A$1:$I$89,3,0)*VLOOKUP('Données projet'!$B$11,Paramètres!$A$1:$I$89,5,0)</f>
        <v>123.41159999999991</v>
      </c>
      <c r="BF58" s="14">
        <f t="shared" si="37"/>
        <v>32.46939610718038</v>
      </c>
      <c r="BG58" s="22">
        <f t="shared" si="7"/>
        <v>271.49273488667239</v>
      </c>
      <c r="BH58" s="62">
        <f t="shared" si="8"/>
        <v>564.82606822000571</v>
      </c>
      <c r="BI58" s="62">
        <f ca="1">AVERAGE(OFFSET($BH$3,0,0,'Données projet'!$E$11+1,1))-AVERAGE(OFFSET($H$3,0,0,'Données projet'!$E$11+1,1))</f>
        <v>207.84100251878419</v>
      </c>
      <c r="BJ58" s="62">
        <f t="shared" si="38"/>
        <v>124.34917784241952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225.5</v>
      </c>
      <c r="BW58" s="13">
        <f>VLOOKUP(A58,'Données projet'!$A$113:$I$133,9,0)</f>
        <v>3.2600000000000025</v>
      </c>
      <c r="BX58" s="13">
        <f t="array" ref="BX58">INDEX(BW:BW,MIN(IF(ISNUMBER(BW58:BW254),ROW(BW58:BW254),"")))</f>
        <v>3.2600000000000025</v>
      </c>
      <c r="BY58" s="13">
        <f>IF('Données projet'!$A$114&gt;35,BY57+BX58-CG57,IF(A58&lt;'Données projet'!$A$114,$BV$205^A58,IF(A58='Données projet'!$A$114,'Données projet'!$B$114,BY57+BX58-CG57)))</f>
        <v>225.49999999999997</v>
      </c>
      <c r="BZ58" s="14">
        <f>BY58*VLOOKUP('Données projet'!$B$12,Paramètres!$A$1:$I$89,3,0)*VLOOKUP('Données projet'!$B$12,Paramètres!$A$1:$I$89,5,0)</f>
        <v>117.25999999999999</v>
      </c>
      <c r="CA58" s="14">
        <f t="shared" si="39"/>
        <v>31.035082738664709</v>
      </c>
      <c r="CB58" s="22">
        <f t="shared" si="10"/>
        <v>258.28060243650765</v>
      </c>
      <c r="CC58" s="62">
        <f t="shared" si="11"/>
        <v>551.61393576984096</v>
      </c>
      <c r="CD58" s="62">
        <f ca="1">AVERAGE(OFFSET($CC$3,0,0,'Données projet'!$E$12+1,1))-AVERAGE(OFFSET($H$3,0,0,'Données projet'!$E$12+1,1))</f>
        <v>211.05980622218578</v>
      </c>
      <c r="CE58" s="62">
        <f t="shared" si="40"/>
        <v>168.57746894604855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1.7724999999999995</v>
      </c>
      <c r="CT58" s="13">
        <f>IF('Données projet'!$A$140&gt;35,CT57+CS58-DB57,IF(A58&lt;'Données projet'!$A$140,$CQ$205^A58,IF(A58='Données projet'!$A$140,'Données projet'!$B$140,CT57+CS58-DB57)))</f>
        <v>75.5</v>
      </c>
      <c r="CU58" s="18">
        <f>CT58*VLOOKUP('Données projet'!$B$13,Paramètres!$A$1:$I$89,3,0)*VLOOKUP('Données projet'!$B$13,Paramètres!$A$1:$I$89,5,0)</f>
        <v>86.975999999999999</v>
      </c>
      <c r="CV58" s="14">
        <f t="shared" si="41"/>
        <v>23.834464663215773</v>
      </c>
      <c r="CW58" s="22">
        <f t="shared" si="13"/>
        <v>192.99489262176746</v>
      </c>
      <c r="CX58" s="62">
        <f t="shared" si="14"/>
        <v>486.32822595510078</v>
      </c>
      <c r="CY58" s="62">
        <f ca="1">AVERAGE(OFFSET($CX$3,0,0,'Données projet'!$E$13+1,1))-AVERAGE(OFFSET($H$3,0,0,'Données projet'!$E$13+1,1))</f>
        <v>191.79777926975839</v>
      </c>
      <c r="CZ58" s="62">
        <f t="shared" si="42"/>
        <v>156.66161375678712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110.73</v>
      </c>
      <c r="DM58" s="13">
        <f>VLOOKUP(A58,'Données projet'!$A$165:$I$185,9,0)</f>
        <v>0.4479999999999999</v>
      </c>
      <c r="DN58" s="13">
        <f t="array" ref="DN58">INDEX(DM:DM,MIN(IF(ISNUMBER(DM58:DM254),ROW(DM58:DM254),"")))</f>
        <v>0.4479999999999999</v>
      </c>
      <c r="DO58" s="13">
        <f>IF('Données projet'!$A$166&gt;35,DO57+DN58-DW57,IF(A58&lt;'Données projet'!$A$166,$DL$205^A58,IF(A58='Données projet'!$A$166,'Données projet'!$B$166,DO57+DN58-DW57)))</f>
        <v>110.72999999999988</v>
      </c>
      <c r="DP58" s="18">
        <f>DO58*VLOOKUP('Données projet'!$B$14,Paramètres!$A$1:$I$89,3,0)*VLOOKUP('Données projet'!$B$14,Paramètres!$A$1:$I$89,5,0)</f>
        <v>120.91715999999987</v>
      </c>
      <c r="DQ58" s="14">
        <f t="shared" si="43"/>
        <v>31.888816919074458</v>
      </c>
      <c r="DR58" s="22">
        <f t="shared" si="16"/>
        <v>266.13707646738777</v>
      </c>
      <c r="DS58" s="62">
        <f t="shared" si="17"/>
        <v>559.47040980072109</v>
      </c>
      <c r="DT58" s="62">
        <f ca="1">AVERAGE(OFFSET($DS$3,0,0,'Données projet'!$E$14+1,1))-AVERAGE(OFFSET($H$3,0,0,'Données projet'!$E$14+1,1))</f>
        <v>541.0854688453461</v>
      </c>
      <c r="DU58" s="62">
        <f t="shared" si="44"/>
        <v>171.04847168584473</v>
      </c>
      <c r="DV58" s="16">
        <f>IF(ISNA(VLOOKUP(A58,'Données projet'!$A$165:$I$185,3,0)),0,VLOOKUP(A58,'Données projet'!$A$165:$I$185,3,0))</f>
        <v>3</v>
      </c>
      <c r="DW58" s="16">
        <f>IF(ISNA(VLOOKUP(A58,'Données projet'!$A$165:$I$185,4,0)),0,VLOOKUP(A58,'Données projet'!$A$165:$I$185,4,0))</f>
        <v>18.309999999999999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15.75</v>
      </c>
      <c r="EJ58" s="13">
        <f>IF('Données projet'!$A$192&gt;35,EJ57+EI58-ER57,IF(A58&lt;'Données projet'!$A$192,$EG$205^A58,IF(A58='Données projet'!$A$192,'Données projet'!$B$192,EJ57+EI58-ER57)))</f>
        <v>276.49999999999989</v>
      </c>
      <c r="EK58" s="18">
        <f>EJ58*VLOOKUP('Données projet'!$B$15,Paramètres!$A$1:$I$89,3,0)*VLOOKUP('Données projet'!$B$15,Paramètres!$A$1:$I$89,5,0)</f>
        <v>165.34699999999995</v>
      </c>
      <c r="EL58" s="14">
        <f t="shared" si="45"/>
        <v>42.046229153073355</v>
      </c>
      <c r="EM58" s="22">
        <f t="shared" si="19"/>
        <v>361.20987410826933</v>
      </c>
      <c r="EN58" s="62">
        <f t="shared" si="20"/>
        <v>654.54320744160259</v>
      </c>
      <c r="EO58" s="62">
        <f ca="1">AVERAGE(OFFSET($EN$3,0,0,'Données projet'!$E$15+1,1))-AVERAGE(OFFSET($H$3,0,0,'Données projet'!$E$15+1,1))</f>
        <v>244.01698421598974</v>
      </c>
      <c r="EP58" s="62">
        <f t="shared" si="46"/>
        <v>156.96653202915024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1.79841882484745</v>
      </c>
      <c r="EX58" s="23">
        <f>EXP(-LN(2)/2)*EX57+(1-EXP(-LN(2)/2))/(LN(2)/2)*ER58*EU58*VLOOKUP('Données projet'!$B$15,Paramètres!$A$1:$I$89,3,0)*0.475*44/12</f>
        <v>1.7191355236271021E-3</v>
      </c>
      <c r="EY58" s="24">
        <f t="shared" si="21"/>
        <v>1.800137960371077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133</v>
      </c>
      <c r="FC58" s="13">
        <f>VLOOKUP(A58,'Données projet'!$A$217:$I$237,9,0)</f>
        <v>3.4</v>
      </c>
      <c r="FD58" s="13">
        <f t="array" ref="FD58">INDEX(FC:FC,MIN(IF(ISNUMBER(FC58:FC254),ROW(FC58:FC254),"")))</f>
        <v>3.4</v>
      </c>
      <c r="FE58" s="13">
        <f>IF('Données projet'!$A$218&gt;35,FE57+FD58-FM57,IF(A58&lt;'Données projet'!$A$218,$FB$205^A58,IF(A58='Données projet'!$A$218,'Données projet'!$B$218,FE57+FD58-FM57)))</f>
        <v>132.99999999999997</v>
      </c>
      <c r="FF58" s="18">
        <f>FE58*VLOOKUP('Données projet'!$B$16,Paramètres!$A$1:$I$89,3,0)*VLOOKUP('Données projet'!$B$16,Paramètres!$A$1:$I$89,5,0)</f>
        <v>116.18879999999999</v>
      </c>
      <c r="FG58" s="14">
        <f t="shared" si="47"/>
        <v>30.784436657961702</v>
      </c>
      <c r="FH58" s="22">
        <f t="shared" si="22"/>
        <v>255.97838717928323</v>
      </c>
      <c r="FI58" s="62">
        <f t="shared" si="23"/>
        <v>549.3117205126166</v>
      </c>
      <c r="FJ58" s="62">
        <f ca="1">AVERAGE(OFFSET($FI$3,0,0,'Données projet'!$E$16+1,1))-AVERAGE(OFFSET($H$3,0,0,'Données projet'!$E$16+1,1))</f>
        <v>175.08726167127026</v>
      </c>
      <c r="FK58" s="62">
        <f t="shared" si="48"/>
        <v>196.05343924817117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143</v>
      </c>
      <c r="FX58" s="13">
        <f>VLOOKUP(A58,'Données projet'!$A$243:$I$263,9,0)</f>
        <v>3.8</v>
      </c>
      <c r="FY58" s="13">
        <f t="array" ref="FY58">INDEX(FX:FX,MIN(IF(ISNUMBER(FX58:FX254),ROW(FX58:FX254),"")))</f>
        <v>3.8</v>
      </c>
      <c r="FZ58" s="13">
        <f>IF('Données projet'!$A$244&gt;35,FZ57+FY58-GH57,IF(A58&lt;'Données projet'!$A$244,$FW$205^A58,IF(A58='Données projet'!$A$244,'Données projet'!$B$244,FZ57+FY58-GH57)))</f>
        <v>143.00000000000003</v>
      </c>
      <c r="GA58" s="18">
        <f>FZ58*VLOOKUP('Données projet'!$B$17,Paramètres!$A$1:$I$89,3,0)*VLOOKUP('Données projet'!$B$17,Paramètres!$A$1:$I$89,5,0)</f>
        <v>93.693600000000018</v>
      </c>
      <c r="GB58" s="14">
        <f t="shared" si="49"/>
        <v>25.453936461054091</v>
      </c>
      <c r="GC58" s="22">
        <f t="shared" si="25"/>
        <v>207.51529266966921</v>
      </c>
      <c r="GD58" s="62">
        <f t="shared" si="26"/>
        <v>500.84862600300255</v>
      </c>
      <c r="GE58" s="62">
        <f ca="1">AVERAGE(OFFSET($GD$3,0,0,'Données projet'!$E$17+1,1))-AVERAGE(OFFSET($H$3,0,0,'Données projet'!$E$17+1,1))</f>
        <v>142.93037460866543</v>
      </c>
      <c r="GF58" s="62">
        <f t="shared" si="50"/>
        <v>146.18554498808049</v>
      </c>
      <c r="GG58" s="16">
        <f>IF(ISNA(VLOOKUP(A58,'Données projet'!$A$243:$I$263,3,0)),0,VLOOKUP(A58,'Données projet'!$A$243:$I$263,3,0))</f>
        <v>4</v>
      </c>
      <c r="GH58" s="16">
        <f>IF(ISNA(VLOOKUP(A58,'Données projet'!$A$243:$I$263,4,0)),0,VLOOKUP(A58,'Données projet'!$A$243:$I$263,4,0))</f>
        <v>29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106</v>
      </c>
      <c r="GS58" s="13">
        <f>VLOOKUP(A58,'Données projet'!$A$269:$I$289,9,0)</f>
        <v>4</v>
      </c>
      <c r="GT58" s="13">
        <f t="array" ref="GT58">INDEX(GS:GS,MIN(IF(ISNUMBER(GS58:GS254),ROW(GS58:GS254),"")))</f>
        <v>4</v>
      </c>
      <c r="GU58" s="13">
        <f>IF('Données projet'!$A$270&gt;35,GU57+GT58-HC57,IF(A58&lt;'Données projet'!$A$270,$GR$205^A58,IF(A58='Données projet'!$A$270,'Données projet'!$B$270,GU57+GT58-HC57)))</f>
        <v>105.99999999999999</v>
      </c>
      <c r="GV58" s="18">
        <f>GU58*VLOOKUP('Données projet'!$B$18,Paramètres!$A$1:$I$89,3,0)*VLOOKUP('Données projet'!$B$18,Paramètres!$A$1:$I$89,5,0)</f>
        <v>90.947999999999993</v>
      </c>
      <c r="GW58" s="14">
        <f t="shared" si="51"/>
        <v>24.793720150223983</v>
      </c>
      <c r="GX58" s="22">
        <f t="shared" si="28"/>
        <v>201.58349592830677</v>
      </c>
      <c r="GY58" s="62">
        <f t="shared" si="29"/>
        <v>494.91682926164009</v>
      </c>
      <c r="GZ58" s="62">
        <f ca="1">AVERAGE(OFFSET($GY$3,0,0,'Données projet'!$E$18+1,1))-AVERAGE(OFFSET($H$3,0,0,'Données projet'!$E$18+1,1))</f>
        <v>188.08607733149256</v>
      </c>
      <c r="HA58" s="62">
        <f t="shared" si="52"/>
        <v>119.95698016603842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16.743999999999989</v>
      </c>
      <c r="D59" s="12">
        <f t="shared" si="32"/>
        <v>5.5584546605089411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172.15929913375314</v>
      </c>
      <c r="H59" s="70">
        <f t="shared" si="1"/>
        <v>295.51010853371974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3.8</v>
      </c>
      <c r="N59" s="14">
        <f>IF('Données projet'!$A$36&gt;35,N58+M59-V58,IF(A59&lt;'Données projet'!$A$36,$K$205^A59,IF(A59='Données projet'!$A$36,'Données projet'!$B$36,N58+M59-V58)))</f>
        <v>109.79999999999998</v>
      </c>
      <c r="O59" s="14">
        <f>N59*VLOOKUP('Données projet'!$B$9,Paramètres!$A$1:$I$89,3,0)*VLOOKUP('Données projet'!$B$9,Paramètres!$A$1:$I$89,5,0)</f>
        <v>118.18871999999999</v>
      </c>
      <c r="P59" s="14">
        <f t="shared" si="33"/>
        <v>31.252174766242543</v>
      </c>
      <c r="Q59" s="22">
        <f t="shared" si="53"/>
        <v>260.27622505120576</v>
      </c>
      <c r="R59" s="62">
        <f t="shared" si="0"/>
        <v>553.60955838453901</v>
      </c>
      <c r="S59" s="62">
        <f ca="1">AVERAGE(OFFSET($R$3,0,0,'Données projet'!$E$9+1,1))-AVERAGE(OFFSET($H$3,0,0,'Données projet'!$E$9+1,1))</f>
        <v>236.98575892380046</v>
      </c>
      <c r="T59" s="62">
        <f t="shared" si="34"/>
        <v>145.77678223659774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4.9549450549450569</v>
      </c>
      <c r="AI59" s="14">
        <f>IF('Données projet'!$A$62&gt;35,AI58+AH59-AQ58,IF(A59&lt;'Données projet'!$A$62,$AF$205^A59,IF(A59='Données projet'!$A$62,'Données projet'!$B$62,AI58+AH59-AQ58)))</f>
        <v>133.1428571428572</v>
      </c>
      <c r="AJ59" s="14">
        <f>AI59*VLOOKUP('Données projet'!$B$10,Paramètres!$A$1:$I$89,3,0)*VLOOKUP('Données projet'!$B$10,Paramètres!$A$1:$I$89,5,0)</f>
        <v>77.888571428571467</v>
      </c>
      <c r="AK59" s="14">
        <f t="shared" si="35"/>
        <v>21.620127965814167</v>
      </c>
      <c r="AL59" s="22">
        <f t="shared" si="4"/>
        <v>173.31098477855497</v>
      </c>
      <c r="AM59" s="62">
        <f t="shared" si="5"/>
        <v>466.64431811188831</v>
      </c>
      <c r="AN59" s="62">
        <f ca="1">AVERAGE(OFFSET($AM$3,0,0,'Données projet'!$E$10+1,1))-AVERAGE(OFFSET($H$3,0,0,'Données projet'!$E$10+1,1))</f>
        <v>140.04898296125504</v>
      </c>
      <c r="AO59" s="62">
        <f t="shared" si="36"/>
        <v>129.5395511270716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10.542307692307702</v>
      </c>
      <c r="BD59" s="13">
        <f>IF('Données projet'!$A$88&gt;35,BD58+BC59-BL58,IF(A59&lt;'Données projet'!$A$88,$BA$205^A59,IF(A59='Données projet'!$A$88,'Données projet'!$B$88,BD58+BC59-BL58)))</f>
        <v>274.24230769230752</v>
      </c>
      <c r="BE59" s="14">
        <f>BD59*VLOOKUP('Données projet'!$B$11,Paramètres!$A$1:$I$89,3,0)*VLOOKUP('Données projet'!$B$11,Paramètres!$A$1:$I$89,5,0)</f>
        <v>128.34539999999993</v>
      </c>
      <c r="BF59" s="14">
        <f t="shared" si="37"/>
        <v>33.61374529088544</v>
      </c>
      <c r="BG59" s="22">
        <f t="shared" si="7"/>
        <v>282.07884471495868</v>
      </c>
      <c r="BH59" s="62">
        <f t="shared" si="8"/>
        <v>575.41217804829193</v>
      </c>
      <c r="BI59" s="62">
        <f ca="1">AVERAGE(OFFSET($BH$3,0,0,'Données projet'!$E$11+1,1))-AVERAGE(OFFSET($H$3,0,0,'Données projet'!$E$11+1,1))</f>
        <v>207.84100251878419</v>
      </c>
      <c r="BJ59" s="62">
        <f t="shared" si="38"/>
        <v>124.34917784241952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3</v>
      </c>
      <c r="BY59" s="13">
        <f>IF('Données projet'!$A$114&gt;35,BY58+BX59-CG58,IF(A59&lt;'Données projet'!$A$114,$BV$205^A59,IF(A59='Données projet'!$A$114,'Données projet'!$B$114,BY58+BX59-CG58)))</f>
        <v>228.49999999999997</v>
      </c>
      <c r="BZ59" s="14">
        <f>BY59*VLOOKUP('Données projet'!$B$12,Paramètres!$A$1:$I$89,3,0)*VLOOKUP('Données projet'!$B$12,Paramètres!$A$1:$I$89,5,0)</f>
        <v>118.82</v>
      </c>
      <c r="CA59" s="14">
        <f t="shared" si="39"/>
        <v>31.399625586642003</v>
      </c>
      <c r="CB59" s="22">
        <f t="shared" si="10"/>
        <v>261.63251456340146</v>
      </c>
      <c r="CC59" s="62">
        <f t="shared" si="11"/>
        <v>554.96584789673477</v>
      </c>
      <c r="CD59" s="62">
        <f ca="1">AVERAGE(OFFSET($CC$3,0,0,'Données projet'!$E$12+1,1))-AVERAGE(OFFSET($H$3,0,0,'Données projet'!$E$12+1,1))</f>
        <v>211.05980622218578</v>
      </c>
      <c r="CE59" s="62">
        <f t="shared" si="40"/>
        <v>168.57746894604855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1.7724999999999995</v>
      </c>
      <c r="CT59" s="13">
        <f>IF('Données projet'!$A$140&gt;35,CT58+CS59-DB58,IF(A59&lt;'Données projet'!$A$140,$CQ$205^A59,IF(A59='Données projet'!$A$140,'Données projet'!$B$140,CT58+CS59-DB58)))</f>
        <v>77.272499999999994</v>
      </c>
      <c r="CU59" s="18">
        <f>CT59*VLOOKUP('Données projet'!$B$13,Paramètres!$A$1:$I$89,3,0)*VLOOKUP('Données projet'!$B$13,Paramètres!$A$1:$I$89,5,0)</f>
        <v>89.017919999999989</v>
      </c>
      <c r="CV59" s="14">
        <f t="shared" si="41"/>
        <v>24.328219911088187</v>
      </c>
      <c r="CW59" s="22">
        <f t="shared" si="13"/>
        <v>197.41119367847855</v>
      </c>
      <c r="CX59" s="62">
        <f t="shared" si="14"/>
        <v>490.7445270118119</v>
      </c>
      <c r="CY59" s="62">
        <f ca="1">AVERAGE(OFFSET($CX$3,0,0,'Données projet'!$E$13+1,1))-AVERAGE(OFFSET($H$3,0,0,'Données projet'!$E$13+1,1))</f>
        <v>191.79777926975839</v>
      </c>
      <c r="CZ59" s="62">
        <f t="shared" si="42"/>
        <v>156.66161375678712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4.373333333333334</v>
      </c>
      <c r="DO59" s="13">
        <f>IF('Données projet'!$A$166&gt;35,DO58+DN59-DW58,IF(A59&lt;'Données projet'!$A$166,$DL$205^A59,IF(A59='Données projet'!$A$166,'Données projet'!$B$166,DO58+DN59-DW58)))</f>
        <v>96.793333333333209</v>
      </c>
      <c r="DP59" s="18">
        <f>DO59*VLOOKUP('Données projet'!$B$14,Paramètres!$A$1:$I$89,3,0)*VLOOKUP('Données projet'!$B$14,Paramètres!$A$1:$I$89,5,0)</f>
        <v>105.69831999999985</v>
      </c>
      <c r="DQ59" s="14">
        <f t="shared" si="43"/>
        <v>28.315134204768217</v>
      </c>
      <c r="DR59" s="22">
        <f t="shared" si="16"/>
        <v>233.4067660733044</v>
      </c>
      <c r="DS59" s="62">
        <f t="shared" si="17"/>
        <v>526.74009940663768</v>
      </c>
      <c r="DT59" s="62">
        <f ca="1">AVERAGE(OFFSET($DS$3,0,0,'Données projet'!$E$14+1,1))-AVERAGE(OFFSET($H$3,0,0,'Données projet'!$E$14+1,1))</f>
        <v>541.0854688453461</v>
      </c>
      <c r="DU59" s="62">
        <f t="shared" si="44"/>
        <v>171.04847168584473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15.75</v>
      </c>
      <c r="EJ59" s="13">
        <f>IF('Données projet'!$A$192&gt;35,EJ58+EI59-ER58,IF(A59&lt;'Données projet'!$A$192,$EG$205^A59,IF(A59='Données projet'!$A$192,'Données projet'!$B$192,EJ58+EI59-ER58)))</f>
        <v>292.24999999999989</v>
      </c>
      <c r="EK59" s="18">
        <f>EJ59*VLOOKUP('Données projet'!$B$15,Paramètres!$A$1:$I$89,3,0)*VLOOKUP('Données projet'!$B$15,Paramètres!$A$1:$I$89,5,0)</f>
        <v>174.76549999999995</v>
      </c>
      <c r="EL59" s="14">
        <f t="shared" si="45"/>
        <v>44.155613654230727</v>
      </c>
      <c r="EM59" s="22">
        <f t="shared" si="19"/>
        <v>381.28760628111837</v>
      </c>
      <c r="EN59" s="62">
        <f t="shared" si="20"/>
        <v>674.62093961445169</v>
      </c>
      <c r="EO59" s="62">
        <f ca="1">AVERAGE(OFFSET($EN$3,0,0,'Données projet'!$E$15+1,1))-AVERAGE(OFFSET($H$3,0,0,'Données projet'!$E$15+1,1))</f>
        <v>244.01698421598974</v>
      </c>
      <c r="EP59" s="62">
        <f t="shared" si="46"/>
        <v>156.96653202915024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1.7492409675072609</v>
      </c>
      <c r="EX59" s="23">
        <f>EXP(-LN(2)/2)*EX58+(1-EXP(-LN(2)/2))/(LN(2)/2)*ER59*EU59*VLOOKUP('Données projet'!$B$15,Paramètres!$A$1:$I$89,3,0)*0.475*44/12</f>
        <v>1.21561238653541E-3</v>
      </c>
      <c r="EY59" s="24">
        <f t="shared" si="21"/>
        <v>1.7504565798937963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3.2</v>
      </c>
      <c r="FE59" s="13">
        <f>IF('Données projet'!$A$218&gt;35,FE58+FD59-FM58,IF(A59&lt;'Données projet'!$A$218,$FB$205^A59,IF(A59='Données projet'!$A$218,'Données projet'!$B$218,FE58+FD59-FM58)))</f>
        <v>136.19999999999996</v>
      </c>
      <c r="FF59" s="18">
        <f>FE59*VLOOKUP('Données projet'!$B$16,Paramètres!$A$1:$I$89,3,0)*VLOOKUP('Données projet'!$B$16,Paramètres!$A$1:$I$89,5,0)</f>
        <v>118.98432</v>
      </c>
      <c r="FG59" s="14">
        <f t="shared" si="47"/>
        <v>31.437991550787316</v>
      </c>
      <c r="FH59" s="22">
        <f t="shared" si="22"/>
        <v>261.98552595095452</v>
      </c>
      <c r="FI59" s="62">
        <f t="shared" si="23"/>
        <v>555.31885928428778</v>
      </c>
      <c r="FJ59" s="62">
        <f ca="1">AVERAGE(OFFSET($FI$3,0,0,'Données projet'!$E$16+1,1))-AVERAGE(OFFSET($H$3,0,0,'Données projet'!$E$16+1,1))</f>
        <v>175.08726167127026</v>
      </c>
      <c r="FK59" s="62">
        <f t="shared" si="48"/>
        <v>196.05343924817117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3.8</v>
      </c>
      <c r="FZ59" s="13">
        <f>IF('Données projet'!$A$244&gt;35,FZ58+FY59-GH58,IF(A59&lt;'Données projet'!$A$244,$FW$205^A59,IF(A59='Données projet'!$A$244,'Données projet'!$B$244,FZ58+FY59-GH58)))</f>
        <v>117.80000000000004</v>
      </c>
      <c r="GA59" s="18">
        <f>FZ59*VLOOKUP('Données projet'!$B$17,Paramètres!$A$1:$I$89,3,0)*VLOOKUP('Données projet'!$B$17,Paramètres!$A$1:$I$89,5,0)</f>
        <v>77.182560000000024</v>
      </c>
      <c r="GB59" s="14">
        <f t="shared" si="49"/>
        <v>21.446874557671695</v>
      </c>
      <c r="GC59" s="22">
        <f t="shared" si="25"/>
        <v>171.77959852127822</v>
      </c>
      <c r="GD59" s="62">
        <f t="shared" si="26"/>
        <v>465.11293185461153</v>
      </c>
      <c r="GE59" s="62">
        <f ca="1">AVERAGE(OFFSET($GD$3,0,0,'Données projet'!$E$17+1,1))-AVERAGE(OFFSET($H$3,0,0,'Données projet'!$E$17+1,1))</f>
        <v>142.93037460866543</v>
      </c>
      <c r="GF59" s="62">
        <f t="shared" si="50"/>
        <v>146.18554498808049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3.8</v>
      </c>
      <c r="GU59" s="13">
        <f>IF('Données projet'!$A$270&gt;35,GU58+GT59-HC58,IF(A59&lt;'Données projet'!$A$270,$GR$205^A59,IF(A59='Données projet'!$A$270,'Données projet'!$B$270,GU58+GT59-HC58)))</f>
        <v>109.79999999999998</v>
      </c>
      <c r="GV59" s="18">
        <f>GU59*VLOOKUP('Données projet'!$B$18,Paramètres!$A$1:$I$89,3,0)*VLOOKUP('Données projet'!$B$18,Paramètres!$A$1:$I$89,5,0)</f>
        <v>94.208399999999997</v>
      </c>
      <c r="GW59" s="14">
        <f t="shared" si="51"/>
        <v>25.577474486943462</v>
      </c>
      <c r="GX59" s="22">
        <f t="shared" si="28"/>
        <v>208.62706473142649</v>
      </c>
      <c r="GY59" s="62">
        <f t="shared" si="29"/>
        <v>501.96039806475983</v>
      </c>
      <c r="GZ59" s="62">
        <f ca="1">AVERAGE(OFFSET($GY$3,0,0,'Données projet'!$E$18+1,1))-AVERAGE(OFFSET($H$3,0,0,'Données projet'!$E$18+1,1))</f>
        <v>188.08607733149256</v>
      </c>
      <c r="HA59" s="62">
        <f t="shared" si="52"/>
        <v>119.95698016603842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17.042999999999989</v>
      </c>
      <c r="D60" s="12">
        <f t="shared" si="32"/>
        <v>5.646068584448976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175.14368731855339</v>
      </c>
      <c r="H60" s="70">
        <f t="shared" si="1"/>
        <v>296.18346111791527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3.8</v>
      </c>
      <c r="N60" s="14">
        <f>IF('Données projet'!$A$36&gt;35,N59+M60-V59,IF(A60&lt;'Données projet'!$A$36,$K$205^A60,IF(A60='Données projet'!$A$36,'Données projet'!$B$36,N59+M60-V59)))</f>
        <v>113.59999999999998</v>
      </c>
      <c r="O60" s="14">
        <f>N60*VLOOKUP('Données projet'!$B$9,Paramètres!$A$1:$I$89,3,0)*VLOOKUP('Données projet'!$B$9,Paramètres!$A$1:$I$89,5,0)</f>
        <v>122.27903999999998</v>
      </c>
      <c r="P60" s="14">
        <f t="shared" si="33"/>
        <v>32.205964520250909</v>
      </c>
      <c r="Q60" s="22">
        <f t="shared" si="53"/>
        <v>269.06138287277031</v>
      </c>
      <c r="R60" s="62">
        <f t="shared" si="0"/>
        <v>562.39471620610357</v>
      </c>
      <c r="S60" s="62">
        <f ca="1">AVERAGE(OFFSET($R$3,0,0,'Données projet'!$E$9+1,1))-AVERAGE(OFFSET($H$3,0,0,'Données projet'!$E$9+1,1))</f>
        <v>236.98575892380046</v>
      </c>
      <c r="T60" s="62">
        <f t="shared" si="34"/>
        <v>145.77678223659774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4.9549450549450569</v>
      </c>
      <c r="AI60" s="14">
        <f>IF('Données projet'!$A$62&gt;35,AI59+AH60-AQ59,IF(A60&lt;'Données projet'!$A$62,$AF$205^A60,IF(A60='Données projet'!$A$62,'Données projet'!$B$62,AI59+AH60-AQ59)))</f>
        <v>138.09780219780225</v>
      </c>
      <c r="AJ60" s="14">
        <f>AI60*VLOOKUP('Données projet'!$B$10,Paramètres!$A$1:$I$89,3,0)*VLOOKUP('Données projet'!$B$10,Paramètres!$A$1:$I$89,5,0)</f>
        <v>80.787214285714327</v>
      </c>
      <c r="AK60" s="14">
        <f t="shared" si="35"/>
        <v>22.329552283741958</v>
      </c>
      <c r="AL60" s="22">
        <f t="shared" si="4"/>
        <v>179.59503510846969</v>
      </c>
      <c r="AM60" s="62">
        <f t="shared" si="5"/>
        <v>472.928368441803</v>
      </c>
      <c r="AN60" s="62">
        <f ca="1">AVERAGE(OFFSET($AM$3,0,0,'Données projet'!$E$10+1,1))-AVERAGE(OFFSET($H$3,0,0,'Données projet'!$E$10+1,1))</f>
        <v>140.04898296125504</v>
      </c>
      <c r="AO60" s="62">
        <f t="shared" si="36"/>
        <v>129.5395511270716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>
        <f>VLOOKUP(A60,'Données projet'!$A$87:$I$107,2,0)</f>
        <v>284.78461538461539</v>
      </c>
      <c r="BB60" s="13">
        <f>VLOOKUP(A60,'Données projet'!$A$87:$I$107,9,0)</f>
        <v>10.542307692307702</v>
      </c>
      <c r="BC60" s="13">
        <f t="array" ref="BC60">INDEX(BB:BB,MIN(IF(ISNUMBER(BB60:BB256),ROW(BB60:BB256),"")))</f>
        <v>10.542307692307702</v>
      </c>
      <c r="BD60" s="13">
        <f>IF('Données projet'!$A$88&gt;35,BD59+BC60-BL59,IF(A60&lt;'Données projet'!$A$88,$BA$205^A60,IF(A60='Données projet'!$A$88,'Données projet'!$B$88,BD59+BC60-BL59)))</f>
        <v>284.78461538461522</v>
      </c>
      <c r="BE60" s="14">
        <f>BD60*VLOOKUP('Données projet'!$B$11,Paramètres!$A$1:$I$89,3,0)*VLOOKUP('Données projet'!$B$11,Paramètres!$A$1:$I$89,5,0)</f>
        <v>133.27919999999992</v>
      </c>
      <c r="BF60" s="14">
        <f t="shared" si="37"/>
        <v>34.752984079426945</v>
      </c>
      <c r="BG60" s="22">
        <f t="shared" si="7"/>
        <v>292.65605393833511</v>
      </c>
      <c r="BH60" s="62">
        <f t="shared" si="8"/>
        <v>585.98938727166842</v>
      </c>
      <c r="BI60" s="62">
        <f ca="1">AVERAGE(OFFSET($BH$3,0,0,'Données projet'!$E$11+1,1))-AVERAGE(OFFSET($H$3,0,0,'Données projet'!$E$11+1,1))</f>
        <v>207.84100251878419</v>
      </c>
      <c r="BJ60" s="62">
        <f t="shared" si="38"/>
        <v>124.34917784241952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3</v>
      </c>
      <c r="BY60" s="13">
        <f>IF('Données projet'!$A$114&gt;35,BY59+BX60-CG59,IF(A60&lt;'Données projet'!$A$114,$BV$205^A60,IF(A60='Données projet'!$A$114,'Données projet'!$B$114,BY59+BX60-CG59)))</f>
        <v>231.49999999999997</v>
      </c>
      <c r="BZ60" s="14">
        <f>BY60*VLOOKUP('Données projet'!$B$12,Paramètres!$A$1:$I$89,3,0)*VLOOKUP('Données projet'!$B$12,Paramètres!$A$1:$I$89,5,0)</f>
        <v>120.38</v>
      </c>
      <c r="CA60" s="14">
        <f t="shared" si="39"/>
        <v>31.763611738750697</v>
      </c>
      <c r="CB60" s="22">
        <f t="shared" si="10"/>
        <v>264.9834571116574</v>
      </c>
      <c r="CC60" s="62">
        <f t="shared" si="11"/>
        <v>558.31679044499072</v>
      </c>
      <c r="CD60" s="62">
        <f ca="1">AVERAGE(OFFSET($CC$3,0,0,'Données projet'!$E$12+1,1))-AVERAGE(OFFSET($H$3,0,0,'Données projet'!$E$12+1,1))</f>
        <v>211.05980622218578</v>
      </c>
      <c r="CE60" s="62">
        <f t="shared" si="40"/>
        <v>168.57746894604855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1.7724999999999995</v>
      </c>
      <c r="CT60" s="13">
        <f>IF('Données projet'!$A$140&gt;35,CT59+CS60-DB59,IF(A60&lt;'Données projet'!$A$140,$CQ$205^A60,IF(A60='Données projet'!$A$140,'Données projet'!$B$140,CT59+CS60-DB59)))</f>
        <v>79.044999999999987</v>
      </c>
      <c r="CU60" s="18">
        <f>CT60*VLOOKUP('Données projet'!$B$13,Paramètres!$A$1:$I$89,3,0)*VLOOKUP('Données projet'!$B$13,Paramètres!$A$1:$I$89,5,0)</f>
        <v>91.05983999999998</v>
      </c>
      <c r="CV60" s="14">
        <f t="shared" si="41"/>
        <v>24.820658459728463</v>
      </c>
      <c r="CW60" s="22">
        <f t="shared" si="13"/>
        <v>201.82520148402705</v>
      </c>
      <c r="CX60" s="62">
        <f t="shared" si="14"/>
        <v>495.15853481736036</v>
      </c>
      <c r="CY60" s="62">
        <f ca="1">AVERAGE(OFFSET($CX$3,0,0,'Données projet'!$E$13+1,1))-AVERAGE(OFFSET($H$3,0,0,'Données projet'!$E$13+1,1))</f>
        <v>191.79777926975839</v>
      </c>
      <c r="CZ60" s="62">
        <f t="shared" si="42"/>
        <v>156.66161375678712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4.373333333333334</v>
      </c>
      <c r="DO60" s="13">
        <f>IF('Données projet'!$A$166&gt;35,DO59+DN60-DW59,IF(A60&lt;'Données projet'!$A$166,$DL$205^A60,IF(A60='Données projet'!$A$166,'Données projet'!$B$166,DO59+DN60-DW59)))</f>
        <v>101.16666666666654</v>
      </c>
      <c r="DP60" s="18">
        <f>DO60*VLOOKUP('Données projet'!$B$14,Paramètres!$A$1:$I$89,3,0)*VLOOKUP('Données projet'!$B$14,Paramètres!$A$1:$I$89,5,0)</f>
        <v>110.47399999999986</v>
      </c>
      <c r="DQ60" s="14">
        <f t="shared" si="43"/>
        <v>29.442634706783743</v>
      </c>
      <c r="DR60" s="22">
        <f t="shared" si="16"/>
        <v>243.68813878098146</v>
      </c>
      <c r="DS60" s="62">
        <f t="shared" si="17"/>
        <v>537.02147211431475</v>
      </c>
      <c r="DT60" s="62">
        <f ca="1">AVERAGE(OFFSET($DS$3,0,0,'Données projet'!$E$14+1,1))-AVERAGE(OFFSET($H$3,0,0,'Données projet'!$E$14+1,1))</f>
        <v>541.0854688453461</v>
      </c>
      <c r="DU60" s="62">
        <f t="shared" si="44"/>
        <v>171.04847168584473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>
        <f>VLOOKUP(A60,'Données projet'!$A$191:$I$211,2,0)</f>
        <v>308</v>
      </c>
      <c r="EH60" s="13">
        <f>VLOOKUP(A60,'Données projet'!$A$191:$I$211,9,0)</f>
        <v>15.75</v>
      </c>
      <c r="EI60" s="13">
        <f t="array" ref="EI60">INDEX(EH:EH,MIN(IF(ISNUMBER(EH60:EH256),ROW(EH60:EH256),"")))</f>
        <v>15.75</v>
      </c>
      <c r="EJ60" s="13">
        <f>IF('Données projet'!$A$192&gt;35,EJ59+EI60-ER59,IF(A60&lt;'Données projet'!$A$192,$EG$205^A60,IF(A60='Données projet'!$A$192,'Données projet'!$B$192,EJ59+EI60-ER59)))</f>
        <v>307.99999999999989</v>
      </c>
      <c r="EK60" s="18">
        <f>EJ60*VLOOKUP('Données projet'!$B$15,Paramètres!$A$1:$I$89,3,0)*VLOOKUP('Données projet'!$B$15,Paramètres!$A$1:$I$89,5,0)</f>
        <v>184.18399999999994</v>
      </c>
      <c r="EL60" s="14">
        <f t="shared" si="45"/>
        <v>46.251800545659314</v>
      </c>
      <c r="EM60" s="22">
        <f t="shared" si="19"/>
        <v>401.34235261702315</v>
      </c>
      <c r="EN60" s="62">
        <f t="shared" si="20"/>
        <v>694.67568595035641</v>
      </c>
      <c r="EO60" s="62">
        <f ca="1">AVERAGE(OFFSET($EN$3,0,0,'Données projet'!$E$15+1,1))-AVERAGE(OFFSET($H$3,0,0,'Données projet'!$E$15+1,1))</f>
        <v>244.01698421598974</v>
      </c>
      <c r="EP60" s="62">
        <f t="shared" si="46"/>
        <v>156.96653202915024</v>
      </c>
      <c r="EQ60" s="16">
        <f>IF(ISNA(VLOOKUP(A60,'Données projet'!$A$191:$I$211,3,0)),0,VLOOKUP(A60,'Données projet'!$A$191:$I$211,3,0))</f>
        <v>4</v>
      </c>
      <c r="ER60" s="16">
        <f>IF(ISNA(VLOOKUP(A60,'Données projet'!$A$191:$I$211,4,0)),0,VLOOKUP(A60,'Données projet'!$A$191:$I$211,4,0))</f>
        <v>98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1.7014078812621902</v>
      </c>
      <c r="EX60" s="23">
        <f>EXP(-LN(2)/2)*EX59+(1-EXP(-LN(2)/2))/(LN(2)/2)*ER60*EU60*VLOOKUP('Données projet'!$B$15,Paramètres!$A$1:$I$89,3,0)*0.475*44/12</f>
        <v>8.5956776181355104E-4</v>
      </c>
      <c r="EY60" s="24">
        <f t="shared" si="21"/>
        <v>1.7022674490240037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3.2</v>
      </c>
      <c r="FE60" s="13">
        <f>IF('Données projet'!$A$218&gt;35,FE59+FD60-FM59,IF(A60&lt;'Données projet'!$A$218,$FB$205^A60,IF(A60='Données projet'!$A$218,'Données projet'!$B$218,FE59+FD60-FM59)))</f>
        <v>139.39999999999995</v>
      </c>
      <c r="FF60" s="18">
        <f>FE60*VLOOKUP('Données projet'!$B$16,Paramètres!$A$1:$I$89,3,0)*VLOOKUP('Données projet'!$B$16,Paramètres!$A$1:$I$89,5,0)</f>
        <v>121.77983999999996</v>
      </c>
      <c r="FG60" s="14">
        <f t="shared" si="47"/>
        <v>32.089761368755156</v>
      </c>
      <c r="FH60" s="22">
        <f t="shared" si="22"/>
        <v>267.98955571724849</v>
      </c>
      <c r="FI60" s="62">
        <f t="shared" si="23"/>
        <v>561.32288905058181</v>
      </c>
      <c r="FJ60" s="62">
        <f ca="1">AVERAGE(OFFSET($FI$3,0,0,'Données projet'!$E$16+1,1))-AVERAGE(OFFSET($H$3,0,0,'Données projet'!$E$16+1,1))</f>
        <v>175.08726167127026</v>
      </c>
      <c r="FK60" s="62">
        <f t="shared" si="48"/>
        <v>196.05343924817117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3.8</v>
      </c>
      <c r="FZ60" s="13">
        <f>IF('Données projet'!$A$244&gt;35,FZ59+FY60-GH59,IF(A60&lt;'Données projet'!$A$244,$FW$205^A60,IF(A60='Données projet'!$A$244,'Données projet'!$B$244,FZ59+FY60-GH59)))</f>
        <v>121.60000000000004</v>
      </c>
      <c r="GA60" s="18">
        <f>FZ60*VLOOKUP('Données projet'!$B$17,Paramètres!$A$1:$I$89,3,0)*VLOOKUP('Données projet'!$B$17,Paramètres!$A$1:$I$89,5,0)</f>
        <v>79.672320000000028</v>
      </c>
      <c r="GB60" s="14">
        <f t="shared" si="49"/>
        <v>22.057045536520672</v>
      </c>
      <c r="GC60" s="22">
        <f t="shared" si="25"/>
        <v>177.17864497610688</v>
      </c>
      <c r="GD60" s="62">
        <f t="shared" si="26"/>
        <v>470.51197830944022</v>
      </c>
      <c r="GE60" s="62">
        <f ca="1">AVERAGE(OFFSET($GD$3,0,0,'Données projet'!$E$17+1,1))-AVERAGE(OFFSET($H$3,0,0,'Données projet'!$E$17+1,1))</f>
        <v>142.93037460866543</v>
      </c>
      <c r="GF60" s="62">
        <f t="shared" si="50"/>
        <v>146.18554498808049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3.8</v>
      </c>
      <c r="GU60" s="13">
        <f>IF('Données projet'!$A$270&gt;35,GU59+GT60-HC59,IF(A60&lt;'Données projet'!$A$270,$GR$205^A60,IF(A60='Données projet'!$A$270,'Données projet'!$B$270,GU59+GT60-HC59)))</f>
        <v>113.59999999999998</v>
      </c>
      <c r="GV60" s="18">
        <f>GU60*VLOOKUP('Données projet'!$B$18,Paramètres!$A$1:$I$89,3,0)*VLOOKUP('Données projet'!$B$18,Paramètres!$A$1:$I$89,5,0)</f>
        <v>97.468800000000002</v>
      </c>
      <c r="GW60" s="14">
        <f t="shared" si="51"/>
        <v>26.358077222002024</v>
      </c>
      <c r="GX60" s="22">
        <f t="shared" si="28"/>
        <v>215.66514449498686</v>
      </c>
      <c r="GY60" s="62">
        <f t="shared" si="29"/>
        <v>508.99847782832018</v>
      </c>
      <c r="GZ60" s="62">
        <f ca="1">AVERAGE(OFFSET($GY$3,0,0,'Données projet'!$E$18+1,1))-AVERAGE(OFFSET($H$3,0,0,'Données projet'!$E$18+1,1))</f>
        <v>188.08607733149256</v>
      </c>
      <c r="HA60" s="62">
        <f t="shared" si="52"/>
        <v>119.95698016603842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17.341999999999988</v>
      </c>
      <c r="D61" s="12">
        <f t="shared" si="32"/>
        <v>5.7335037643993934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178.12669572518823</v>
      </c>
      <c r="H61" s="70">
        <f t="shared" si="1"/>
        <v>296.8565023896623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3.8</v>
      </c>
      <c r="N61" s="14">
        <f>IF('Données projet'!$A$36&gt;35,N60+M61-V60,IF(A61&lt;'Données projet'!$A$36,$K$205^A61,IF(A61='Données projet'!$A$36,'Données projet'!$B$36,N60+M61-V60)))</f>
        <v>117.39999999999998</v>
      </c>
      <c r="O61" s="14">
        <f>N61*VLOOKUP('Données projet'!$B$9,Paramètres!$A$1:$I$89,3,0)*VLOOKUP('Données projet'!$B$9,Paramètres!$A$1:$I$89,5,0)</f>
        <v>126.36935999999996</v>
      </c>
      <c r="P61" s="14">
        <f t="shared" si="33"/>
        <v>33.156047029622066</v>
      </c>
      <c r="Q61" s="22">
        <f t="shared" si="53"/>
        <v>277.840083909925</v>
      </c>
      <c r="R61" s="62">
        <f t="shared" si="0"/>
        <v>571.17341724325831</v>
      </c>
      <c r="S61" s="62">
        <f ca="1">AVERAGE(OFFSET($R$3,0,0,'Données projet'!$E$9+1,1))-AVERAGE(OFFSET($H$3,0,0,'Données projet'!$E$9+1,1))</f>
        <v>236.98575892380046</v>
      </c>
      <c r="T61" s="62">
        <f t="shared" si="34"/>
        <v>145.77678223659774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4.9549450549450569</v>
      </c>
      <c r="AI61" s="14">
        <f>IF('Données projet'!$A$62&gt;35,AI60+AH61-AQ60,IF(A61&lt;'Données projet'!$A$62,$AF$205^A61,IF(A61='Données projet'!$A$62,'Données projet'!$B$62,AI60+AH61-AQ60)))</f>
        <v>143.05274725274731</v>
      </c>
      <c r="AJ61" s="14">
        <f>AI61*VLOOKUP('Données projet'!$B$10,Paramètres!$A$1:$I$89,3,0)*VLOOKUP('Données projet'!$B$10,Paramètres!$A$1:$I$89,5,0)</f>
        <v>83.685857142857188</v>
      </c>
      <c r="AK61" s="14">
        <f t="shared" si="35"/>
        <v>23.036019249899919</v>
      </c>
      <c r="AL61" s="22">
        <f t="shared" si="4"/>
        <v>185.87393471738528</v>
      </c>
      <c r="AM61" s="62">
        <f t="shared" si="5"/>
        <v>479.2072680507186</v>
      </c>
      <c r="AN61" s="62">
        <f ca="1">AVERAGE(OFFSET($AM$3,0,0,'Données projet'!$E$10+1,1))-AVERAGE(OFFSET($H$3,0,0,'Données projet'!$E$10+1,1))</f>
        <v>140.04898296125504</v>
      </c>
      <c r="AO61" s="62">
        <f t="shared" si="36"/>
        <v>129.5395511270716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10.984615384615381</v>
      </c>
      <c r="BD61" s="13">
        <f>IF('Données projet'!$A$88&gt;35,BD60+BC61-BL60,IF(A61&lt;'Données projet'!$A$88,$BA$205^A61,IF(A61='Données projet'!$A$88,'Données projet'!$B$88,BD60+BC61-BL60)))</f>
        <v>295.7692307692306</v>
      </c>
      <c r="BE61" s="14">
        <f>BD61*VLOOKUP('Données projet'!$B$11,Paramètres!$A$1:$I$89,3,0)*VLOOKUP('Données projet'!$B$11,Paramètres!$A$1:$I$89,5,0)</f>
        <v>138.41999999999993</v>
      </c>
      <c r="BF61" s="14">
        <f t="shared" si="37"/>
        <v>35.934810934702796</v>
      </c>
      <c r="BG61" s="22">
        <f t="shared" si="7"/>
        <v>303.66796237794057</v>
      </c>
      <c r="BH61" s="62">
        <f t="shared" si="8"/>
        <v>597.00129571127388</v>
      </c>
      <c r="BI61" s="62">
        <f ca="1">AVERAGE(OFFSET($BH$3,0,0,'Données projet'!$E$11+1,1))-AVERAGE(OFFSET($H$3,0,0,'Données projet'!$E$11+1,1))</f>
        <v>207.84100251878419</v>
      </c>
      <c r="BJ61" s="62">
        <f t="shared" si="38"/>
        <v>124.34917784241952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3</v>
      </c>
      <c r="BY61" s="13">
        <f>IF('Données projet'!$A$114&gt;35,BY60+BX61-CG60,IF(A61&lt;'Données projet'!$A$114,$BV$205^A61,IF(A61='Données projet'!$A$114,'Données projet'!$B$114,BY60+BX61-CG60)))</f>
        <v>234.49999999999997</v>
      </c>
      <c r="BZ61" s="14">
        <f>BY61*VLOOKUP('Données projet'!$B$12,Paramètres!$A$1:$I$89,3,0)*VLOOKUP('Données projet'!$B$12,Paramètres!$A$1:$I$89,5,0)</f>
        <v>121.94</v>
      </c>
      <c r="CA61" s="14">
        <f t="shared" si="39"/>
        <v>32.127049243307034</v>
      </c>
      <c r="CB61" s="22">
        <f t="shared" si="10"/>
        <v>268.33344409875974</v>
      </c>
      <c r="CC61" s="62">
        <f t="shared" si="11"/>
        <v>561.66677743209311</v>
      </c>
      <c r="CD61" s="62">
        <f ca="1">AVERAGE(OFFSET($CC$3,0,0,'Données projet'!$E$12+1,1))-AVERAGE(OFFSET($H$3,0,0,'Données projet'!$E$12+1,1))</f>
        <v>211.05980622218578</v>
      </c>
      <c r="CE61" s="62">
        <f t="shared" si="40"/>
        <v>168.57746894604855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1.7724999999999995</v>
      </c>
      <c r="CT61" s="13">
        <f>IF('Données projet'!$A$140&gt;35,CT60+CS61-DB60,IF(A61&lt;'Données projet'!$A$140,$CQ$205^A61,IF(A61='Données projet'!$A$140,'Données projet'!$B$140,CT60+CS61-DB60)))</f>
        <v>80.817499999999981</v>
      </c>
      <c r="CU61" s="18">
        <f>CT61*VLOOKUP('Données projet'!$B$13,Paramètres!$A$1:$I$89,3,0)*VLOOKUP('Données projet'!$B$13,Paramètres!$A$1:$I$89,5,0)</f>
        <v>93.10175999999997</v>
      </c>
      <c r="CV61" s="14">
        <f t="shared" si="41"/>
        <v>25.311813234087357</v>
      </c>
      <c r="CW61" s="22">
        <f t="shared" si="13"/>
        <v>206.23697338270208</v>
      </c>
      <c r="CX61" s="62">
        <f t="shared" si="14"/>
        <v>499.57030671603536</v>
      </c>
      <c r="CY61" s="62">
        <f ca="1">AVERAGE(OFFSET($CX$3,0,0,'Données projet'!$E$13+1,1))-AVERAGE(OFFSET($H$3,0,0,'Données projet'!$E$13+1,1))</f>
        <v>191.79777926975839</v>
      </c>
      <c r="CZ61" s="62">
        <f t="shared" si="42"/>
        <v>156.66161375678712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4.373333333333334</v>
      </c>
      <c r="DO61" s="13">
        <f>IF('Données projet'!$A$166&gt;35,DO60+DN61-DW60,IF(A61&lt;'Données projet'!$A$166,$DL$205^A61,IF(A61='Données projet'!$A$166,'Données projet'!$B$166,DO60+DN61-DW60)))</f>
        <v>105.53999999999988</v>
      </c>
      <c r="DP61" s="18">
        <f>DO61*VLOOKUP('Données projet'!$B$14,Paramètres!$A$1:$I$89,3,0)*VLOOKUP('Données projet'!$B$14,Paramètres!$A$1:$I$89,5,0)</f>
        <v>115.24967999999987</v>
      </c>
      <c r="DQ61" s="14">
        <f t="shared" si="43"/>
        <v>30.564474177791013</v>
      </c>
      <c r="DR61" s="22">
        <f t="shared" si="16"/>
        <v>253.95965185965247</v>
      </c>
      <c r="DS61" s="62">
        <f t="shared" si="17"/>
        <v>547.29298519298573</v>
      </c>
      <c r="DT61" s="62">
        <f ca="1">AVERAGE(OFFSET($DS$3,0,0,'Données projet'!$E$14+1,1))-AVERAGE(OFFSET($H$3,0,0,'Données projet'!$E$14+1,1))</f>
        <v>541.0854688453461</v>
      </c>
      <c r="DU61" s="62">
        <f t="shared" si="44"/>
        <v>171.04847168584473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12.8</v>
      </c>
      <c r="EJ61" s="13">
        <f>IF('Données projet'!$A$192&gt;35,EJ60+EI61-ER60,IF(A61&lt;'Données projet'!$A$192,$EG$205^A61,IF(A61='Données projet'!$A$192,'Données projet'!$B$192,EJ60+EI61-ER60)))</f>
        <v>222.7999999999999</v>
      </c>
      <c r="EK61" s="18">
        <f>EJ61*VLOOKUP('Données projet'!$B$15,Paramètres!$A$1:$I$89,3,0)*VLOOKUP('Données projet'!$B$15,Paramètres!$A$1:$I$89,5,0)</f>
        <v>133.23439999999994</v>
      </c>
      <c r="EL61" s="14">
        <f t="shared" si="45"/>
        <v>34.74266188720091</v>
      </c>
      <c r="EM61" s="22">
        <f t="shared" si="19"/>
        <v>292.56004945354147</v>
      </c>
      <c r="EN61" s="62">
        <f t="shared" si="20"/>
        <v>585.89338278687478</v>
      </c>
      <c r="EO61" s="62">
        <f ca="1">AVERAGE(OFFSET($EN$3,0,0,'Données projet'!$E$15+1,1))-AVERAGE(OFFSET($H$3,0,0,'Données projet'!$E$15+1,1))</f>
        <v>244.01698421598974</v>
      </c>
      <c r="EP61" s="62">
        <f t="shared" si="46"/>
        <v>156.96653202915024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1.6548827932759238</v>
      </c>
      <c r="EX61" s="23">
        <f>EXP(-LN(2)/2)*EX60+(1-EXP(-LN(2)/2))/(LN(2)/2)*ER61*EU61*VLOOKUP('Données projet'!$B$15,Paramètres!$A$1:$I$89,3,0)*0.475*44/12</f>
        <v>6.0780619326770502E-4</v>
      </c>
      <c r="EY61" s="24">
        <f t="shared" si="21"/>
        <v>1.6554905994691915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3.2</v>
      </c>
      <c r="FE61" s="13">
        <f>IF('Données projet'!$A$218&gt;35,FE60+FD61-FM60,IF(A61&lt;'Données projet'!$A$218,$FB$205^A61,IF(A61='Données projet'!$A$218,'Données projet'!$B$218,FE60+FD61-FM60)))</f>
        <v>142.59999999999994</v>
      </c>
      <c r="FF61" s="18">
        <f>FE61*VLOOKUP('Données projet'!$B$16,Paramètres!$A$1:$I$89,3,0)*VLOOKUP('Données projet'!$B$16,Paramètres!$A$1:$I$89,5,0)</f>
        <v>124.57535999999995</v>
      </c>
      <c r="FG61" s="14">
        <f t="shared" si="47"/>
        <v>32.739791806000952</v>
      </c>
      <c r="FH61" s="22">
        <f t="shared" si="22"/>
        <v>273.99055606211817</v>
      </c>
      <c r="FI61" s="62">
        <f t="shared" si="23"/>
        <v>567.32388939545149</v>
      </c>
      <c r="FJ61" s="62">
        <f ca="1">AVERAGE(OFFSET($FI$3,0,0,'Données projet'!$E$16+1,1))-AVERAGE(OFFSET($H$3,0,0,'Données projet'!$E$16+1,1))</f>
        <v>175.08726167127026</v>
      </c>
      <c r="FK61" s="62">
        <f t="shared" si="48"/>
        <v>196.05343924817117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3.8</v>
      </c>
      <c r="FZ61" s="13">
        <f>IF('Données projet'!$A$244&gt;35,FZ60+FY61-GH60,IF(A61&lt;'Données projet'!$A$244,$FW$205^A61,IF(A61='Données projet'!$A$244,'Données projet'!$B$244,FZ60+FY61-GH60)))</f>
        <v>125.40000000000003</v>
      </c>
      <c r="GA61" s="18">
        <f>FZ61*VLOOKUP('Données projet'!$B$17,Paramètres!$A$1:$I$89,3,0)*VLOOKUP('Données projet'!$B$17,Paramètres!$A$1:$I$89,5,0)</f>
        <v>82.162080000000017</v>
      </c>
      <c r="GB61" s="14">
        <f t="shared" si="49"/>
        <v>22.665000669215523</v>
      </c>
      <c r="GC61" s="22">
        <f t="shared" si="25"/>
        <v>182.57383216555039</v>
      </c>
      <c r="GD61" s="62">
        <f t="shared" si="26"/>
        <v>475.90716549888373</v>
      </c>
      <c r="GE61" s="62">
        <f ca="1">AVERAGE(OFFSET($GD$3,0,0,'Données projet'!$E$17+1,1))-AVERAGE(OFFSET($H$3,0,0,'Données projet'!$E$17+1,1))</f>
        <v>142.93037460866543</v>
      </c>
      <c r="GF61" s="62">
        <f t="shared" si="50"/>
        <v>146.18554498808049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3.8</v>
      </c>
      <c r="GU61" s="13">
        <f>IF('Données projet'!$A$270&gt;35,GU60+GT61-HC60,IF(A61&lt;'Données projet'!$A$270,$GR$205^A61,IF(A61='Données projet'!$A$270,'Données projet'!$B$270,GU60+GT61-HC60)))</f>
        <v>117.39999999999998</v>
      </c>
      <c r="GV61" s="18">
        <f>GU61*VLOOKUP('Données projet'!$B$18,Paramètres!$A$1:$I$89,3,0)*VLOOKUP('Données projet'!$B$18,Paramètres!$A$1:$I$89,5,0)</f>
        <v>100.72919999999999</v>
      </c>
      <c r="GW61" s="14">
        <f t="shared" si="51"/>
        <v>27.135645865646648</v>
      </c>
      <c r="GX61" s="22">
        <f t="shared" si="28"/>
        <v>222.6979398826679</v>
      </c>
      <c r="GY61" s="62">
        <f t="shared" si="29"/>
        <v>516.03127321600118</v>
      </c>
      <c r="GZ61" s="62">
        <f ca="1">AVERAGE(OFFSET($GY$3,0,0,'Données projet'!$E$18+1,1))-AVERAGE(OFFSET($H$3,0,0,'Données projet'!$E$18+1,1))</f>
        <v>188.08607733149256</v>
      </c>
      <c r="HA61" s="62">
        <f t="shared" si="52"/>
        <v>119.95698016603842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17.640999999999988</v>
      </c>
      <c r="D62" s="12">
        <f t="shared" si="32"/>
        <v>5.8207636377670227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181.10835088802605</v>
      </c>
      <c r="H62" s="70">
        <f t="shared" si="1"/>
        <v>297.52923833577756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3.8</v>
      </c>
      <c r="N62" s="14">
        <f>IF('Données projet'!$A$36&gt;35,N61+M62-V61,IF(A62&lt;'Données projet'!$A$36,$K$205^A62,IF(A62='Données projet'!$A$36,'Données projet'!$B$36,N61+M62-V61)))</f>
        <v>121.19999999999997</v>
      </c>
      <c r="O62" s="14">
        <f>N62*VLOOKUP('Données projet'!$B$9,Paramètres!$A$1:$I$89,3,0)*VLOOKUP('Données projet'!$B$9,Paramètres!$A$1:$I$89,5,0)</f>
        <v>130.45967999999996</v>
      </c>
      <c r="P62" s="14">
        <f t="shared" si="33"/>
        <v>34.102556053254894</v>
      </c>
      <c r="Q62" s="22">
        <f t="shared" si="53"/>
        <v>286.61256112608555</v>
      </c>
      <c r="R62" s="62">
        <f t="shared" si="0"/>
        <v>579.94589445941892</v>
      </c>
      <c r="S62" s="62">
        <f ca="1">AVERAGE(OFFSET($R$3,0,0,'Données projet'!$E$9+1,1))-AVERAGE(OFFSET($H$3,0,0,'Données projet'!$E$9+1,1))</f>
        <v>236.98575892380046</v>
      </c>
      <c r="T62" s="62">
        <f t="shared" si="34"/>
        <v>145.77678223659774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>
        <f>VLOOKUP(A62,'Données projet'!$A$61:$I$81,2,0)</f>
        <v>148.00769230769231</v>
      </c>
      <c r="AG62" s="13">
        <f>VLOOKUP(A62,'Données projet'!$A$61:$I$81,9,0)</f>
        <v>4.9549450549450569</v>
      </c>
      <c r="AH62" s="13">
        <f t="array" ref="AH62">INDEX(AG:AG,MIN(IF(ISNUMBER(AG62:AG258),ROW(AG62:AG258),"")))</f>
        <v>4.9549450549450569</v>
      </c>
      <c r="AI62" s="14">
        <f>IF('Données projet'!$A$62&gt;35,AI61+AH62-AQ61,IF(A62&lt;'Données projet'!$A$62,$AF$205^A62,IF(A62='Données projet'!$A$62,'Données projet'!$B$62,AI61+AH62-AQ61)))</f>
        <v>148.00769230769237</v>
      </c>
      <c r="AJ62" s="14">
        <f>AI62*VLOOKUP('Données projet'!$B$10,Paramètres!$A$1:$I$89,3,0)*VLOOKUP('Données projet'!$B$10,Paramètres!$A$1:$I$89,5,0)</f>
        <v>86.584500000000048</v>
      </c>
      <c r="AK62" s="14">
        <f t="shared" si="35"/>
        <v>23.739643038177103</v>
      </c>
      <c r="AL62" s="22">
        <f t="shared" si="4"/>
        <v>192.14788245815853</v>
      </c>
      <c r="AM62" s="62">
        <f t="shared" si="5"/>
        <v>485.48121579149188</v>
      </c>
      <c r="AN62" s="62">
        <f ca="1">AVERAGE(OFFSET($AM$3,0,0,'Données projet'!$E$10+1,1))-AVERAGE(OFFSET($H$3,0,0,'Données projet'!$E$10+1,1))</f>
        <v>140.04898296125504</v>
      </c>
      <c r="AO62" s="62">
        <f t="shared" si="36"/>
        <v>129.5395511270716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10.984615384615381</v>
      </c>
      <c r="BD62" s="13">
        <f>IF('Données projet'!$A$88&gt;35,BD61+BC62-BL61,IF(A62&lt;'Données projet'!$A$88,$BA$205^A62,IF(A62='Données projet'!$A$88,'Données projet'!$B$88,BD61+BC62-BL61)))</f>
        <v>306.75384615384598</v>
      </c>
      <c r="BE62" s="14">
        <f>BD62*VLOOKUP('Données projet'!$B$11,Paramètres!$A$1:$I$89,3,0)*VLOOKUP('Données projet'!$B$11,Paramètres!$A$1:$I$89,5,0)</f>
        <v>143.56079999999992</v>
      </c>
      <c r="BF62" s="14">
        <f t="shared" si="37"/>
        <v>37.111538546158371</v>
      </c>
      <c r="BG62" s="22">
        <f t="shared" si="7"/>
        <v>314.67098963455902</v>
      </c>
      <c r="BH62" s="62">
        <f t="shared" si="8"/>
        <v>608.00432296789234</v>
      </c>
      <c r="BI62" s="62">
        <f ca="1">AVERAGE(OFFSET($BH$3,0,0,'Données projet'!$E$11+1,1))-AVERAGE(OFFSET($H$3,0,0,'Données projet'!$E$11+1,1))</f>
        <v>207.84100251878419</v>
      </c>
      <c r="BJ62" s="62">
        <f t="shared" si="38"/>
        <v>124.34917784241952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3</v>
      </c>
      <c r="BY62" s="13">
        <f>IF('Données projet'!$A$114&gt;35,BY61+BX62-CG61,IF(A62&lt;'Données projet'!$A$114,$BV$205^A62,IF(A62='Données projet'!$A$114,'Données projet'!$B$114,BY61+BX62-CG61)))</f>
        <v>237.49999999999997</v>
      </c>
      <c r="BZ62" s="14">
        <f>BY62*VLOOKUP('Données projet'!$B$12,Paramètres!$A$1:$I$89,3,0)*VLOOKUP('Données projet'!$B$12,Paramètres!$A$1:$I$89,5,0)</f>
        <v>123.5</v>
      </c>
      <c r="CA62" s="14">
        <f t="shared" si="39"/>
        <v>32.489945930859669</v>
      </c>
      <c r="CB62" s="22">
        <f t="shared" si="10"/>
        <v>271.6824891629139</v>
      </c>
      <c r="CC62" s="62">
        <f t="shared" si="11"/>
        <v>565.01582249624721</v>
      </c>
      <c r="CD62" s="62">
        <f ca="1">AVERAGE(OFFSET($CC$3,0,0,'Données projet'!$E$12+1,1))-AVERAGE(OFFSET($H$3,0,0,'Données projet'!$E$12+1,1))</f>
        <v>211.05980622218578</v>
      </c>
      <c r="CE62" s="62">
        <f t="shared" si="40"/>
        <v>168.57746894604855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1.7724999999999995</v>
      </c>
      <c r="CT62" s="13">
        <f>IF('Données projet'!$A$140&gt;35,CT61+CS62-DB61,IF(A62&lt;'Données projet'!$A$140,$CQ$205^A62,IF(A62='Données projet'!$A$140,'Données projet'!$B$140,CT61+CS62-DB61)))</f>
        <v>82.589999999999975</v>
      </c>
      <c r="CU62" s="18">
        <f>CT62*VLOOKUP('Données projet'!$B$13,Paramètres!$A$1:$I$89,3,0)*VLOOKUP('Données projet'!$B$13,Paramètres!$A$1:$I$89,5,0)</f>
        <v>95.143679999999961</v>
      </c>
      <c r="CV62" s="14">
        <f t="shared" si="41"/>
        <v>25.801715632414158</v>
      </c>
      <c r="CW62" s="22">
        <f t="shared" si="13"/>
        <v>210.64656405978792</v>
      </c>
      <c r="CX62" s="62">
        <f t="shared" si="14"/>
        <v>503.97989739312123</v>
      </c>
      <c r="CY62" s="62">
        <f ca="1">AVERAGE(OFFSET($CX$3,0,0,'Données projet'!$E$13+1,1))-AVERAGE(OFFSET($H$3,0,0,'Données projet'!$E$13+1,1))</f>
        <v>191.79777926975839</v>
      </c>
      <c r="CZ62" s="62">
        <f t="shared" si="42"/>
        <v>156.66161375678712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4.373333333333334</v>
      </c>
      <c r="DO62" s="13">
        <f>IF('Données projet'!$A$166&gt;35,DO61+DN62-DW61,IF(A62&lt;'Données projet'!$A$166,$DL$205^A62,IF(A62='Données projet'!$A$166,'Données projet'!$B$166,DO61+DN62-DW61)))</f>
        <v>109.91333333333321</v>
      </c>
      <c r="DP62" s="18">
        <f>DO62*VLOOKUP('Données projet'!$B$14,Paramètres!$A$1:$I$89,3,0)*VLOOKUP('Données projet'!$B$14,Paramètres!$A$1:$I$89,5,0)</f>
        <v>120.02535999999985</v>
      </c>
      <c r="DQ62" s="14">
        <f t="shared" si="43"/>
        <v>31.680914024920565</v>
      </c>
      <c r="DR62" s="22">
        <f t="shared" si="16"/>
        <v>264.22176059340302</v>
      </c>
      <c r="DS62" s="62">
        <f t="shared" si="17"/>
        <v>557.55509392673639</v>
      </c>
      <c r="DT62" s="62">
        <f ca="1">AVERAGE(OFFSET($DS$3,0,0,'Données projet'!$E$14+1,1))-AVERAGE(OFFSET($H$3,0,0,'Données projet'!$E$14+1,1))</f>
        <v>541.0854688453461</v>
      </c>
      <c r="DU62" s="62">
        <f t="shared" si="44"/>
        <v>171.04847168584473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12.8</v>
      </c>
      <c r="EJ62" s="13">
        <f>IF('Données projet'!$A$192&gt;35,EJ61+EI62-ER61,IF(A62&lt;'Données projet'!$A$192,$EG$205^A62,IF(A62='Données projet'!$A$192,'Données projet'!$B$192,EJ61+EI62-ER61)))</f>
        <v>235.59999999999991</v>
      </c>
      <c r="EK62" s="18">
        <f>EJ62*VLOOKUP('Données projet'!$B$15,Paramètres!$A$1:$I$89,3,0)*VLOOKUP('Données projet'!$B$15,Paramètres!$A$1:$I$89,5,0)</f>
        <v>140.88879999999995</v>
      </c>
      <c r="EL62" s="14">
        <f t="shared" si="45"/>
        <v>36.500542039399996</v>
      </c>
      <c r="EM62" s="22">
        <f t="shared" si="19"/>
        <v>308.95310405195488</v>
      </c>
      <c r="EN62" s="62">
        <f t="shared" si="20"/>
        <v>602.2864373852882</v>
      </c>
      <c r="EO62" s="62">
        <f ca="1">AVERAGE(OFFSET($EN$3,0,0,'Données projet'!$E$15+1,1))-AVERAGE(OFFSET($H$3,0,0,'Données projet'!$E$15+1,1))</f>
        <v>244.01698421598974</v>
      </c>
      <c r="EP62" s="62">
        <f t="shared" si="46"/>
        <v>156.96653202915024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1.6096299362672899</v>
      </c>
      <c r="EX62" s="23">
        <f>EXP(-LN(2)/2)*EX61+(1-EXP(-LN(2)/2))/(LN(2)/2)*ER62*EU62*VLOOKUP('Données projet'!$B$15,Paramètres!$A$1:$I$89,3,0)*0.475*44/12</f>
        <v>4.2978388090677552E-4</v>
      </c>
      <c r="EY62" s="24">
        <f t="shared" si="21"/>
        <v>1.6100597201481968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3.2</v>
      </c>
      <c r="FE62" s="13">
        <f>IF('Données projet'!$A$218&gt;35,FE61+FD62-FM61,IF(A62&lt;'Données projet'!$A$218,$FB$205^A62,IF(A62='Données projet'!$A$218,'Données projet'!$B$218,FE61+FD62-FM61)))</f>
        <v>145.79999999999993</v>
      </c>
      <c r="FF62" s="18">
        <f>FE62*VLOOKUP('Données projet'!$B$16,Paramètres!$A$1:$I$89,3,0)*VLOOKUP('Données projet'!$B$16,Paramètres!$A$1:$I$89,5,0)</f>
        <v>127.37087999999996</v>
      </c>
      <c r="FG62" s="14">
        <f t="shared" si="47"/>
        <v>33.388126388800494</v>
      </c>
      <c r="FH62" s="22">
        <f t="shared" si="22"/>
        <v>279.98860279382745</v>
      </c>
      <c r="FI62" s="62">
        <f t="shared" si="23"/>
        <v>573.32193612716082</v>
      </c>
      <c r="FJ62" s="62">
        <f ca="1">AVERAGE(OFFSET($FI$3,0,0,'Données projet'!$E$16+1,1))-AVERAGE(OFFSET($H$3,0,0,'Données projet'!$E$16+1,1))</f>
        <v>175.08726167127026</v>
      </c>
      <c r="FK62" s="62">
        <f t="shared" si="48"/>
        <v>196.05343924817117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3.8</v>
      </c>
      <c r="FZ62" s="13">
        <f>IF('Données projet'!$A$244&gt;35,FZ61+FY62-GH61,IF(A62&lt;'Données projet'!$A$244,$FW$205^A62,IF(A62='Données projet'!$A$244,'Données projet'!$B$244,FZ61+FY62-GH61)))</f>
        <v>129.20000000000005</v>
      </c>
      <c r="GA62" s="18">
        <f>FZ62*VLOOKUP('Données projet'!$B$17,Paramètres!$A$1:$I$89,3,0)*VLOOKUP('Données projet'!$B$17,Paramètres!$A$1:$I$89,5,0)</f>
        <v>84.651840000000036</v>
      </c>
      <c r="GB62" s="14">
        <f t="shared" si="49"/>
        <v>23.270814809686321</v>
      </c>
      <c r="GC62" s="22">
        <f t="shared" si="25"/>
        <v>187.96529046020373</v>
      </c>
      <c r="GD62" s="62">
        <f t="shared" si="26"/>
        <v>481.29862379353705</v>
      </c>
      <c r="GE62" s="62">
        <f ca="1">AVERAGE(OFFSET($GD$3,0,0,'Données projet'!$E$17+1,1))-AVERAGE(OFFSET($H$3,0,0,'Données projet'!$E$17+1,1))</f>
        <v>142.93037460866543</v>
      </c>
      <c r="GF62" s="62">
        <f t="shared" si="50"/>
        <v>146.18554498808049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3.8</v>
      </c>
      <c r="GU62" s="13">
        <f>IF('Données projet'!$A$270&gt;35,GU61+GT62-HC61,IF(A62&lt;'Données projet'!$A$270,$GR$205^A62,IF(A62='Données projet'!$A$270,'Données projet'!$B$270,GU61+GT62-HC61)))</f>
        <v>121.19999999999997</v>
      </c>
      <c r="GV62" s="18">
        <f>GU62*VLOOKUP('Données projet'!$B$18,Paramètres!$A$1:$I$89,3,0)*VLOOKUP('Données projet'!$B$18,Paramètres!$A$1:$I$89,5,0)</f>
        <v>103.9896</v>
      </c>
      <c r="GW62" s="14">
        <f t="shared" si="51"/>
        <v>27.91028988913331</v>
      </c>
      <c r="GX62" s="22">
        <f t="shared" si="28"/>
        <v>229.72564155690716</v>
      </c>
      <c r="GY62" s="62">
        <f t="shared" si="29"/>
        <v>523.05897489024051</v>
      </c>
      <c r="GZ62" s="62">
        <f ca="1">AVERAGE(OFFSET($GY$3,0,0,'Données projet'!$E$18+1,1))-AVERAGE(OFFSET($H$3,0,0,'Données projet'!$E$18+1,1))</f>
        <v>188.08607733149256</v>
      </c>
      <c r="HA62" s="62">
        <f t="shared" si="52"/>
        <v>119.95698016603842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17.939999999999987</v>
      </c>
      <c r="D63" s="12">
        <f t="shared" si="32"/>
        <v>5.9078515187587417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184.08867839041829</v>
      </c>
      <c r="H63" s="70">
        <f t="shared" si="1"/>
        <v>298.20167472850483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125</v>
      </c>
      <c r="L63" s="13">
        <f>VLOOKUP(A63,'Données projet'!$A$35:$I$55,9,0)</f>
        <v>3.8</v>
      </c>
      <c r="M63" s="13">
        <f t="array" ref="M63">INDEX(L:L,MIN(IF(ISNUMBER(L63:L259),ROW(L63:L259),"")))</f>
        <v>3.8</v>
      </c>
      <c r="N63" s="14">
        <f>IF('Données projet'!$A$36&gt;35,N62+M63-V62,IF(A63&lt;'Données projet'!$A$36,$K$205^A63,IF(A63='Données projet'!$A$36,'Données projet'!$B$36,N62+M63-V62)))</f>
        <v>124.99999999999997</v>
      </c>
      <c r="O63" s="14">
        <f>N63*VLOOKUP('Données projet'!$B$9,Paramètres!$A$1:$I$89,3,0)*VLOOKUP('Données projet'!$B$9,Paramètres!$A$1:$I$89,5,0)</f>
        <v>134.54999999999995</v>
      </c>
      <c r="P63" s="14">
        <f t="shared" si="33"/>
        <v>35.045616486142094</v>
      </c>
      <c r="Q63" s="22">
        <f t="shared" si="53"/>
        <v>295.37903204669738</v>
      </c>
      <c r="R63" s="62">
        <f t="shared" si="0"/>
        <v>588.71236538003063</v>
      </c>
      <c r="S63" s="62">
        <f ca="1">AVERAGE(OFFSET($R$3,0,0,'Données projet'!$E$9+1,1))-AVERAGE(OFFSET($H$3,0,0,'Données projet'!$E$9+1,1))</f>
        <v>236.98575892380046</v>
      </c>
      <c r="T63" s="62">
        <f t="shared" si="34"/>
        <v>145.77678223659774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20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5.1989010989010991</v>
      </c>
      <c r="AI63" s="14">
        <f>IF('Données projet'!$A$62&gt;35,AI62+AH63-AQ62,IF(A63&lt;'Données projet'!$A$62,$AF$205^A63,IF(A63='Données projet'!$A$62,'Données projet'!$B$62,AI62+AH63-AQ62)))</f>
        <v>153.20659340659347</v>
      </c>
      <c r="AJ63" s="14">
        <f>AI63*VLOOKUP('Données projet'!$B$10,Paramètres!$A$1:$I$89,3,0)*VLOOKUP('Données projet'!$B$10,Paramètres!$A$1:$I$89,5,0)</f>
        <v>89.625857142857186</v>
      </c>
      <c r="AK63" s="14">
        <f t="shared" si="35"/>
        <v>24.474968880469344</v>
      </c>
      <c r="AL63" s="22">
        <f t="shared" si="4"/>
        <v>198.72560532396037</v>
      </c>
      <c r="AM63" s="62">
        <f t="shared" si="5"/>
        <v>492.05893865729365</v>
      </c>
      <c r="AN63" s="62">
        <f ca="1">AVERAGE(OFFSET($AM$3,0,0,'Données projet'!$E$10+1,1))-AVERAGE(OFFSET($H$3,0,0,'Données projet'!$E$10+1,1))</f>
        <v>140.04898296125504</v>
      </c>
      <c r="AO63" s="62">
        <f t="shared" si="36"/>
        <v>129.5395511270716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10.984615384615381</v>
      </c>
      <c r="BD63" s="13">
        <f>IF('Données projet'!$A$88&gt;35,BD62+BC63-BL62,IF(A63&lt;'Données projet'!$A$88,$BA$205^A63,IF(A63='Données projet'!$A$88,'Données projet'!$B$88,BD62+BC63-BL62)))</f>
        <v>317.73846153846137</v>
      </c>
      <c r="BE63" s="14">
        <f>BD63*VLOOKUP('Données projet'!$B$11,Paramètres!$A$1:$I$89,3,0)*VLOOKUP('Données projet'!$B$11,Paramètres!$A$1:$I$89,5,0)</f>
        <v>148.70159999999993</v>
      </c>
      <c r="BF63" s="14">
        <f t="shared" si="37"/>
        <v>38.283370432550541</v>
      </c>
      <c r="BG63" s="22">
        <f t="shared" si="7"/>
        <v>325.66549017002541</v>
      </c>
      <c r="BH63" s="62">
        <f t="shared" si="8"/>
        <v>618.99882350335872</v>
      </c>
      <c r="BI63" s="62">
        <f ca="1">AVERAGE(OFFSET($BH$3,0,0,'Données projet'!$E$11+1,1))-AVERAGE(OFFSET($H$3,0,0,'Données projet'!$E$11+1,1))</f>
        <v>207.84100251878419</v>
      </c>
      <c r="BJ63" s="62">
        <f t="shared" si="38"/>
        <v>124.34917784241952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240.5</v>
      </c>
      <c r="BW63" s="13">
        <f>VLOOKUP(A63,'Données projet'!$A$113:$I$133,9,0)</f>
        <v>3</v>
      </c>
      <c r="BX63" s="13">
        <f t="array" ref="BX63">INDEX(BW:BW,MIN(IF(ISNUMBER(BW63:BW259),ROW(BW63:BW259),"")))</f>
        <v>3</v>
      </c>
      <c r="BY63" s="13">
        <f>IF('Données projet'!$A$114&gt;35,BY62+BX63-CG62,IF(A63&lt;'Données projet'!$A$114,$BV$205^A63,IF(A63='Données projet'!$A$114,'Données projet'!$B$114,BY62+BX63-CG62)))</f>
        <v>240.49999999999997</v>
      </c>
      <c r="BZ63" s="14">
        <f>BY63*VLOOKUP('Données projet'!$B$12,Paramètres!$A$1:$I$89,3,0)*VLOOKUP('Données projet'!$B$12,Paramètres!$A$1:$I$89,5,0)</f>
        <v>125.05999999999999</v>
      </c>
      <c r="CA63" s="14">
        <f t="shared" si="39"/>
        <v>32.852309422756704</v>
      </c>
      <c r="CB63" s="22">
        <f t="shared" si="10"/>
        <v>275.03060557796795</v>
      </c>
      <c r="CC63" s="62">
        <f t="shared" si="11"/>
        <v>568.36393891130126</v>
      </c>
      <c r="CD63" s="62">
        <f ca="1">AVERAGE(OFFSET($CC$3,0,0,'Données projet'!$E$12+1,1))-AVERAGE(OFFSET($H$3,0,0,'Données projet'!$E$12+1,1))</f>
        <v>211.05980622218578</v>
      </c>
      <c r="CE63" s="62">
        <f t="shared" si="40"/>
        <v>168.57746894604855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84.362499999999997</v>
      </c>
      <c r="CR63" s="13">
        <f>VLOOKUP(A63,'Données projet'!$A$139:$I$159,9,0)</f>
        <v>1.7724999999999995</v>
      </c>
      <c r="CS63" s="13">
        <f t="array" ref="CS63">INDEX(CR:CR,MIN(IF(ISNUMBER(CR63:CR259),ROW(CR63:CR259),"")))</f>
        <v>1.7724999999999995</v>
      </c>
      <c r="CT63" s="13">
        <f>IF('Données projet'!$A$140&gt;35,CT62+CS63-DB62,IF(A63&lt;'Données projet'!$A$140,$CQ$205^A63,IF(A63='Données projet'!$A$140,'Données projet'!$B$140,CT62+CS63-DB62)))</f>
        <v>84.362499999999969</v>
      </c>
      <c r="CU63" s="18">
        <f>CT63*VLOOKUP('Données projet'!$B$13,Paramètres!$A$1:$I$89,3,0)*VLOOKUP('Données projet'!$B$13,Paramètres!$A$1:$I$89,5,0)</f>
        <v>97.185599999999965</v>
      </c>
      <c r="CV63" s="14">
        <f t="shared" si="41"/>
        <v>26.290395628270069</v>
      </c>
      <c r="CW63" s="22">
        <f t="shared" si="13"/>
        <v>215.05402571923696</v>
      </c>
      <c r="CX63" s="62">
        <f t="shared" si="14"/>
        <v>508.38735905257028</v>
      </c>
      <c r="CY63" s="62">
        <f ca="1">AVERAGE(OFFSET($CX$3,0,0,'Données projet'!$E$13+1,1))-AVERAGE(OFFSET($H$3,0,0,'Données projet'!$E$13+1,1))</f>
        <v>191.79777926975839</v>
      </c>
      <c r="CZ63" s="62">
        <f t="shared" si="42"/>
        <v>156.66161375678712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8.25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4.373333333333334</v>
      </c>
      <c r="DO63" s="13">
        <f>IF('Données projet'!$A$166&gt;35,DO62+DN63-DW62,IF(A63&lt;'Données projet'!$A$166,$DL$205^A63,IF(A63='Données projet'!$A$166,'Données projet'!$B$166,DO62+DN63-DW62)))</f>
        <v>114.28666666666655</v>
      </c>
      <c r="DP63" s="18">
        <f>DO63*VLOOKUP('Données projet'!$B$14,Paramètres!$A$1:$I$89,3,0)*VLOOKUP('Données projet'!$B$14,Paramètres!$A$1:$I$89,5,0)</f>
        <v>124.80103999999986</v>
      </c>
      <c r="DQ63" s="14">
        <f t="shared" si="43"/>
        <v>32.792193675536929</v>
      </c>
      <c r="DR63" s="22">
        <f t="shared" si="16"/>
        <v>274.47488198489322</v>
      </c>
      <c r="DS63" s="62">
        <f t="shared" si="17"/>
        <v>567.80821531822653</v>
      </c>
      <c r="DT63" s="62">
        <f ca="1">AVERAGE(OFFSET($DS$3,0,0,'Données projet'!$E$14+1,1))-AVERAGE(OFFSET($H$3,0,0,'Données projet'!$E$14+1,1))</f>
        <v>541.0854688453461</v>
      </c>
      <c r="DU63" s="62">
        <f t="shared" si="44"/>
        <v>171.04847168584473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12.8</v>
      </c>
      <c r="EJ63" s="13">
        <f>IF('Données projet'!$A$192&gt;35,EJ62+EI63-ER62,IF(A63&lt;'Données projet'!$A$192,$EG$205^A63,IF(A63='Données projet'!$A$192,'Données projet'!$B$192,EJ62+EI63-ER62)))</f>
        <v>248.39999999999992</v>
      </c>
      <c r="EK63" s="18">
        <f>EJ63*VLOOKUP('Données projet'!$B$15,Paramètres!$A$1:$I$89,3,0)*VLOOKUP('Données projet'!$B$15,Paramètres!$A$1:$I$89,5,0)</f>
        <v>148.54319999999996</v>
      </c>
      <c r="EL63" s="14">
        <f t="shared" si="45"/>
        <v>38.247334783976747</v>
      </c>
      <c r="EM63" s="22">
        <f t="shared" si="19"/>
        <v>325.32684808209274</v>
      </c>
      <c r="EN63" s="62">
        <f t="shared" si="20"/>
        <v>618.660181415426</v>
      </c>
      <c r="EO63" s="62">
        <f ca="1">AVERAGE(OFFSET($EN$3,0,0,'Données projet'!$E$15+1,1))-AVERAGE(OFFSET($H$3,0,0,'Données projet'!$E$15+1,1))</f>
        <v>244.01698421598974</v>
      </c>
      <c r="EP63" s="62">
        <f t="shared" si="46"/>
        <v>156.96653202915024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1.5656145210133015</v>
      </c>
      <c r="EX63" s="23">
        <f>EXP(-LN(2)/2)*EX62+(1-EXP(-LN(2)/2))/(LN(2)/2)*ER63*EU63*VLOOKUP('Données projet'!$B$15,Paramètres!$A$1:$I$89,3,0)*0.475*44/12</f>
        <v>3.0390309663385251E-4</v>
      </c>
      <c r="EY63" s="24">
        <f t="shared" si="21"/>
        <v>1.5659184241099353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149</v>
      </c>
      <c r="FC63" s="13">
        <f>VLOOKUP(A63,'Données projet'!$A$217:$I$237,9,0)</f>
        <v>3.2</v>
      </c>
      <c r="FD63" s="13">
        <f t="array" ref="FD63">INDEX(FC:FC,MIN(IF(ISNUMBER(FC63:FC259),ROW(FC63:FC259),"")))</f>
        <v>3.2</v>
      </c>
      <c r="FE63" s="13">
        <f>IF('Données projet'!$A$218&gt;35,FE62+FD63-FM62,IF(A63&lt;'Données projet'!$A$218,$FB$205^A63,IF(A63='Données projet'!$A$218,'Données projet'!$B$218,FE62+FD63-FM62)))</f>
        <v>148.99999999999991</v>
      </c>
      <c r="FF63" s="18">
        <f>FE63*VLOOKUP('Données projet'!$B$16,Paramètres!$A$1:$I$89,3,0)*VLOOKUP('Données projet'!$B$16,Paramètres!$A$1:$I$89,5,0)</f>
        <v>130.16639999999992</v>
      </c>
      <c r="FG63" s="14">
        <f t="shared" si="47"/>
        <v>34.034806623706274</v>
      </c>
      <c r="FH63" s="22">
        <f t="shared" si="22"/>
        <v>285.98376820295493</v>
      </c>
      <c r="FI63" s="62">
        <f t="shared" si="23"/>
        <v>579.31710153628819</v>
      </c>
      <c r="FJ63" s="62">
        <f ca="1">AVERAGE(OFFSET($FI$3,0,0,'Données projet'!$E$16+1,1))-AVERAGE(OFFSET($H$3,0,0,'Données projet'!$E$16+1,1))</f>
        <v>175.08726167127026</v>
      </c>
      <c r="FK63" s="62">
        <f t="shared" si="48"/>
        <v>196.05343924817117</v>
      </c>
      <c r="FL63" s="16">
        <f>IF(ISNA(VLOOKUP(A63,'Données projet'!$A$217:$I$237,3,0)),0,VLOOKUP(A63,'Données projet'!$A$217:$I$237,3,0))</f>
        <v>4</v>
      </c>
      <c r="FM63" s="16">
        <f>IF(ISNA(VLOOKUP(A63,'Données projet'!$A$217:$I$237,4,0)),0,VLOOKUP(A63,'Données projet'!$A$217:$I$237,4,0))</f>
        <v>16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133</v>
      </c>
      <c r="FX63" s="13">
        <f>VLOOKUP(A63,'Données projet'!$A$243:$I$263,9,0)</f>
        <v>3.8</v>
      </c>
      <c r="FY63" s="13">
        <f t="array" ref="FY63">INDEX(FX:FX,MIN(IF(ISNUMBER(FX63:FX259),ROW(FX63:FX259),"")))</f>
        <v>3.8</v>
      </c>
      <c r="FZ63" s="13">
        <f>IF('Données projet'!$A$244&gt;35,FZ62+FY63-GH62,IF(A63&lt;'Données projet'!$A$244,$FW$205^A63,IF(A63='Données projet'!$A$244,'Données projet'!$B$244,FZ62+FY63-GH62)))</f>
        <v>133.00000000000006</v>
      </c>
      <c r="GA63" s="18">
        <f>FZ63*VLOOKUP('Données projet'!$B$17,Paramètres!$A$1:$I$89,3,0)*VLOOKUP('Données projet'!$B$17,Paramètres!$A$1:$I$89,5,0)</f>
        <v>87.141600000000039</v>
      </c>
      <c r="GB63" s="14">
        <f t="shared" si="49"/>
        <v>23.874558158360966</v>
      </c>
      <c r="GC63" s="22">
        <f t="shared" si="25"/>
        <v>193.35314212581207</v>
      </c>
      <c r="GD63" s="62">
        <f t="shared" si="26"/>
        <v>486.68647545914541</v>
      </c>
      <c r="GE63" s="62">
        <f ca="1">AVERAGE(OFFSET($GD$3,0,0,'Données projet'!$E$17+1,1))-AVERAGE(OFFSET($H$3,0,0,'Données projet'!$E$17+1,1))</f>
        <v>142.93037460866543</v>
      </c>
      <c r="GF63" s="62">
        <f t="shared" si="50"/>
        <v>146.18554498808049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125</v>
      </c>
      <c r="GS63" s="13">
        <f>VLOOKUP(A63,'Données projet'!$A$269:$I$289,9,0)</f>
        <v>3.8</v>
      </c>
      <c r="GT63" s="13">
        <f t="array" ref="GT63">INDEX(GS:GS,MIN(IF(ISNUMBER(GS63:GS259),ROW(GS63:GS259),"")))</f>
        <v>3.8</v>
      </c>
      <c r="GU63" s="13">
        <f>IF('Données projet'!$A$270&gt;35,GU62+GT63-HC62,IF(A63&lt;'Données projet'!$A$270,$GR$205^A63,IF(A63='Données projet'!$A$270,'Données projet'!$B$270,GU62+GT63-HC62)))</f>
        <v>124.99999999999997</v>
      </c>
      <c r="GV63" s="18">
        <f>GU63*VLOOKUP('Données projet'!$B$18,Paramètres!$A$1:$I$89,3,0)*VLOOKUP('Données projet'!$B$18,Paramètres!$A$1:$I$89,5,0)</f>
        <v>107.24999999999999</v>
      </c>
      <c r="GW63" s="14">
        <f t="shared" si="51"/>
        <v>28.682111509300139</v>
      </c>
      <c r="GX63" s="22">
        <f t="shared" si="28"/>
        <v>236.74842754536436</v>
      </c>
      <c r="GY63" s="62">
        <f t="shared" si="29"/>
        <v>530.08176087869765</v>
      </c>
      <c r="GZ63" s="62">
        <f ca="1">AVERAGE(OFFSET($GY$3,0,0,'Données projet'!$E$18+1,1))-AVERAGE(OFFSET($H$3,0,0,'Données projet'!$E$18+1,1))</f>
        <v>188.08607733149256</v>
      </c>
      <c r="HA63" s="62">
        <f t="shared" si="52"/>
        <v>119.95698016603842</v>
      </c>
      <c r="HB63" s="16">
        <f>IF(ISNA(VLOOKUP(A63,'Données projet'!$A$269:$I$289,3,0)),0,VLOOKUP(A63,'Données projet'!$A$269:$I$289,3,0))</f>
        <v>4</v>
      </c>
      <c r="HC63" s="16">
        <f>IF(ISNA(VLOOKUP(A63,'Données projet'!$A$269:$I$289,4,0)),0,VLOOKUP(A63,'Données projet'!$A$269:$I$289,4,0))</f>
        <v>20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18.238999999999987</v>
      </c>
      <c r="D64" s="12">
        <f t="shared" si="32"/>
        <v>5.9947706047754563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187.06770291405607</v>
      </c>
      <c r="H64" s="70">
        <f t="shared" si="1"/>
        <v>298.87381713665059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3.8</v>
      </c>
      <c r="N64" s="14">
        <f>IF('Données projet'!$A$36&gt;35,N63+M64-V63,IF(A64&lt;'Données projet'!$A$36,$K$205^A64,IF(A64='Données projet'!$A$36,'Données projet'!$B$36,N63+M64-V63)))</f>
        <v>108.79999999999998</v>
      </c>
      <c r="O64" s="14">
        <f>N64*VLOOKUP('Données projet'!$B$9,Paramètres!$A$1:$I$89,3,0)*VLOOKUP('Données projet'!$B$9,Paramètres!$A$1:$I$89,5,0)</f>
        <v>117.11231999999998</v>
      </c>
      <c r="P64" s="14">
        <f t="shared" si="33"/>
        <v>31.000543540154752</v>
      </c>
      <c r="Q64" s="22">
        <f t="shared" si="53"/>
        <v>257.96323733243617</v>
      </c>
      <c r="R64" s="62">
        <f t="shared" si="0"/>
        <v>551.29657066576942</v>
      </c>
      <c r="S64" s="62">
        <f ca="1">AVERAGE(OFFSET($R$3,0,0,'Données projet'!$E$9+1,1))-AVERAGE(OFFSET($H$3,0,0,'Données projet'!$E$9+1,1))</f>
        <v>236.98575892380046</v>
      </c>
      <c r="T64" s="62">
        <f t="shared" si="34"/>
        <v>145.77678223659774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5.1989010989010991</v>
      </c>
      <c r="AI64" s="14">
        <f>IF('Données projet'!$A$62&gt;35,AI63+AH64-AQ63,IF(A64&lt;'Données projet'!$A$62,$AF$205^A64,IF(A64='Données projet'!$A$62,'Données projet'!$B$62,AI63+AH64-AQ63)))</f>
        <v>158.40549450549457</v>
      </c>
      <c r="AJ64" s="14">
        <f>AI64*VLOOKUP('Données projet'!$B$10,Paramètres!$A$1:$I$89,3,0)*VLOOKUP('Données projet'!$B$10,Paramètres!$A$1:$I$89,5,0)</f>
        <v>92.667214285714337</v>
      </c>
      <c r="AK64" s="14">
        <f t="shared" si="35"/>
        <v>25.207395393497098</v>
      </c>
      <c r="AL64" s="22">
        <f t="shared" si="4"/>
        <v>205.29827852462654</v>
      </c>
      <c r="AM64" s="62">
        <f t="shared" si="5"/>
        <v>498.63161185795985</v>
      </c>
      <c r="AN64" s="62">
        <f ca="1">AVERAGE(OFFSET($AM$3,0,0,'Données projet'!$E$10+1,1))-AVERAGE(OFFSET($H$3,0,0,'Données projet'!$E$10+1,1))</f>
        <v>140.04898296125504</v>
      </c>
      <c r="AO64" s="62">
        <f t="shared" si="36"/>
        <v>129.5395511270716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10.984615384615381</v>
      </c>
      <c r="BD64" s="13">
        <f>IF('Données projet'!$A$88&gt;35,BD63+BC64-BL63,IF(A64&lt;'Données projet'!$A$88,$BA$205^A64,IF(A64='Données projet'!$A$88,'Données projet'!$B$88,BD63+BC64-BL63)))</f>
        <v>328.72307692307675</v>
      </c>
      <c r="BE64" s="14">
        <f>BD64*VLOOKUP('Données projet'!$B$11,Paramètres!$A$1:$I$89,3,0)*VLOOKUP('Données projet'!$B$11,Paramètres!$A$1:$I$89,5,0)</f>
        <v>153.84239999999991</v>
      </c>
      <c r="BF64" s="14">
        <f t="shared" si="37"/>
        <v>39.450495242764717</v>
      </c>
      <c r="BG64" s="22">
        <f t="shared" si="7"/>
        <v>336.65179254781509</v>
      </c>
      <c r="BH64" s="62">
        <f t="shared" si="8"/>
        <v>629.98512588114841</v>
      </c>
      <c r="BI64" s="62">
        <f ca="1">AVERAGE(OFFSET($BH$3,0,0,'Données projet'!$E$11+1,1))-AVERAGE(OFFSET($H$3,0,0,'Données projet'!$E$11+1,1))</f>
        <v>207.84100251878419</v>
      </c>
      <c r="BJ64" s="62">
        <f t="shared" si="38"/>
        <v>124.34917784241952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2.7600000000000025</v>
      </c>
      <c r="BY64" s="13">
        <f>IF('Données projet'!$A$114&gt;35,BY63+BX64-CG63,IF(A64&lt;'Données projet'!$A$114,$BV$205^A64,IF(A64='Données projet'!$A$114,'Données projet'!$B$114,BY63+BX64-CG63)))</f>
        <v>243.25999999999996</v>
      </c>
      <c r="BZ64" s="14">
        <f>BY64*VLOOKUP('Données projet'!$B$12,Paramètres!$A$1:$I$89,3,0)*VLOOKUP('Données projet'!$B$12,Paramètres!$A$1:$I$89,5,0)</f>
        <v>126.49519999999998</v>
      </c>
      <c r="CA64" s="14">
        <f t="shared" si="39"/>
        <v>33.185219299075669</v>
      </c>
      <c r="CB64" s="22">
        <f t="shared" si="10"/>
        <v>278.11006361255676</v>
      </c>
      <c r="CC64" s="62">
        <f t="shared" si="11"/>
        <v>571.44339694589007</v>
      </c>
      <c r="CD64" s="62">
        <f ca="1">AVERAGE(OFFSET($CC$3,0,0,'Données projet'!$E$12+1,1))-AVERAGE(OFFSET($H$3,0,0,'Données projet'!$E$12+1,1))</f>
        <v>211.05980622218578</v>
      </c>
      <c r="CE64" s="62">
        <f t="shared" si="40"/>
        <v>168.57746894604855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1.6750000000000014</v>
      </c>
      <c r="CT64" s="13">
        <f>IF('Données projet'!$A$140&gt;35,CT63+CS64-DB63,IF(A64&lt;'Données projet'!$A$140,$CQ$205^A64,IF(A64='Données projet'!$A$140,'Données projet'!$B$140,CT63+CS64-DB63)))</f>
        <v>77.787499999999966</v>
      </c>
      <c r="CU64" s="18">
        <f>CT64*VLOOKUP('Données projet'!$B$13,Paramètres!$A$1:$I$89,3,0)*VLOOKUP('Données projet'!$B$13,Paramètres!$A$1:$I$89,5,0)</f>
        <v>89.611199999999954</v>
      </c>
      <c r="CV64" s="14">
        <f t="shared" si="41"/>
        <v>24.471432182378969</v>
      </c>
      <c r="CW64" s="22">
        <f t="shared" si="13"/>
        <v>198.6939177176433</v>
      </c>
      <c r="CX64" s="62">
        <f t="shared" si="14"/>
        <v>492.02725105097659</v>
      </c>
      <c r="CY64" s="62">
        <f ca="1">AVERAGE(OFFSET($CX$3,0,0,'Données projet'!$E$13+1,1))-AVERAGE(OFFSET($H$3,0,0,'Données projet'!$E$13+1,1))</f>
        <v>191.79777926975839</v>
      </c>
      <c r="CZ64" s="62">
        <f t="shared" si="42"/>
        <v>156.66161375678712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4.373333333333334</v>
      </c>
      <c r="DO64" s="13">
        <f>IF('Données projet'!$A$166&gt;35,DO63+DN64-DW63,IF(A64&lt;'Données projet'!$A$166,$DL$205^A64,IF(A64='Données projet'!$A$166,'Données projet'!$B$166,DO63+DN64-DW63)))</f>
        <v>118.65999999999988</v>
      </c>
      <c r="DP64" s="18">
        <f>DO64*VLOOKUP('Données projet'!$B$14,Paramètres!$A$1:$I$89,3,0)*VLOOKUP('Données projet'!$B$14,Paramètres!$A$1:$I$89,5,0)</f>
        <v>129.57671999999988</v>
      </c>
      <c r="DQ64" s="14">
        <f t="shared" si="43"/>
        <v>33.898533195201857</v>
      </c>
      <c r="DR64" s="22">
        <f t="shared" si="16"/>
        <v>284.71939931497633</v>
      </c>
      <c r="DS64" s="62">
        <f t="shared" si="17"/>
        <v>578.05273264830964</v>
      </c>
      <c r="DT64" s="62">
        <f ca="1">AVERAGE(OFFSET($DS$3,0,0,'Données projet'!$E$14+1,1))-AVERAGE(OFFSET($H$3,0,0,'Données projet'!$E$14+1,1))</f>
        <v>541.0854688453461</v>
      </c>
      <c r="DU64" s="62">
        <f t="shared" si="44"/>
        <v>171.04847168584473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12.8</v>
      </c>
      <c r="EJ64" s="13">
        <f>IF('Données projet'!$A$192&gt;35,EJ63+EI64-ER63,IF(A64&lt;'Données projet'!$A$192,$EG$205^A64,IF(A64='Données projet'!$A$192,'Données projet'!$B$192,EJ63+EI64-ER63)))</f>
        <v>261.19999999999993</v>
      </c>
      <c r="EK64" s="18">
        <f>EJ64*VLOOKUP('Données projet'!$B$15,Paramètres!$A$1:$I$89,3,0)*VLOOKUP('Données projet'!$B$15,Paramètres!$A$1:$I$89,5,0)</f>
        <v>156.19759999999997</v>
      </c>
      <c r="EL64" s="14">
        <f t="shared" si="45"/>
        <v>39.983676624078981</v>
      </c>
      <c r="EM64" s="22">
        <f t="shared" si="19"/>
        <v>341.68239012027084</v>
      </c>
      <c r="EN64" s="62">
        <f t="shared" si="20"/>
        <v>635.0157234536041</v>
      </c>
      <c r="EO64" s="62">
        <f ca="1">AVERAGE(OFFSET($EN$3,0,0,'Données projet'!$E$15+1,1))-AVERAGE(OFFSET($H$3,0,0,'Données projet'!$E$15+1,1))</f>
        <v>244.01698421598974</v>
      </c>
      <c r="EP64" s="62">
        <f t="shared" si="46"/>
        <v>156.96653202915024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1.5228027096041032</v>
      </c>
      <c r="EX64" s="23">
        <f>EXP(-LN(2)/2)*EX63+(1-EXP(-LN(2)/2))/(LN(2)/2)*ER64*EU64*VLOOKUP('Données projet'!$B$15,Paramètres!$A$1:$I$89,3,0)*0.475*44/12</f>
        <v>2.1489194045338776E-4</v>
      </c>
      <c r="EY64" s="24">
        <f t="shared" si="21"/>
        <v>1.5230176015445567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2.6</v>
      </c>
      <c r="FE64" s="13">
        <f>IF('Données projet'!$A$218&gt;35,FE63+FD64-FM63,IF(A64&lt;'Données projet'!$A$218,$FB$205^A64,IF(A64='Données projet'!$A$218,'Données projet'!$B$218,FE63+FD64-FM63)))</f>
        <v>135.59999999999991</v>
      </c>
      <c r="FF64" s="18">
        <f>FE64*VLOOKUP('Données projet'!$B$16,Paramètres!$A$1:$I$89,3,0)*VLOOKUP('Données projet'!$B$16,Paramètres!$A$1:$I$89,5,0)</f>
        <v>118.46015999999993</v>
      </c>
      <c r="FG64" s="14">
        <f t="shared" si="47"/>
        <v>31.315587396029649</v>
      </c>
      <c r="FH64" s="22">
        <f t="shared" si="22"/>
        <v>260.85942671475146</v>
      </c>
      <c r="FI64" s="62">
        <f t="shared" si="23"/>
        <v>554.19276004808478</v>
      </c>
      <c r="FJ64" s="62">
        <f ca="1">AVERAGE(OFFSET($FI$3,0,0,'Données projet'!$E$16+1,1))-AVERAGE(OFFSET($H$3,0,0,'Données projet'!$E$16+1,1))</f>
        <v>175.08726167127026</v>
      </c>
      <c r="FK64" s="62">
        <f t="shared" si="48"/>
        <v>196.05343924817117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3.4</v>
      </c>
      <c r="FZ64" s="13">
        <f>IF('Données projet'!$A$244&gt;35,FZ63+FY64-GH63,IF(A64&lt;'Données projet'!$A$244,$FW$205^A64,IF(A64='Données projet'!$A$244,'Données projet'!$B$244,FZ63+FY64-GH63)))</f>
        <v>136.40000000000006</v>
      </c>
      <c r="GA64" s="18">
        <f>FZ64*VLOOKUP('Données projet'!$B$17,Paramètres!$A$1:$I$89,3,0)*VLOOKUP('Données projet'!$B$17,Paramètres!$A$1:$I$89,5,0)</f>
        <v>89.369280000000046</v>
      </c>
      <c r="GB64" s="14">
        <f t="shared" si="49"/>
        <v>24.413048312949304</v>
      </c>
      <c r="GC64" s="22">
        <f t="shared" si="25"/>
        <v>198.17088847838679</v>
      </c>
      <c r="GD64" s="62">
        <f t="shared" si="26"/>
        <v>491.50422181172007</v>
      </c>
      <c r="GE64" s="62">
        <f ca="1">AVERAGE(OFFSET($GD$3,0,0,'Données projet'!$E$17+1,1))-AVERAGE(OFFSET($H$3,0,0,'Données projet'!$E$17+1,1))</f>
        <v>142.93037460866543</v>
      </c>
      <c r="GF64" s="62">
        <f t="shared" si="50"/>
        <v>146.18554498808049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3.8</v>
      </c>
      <c r="GU64" s="13">
        <f>IF('Données projet'!$A$270&gt;35,GU63+GT64-HC63,IF(A64&lt;'Données projet'!$A$270,$GR$205^A64,IF(A64='Données projet'!$A$270,'Données projet'!$B$270,GU63+GT64-HC63)))</f>
        <v>108.79999999999998</v>
      </c>
      <c r="GV64" s="18">
        <f>GU64*VLOOKUP('Données projet'!$B$18,Paramètres!$A$1:$I$89,3,0)*VLOOKUP('Données projet'!$B$18,Paramètres!$A$1:$I$89,5,0)</f>
        <v>93.350399999999993</v>
      </c>
      <c r="GW64" s="14">
        <f t="shared" si="51"/>
        <v>25.371533898375823</v>
      </c>
      <c r="GX64" s="22">
        <f t="shared" si="28"/>
        <v>206.77403487300455</v>
      </c>
      <c r="GY64" s="62">
        <f t="shared" si="29"/>
        <v>500.10736820633787</v>
      </c>
      <c r="GZ64" s="62">
        <f ca="1">AVERAGE(OFFSET($GY$3,0,0,'Données projet'!$E$18+1,1))-AVERAGE(OFFSET($H$3,0,0,'Données projet'!$E$18+1,1))</f>
        <v>188.08607733149256</v>
      </c>
      <c r="HA64" s="62">
        <f t="shared" si="52"/>
        <v>119.95698016603842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18.537999999999986</v>
      </c>
      <c r="D65" s="12">
        <f t="shared" si="32"/>
        <v>6.0815239823749287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190.04544828499934</v>
      </c>
      <c r="H65" s="70">
        <f t="shared" si="1"/>
        <v>299.54567093596967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3.8</v>
      </c>
      <c r="N65" s="14">
        <f>IF('Données projet'!$A$36&gt;35,N64+M65-V64,IF(A65&lt;'Données projet'!$A$36,$K$205^A65,IF(A65='Données projet'!$A$36,'Données projet'!$B$36,N64+M65-V64)))</f>
        <v>112.59999999999998</v>
      </c>
      <c r="O65" s="14">
        <f>N65*VLOOKUP('Données projet'!$B$9,Paramètres!$A$1:$I$89,3,0)*VLOOKUP('Données projet'!$B$9,Paramètres!$A$1:$I$89,5,0)</f>
        <v>121.20263999999996</v>
      </c>
      <c r="P65" s="14">
        <f t="shared" si="33"/>
        <v>31.955332323658638</v>
      </c>
      <c r="Q65" s="22">
        <f t="shared" si="53"/>
        <v>266.75013513037209</v>
      </c>
      <c r="R65" s="62">
        <f t="shared" si="0"/>
        <v>560.08346846370546</v>
      </c>
      <c r="S65" s="62">
        <f ca="1">AVERAGE(OFFSET($R$3,0,0,'Données projet'!$E$9+1,1))-AVERAGE(OFFSET($H$3,0,0,'Données projet'!$E$9+1,1))</f>
        <v>236.98575892380046</v>
      </c>
      <c r="T65" s="62">
        <f t="shared" si="34"/>
        <v>145.77678223659774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5.1989010989010991</v>
      </c>
      <c r="AI65" s="14">
        <f>IF('Données projet'!$A$62&gt;35,AI64+AH65-AQ64,IF(A65&lt;'Données projet'!$A$62,$AF$205^A65,IF(A65='Données projet'!$A$62,'Données projet'!$B$62,AI64+AH65-AQ64)))</f>
        <v>163.60439560439568</v>
      </c>
      <c r="AJ65" s="14">
        <f>AI65*VLOOKUP('Données projet'!$B$10,Paramètres!$A$1:$I$89,3,0)*VLOOKUP('Données projet'!$B$10,Paramètres!$A$1:$I$89,5,0)</f>
        <v>95.708571428571474</v>
      </c>
      <c r="AK65" s="14">
        <f t="shared" si="35"/>
        <v>25.937028646080538</v>
      </c>
      <c r="AL65" s="22">
        <f t="shared" si="4"/>
        <v>211.86608679668555</v>
      </c>
      <c r="AM65" s="62">
        <f t="shared" si="5"/>
        <v>505.19942013001889</v>
      </c>
      <c r="AN65" s="62">
        <f ca="1">AVERAGE(OFFSET($AM$3,0,0,'Données projet'!$E$10+1,1))-AVERAGE(OFFSET($H$3,0,0,'Données projet'!$E$10+1,1))</f>
        <v>140.04898296125504</v>
      </c>
      <c r="AO65" s="62">
        <f t="shared" si="36"/>
        <v>129.5395511270716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10.984615384615381</v>
      </c>
      <c r="BD65" s="13">
        <f>IF('Données projet'!$A$88&gt;35,BD64+BC65-BL64,IF(A65&lt;'Données projet'!$A$88,$BA$205^A65,IF(A65='Données projet'!$A$88,'Données projet'!$B$88,BD64+BC65-BL64)))</f>
        <v>339.70769230769213</v>
      </c>
      <c r="BE65" s="14">
        <f>BD65*VLOOKUP('Données projet'!$B$11,Paramètres!$A$1:$I$89,3,0)*VLOOKUP('Données projet'!$B$11,Paramètres!$A$1:$I$89,5,0)</f>
        <v>158.98319999999993</v>
      </c>
      <c r="BF65" s="14">
        <f t="shared" si="37"/>
        <v>40.613088302497808</v>
      </c>
      <c r="BG65" s="22">
        <f t="shared" si="7"/>
        <v>347.63020212685018</v>
      </c>
      <c r="BH65" s="62">
        <f t="shared" si="8"/>
        <v>640.96353546018349</v>
      </c>
      <c r="BI65" s="62">
        <f ca="1">AVERAGE(OFFSET($BH$3,0,0,'Données projet'!$E$11+1,1))-AVERAGE(OFFSET($H$3,0,0,'Données projet'!$E$11+1,1))</f>
        <v>207.84100251878419</v>
      </c>
      <c r="BJ65" s="62">
        <f t="shared" si="38"/>
        <v>124.34917784241952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2.7600000000000025</v>
      </c>
      <c r="BY65" s="13">
        <f>IF('Données projet'!$A$114&gt;35,BY64+BX65-CG64,IF(A65&lt;'Données projet'!$A$114,$BV$205^A65,IF(A65='Données projet'!$A$114,'Données projet'!$B$114,BY64+BX65-CG64)))</f>
        <v>246.01999999999995</v>
      </c>
      <c r="BZ65" s="14">
        <f>BY65*VLOOKUP('Données projet'!$B$12,Paramètres!$A$1:$I$89,3,0)*VLOOKUP('Données projet'!$B$12,Paramètres!$A$1:$I$89,5,0)</f>
        <v>127.93039999999999</v>
      </c>
      <c r="CA65" s="14">
        <f t="shared" si="39"/>
        <v>33.517689794522084</v>
      </c>
      <c r="CB65" s="22">
        <f t="shared" si="10"/>
        <v>281.18875639212592</v>
      </c>
      <c r="CC65" s="62">
        <f t="shared" si="11"/>
        <v>574.52208972545918</v>
      </c>
      <c r="CD65" s="62">
        <f ca="1">AVERAGE(OFFSET($CC$3,0,0,'Données projet'!$E$12+1,1))-AVERAGE(OFFSET($H$3,0,0,'Données projet'!$E$12+1,1))</f>
        <v>211.05980622218578</v>
      </c>
      <c r="CE65" s="62">
        <f t="shared" si="40"/>
        <v>168.57746894604855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1.6750000000000014</v>
      </c>
      <c r="CT65" s="13">
        <f>IF('Données projet'!$A$140&gt;35,CT64+CS65-DB64,IF(A65&lt;'Données projet'!$A$140,$CQ$205^A65,IF(A65='Données projet'!$A$140,'Données projet'!$B$140,CT64+CS65-DB64)))</f>
        <v>79.462499999999963</v>
      </c>
      <c r="CU65" s="18">
        <f>CT65*VLOOKUP('Données projet'!$B$13,Paramètres!$A$1:$I$89,3,0)*VLOOKUP('Données projet'!$B$13,Paramètres!$A$1:$I$89,5,0)</f>
        <v>91.540799999999948</v>
      </c>
      <c r="CV65" s="14">
        <f t="shared" si="41"/>
        <v>24.93646092914312</v>
      </c>
      <c r="CW65" s="22">
        <f t="shared" si="13"/>
        <v>202.86456278492415</v>
      </c>
      <c r="CX65" s="62">
        <f t="shared" si="14"/>
        <v>496.19789611825746</v>
      </c>
      <c r="CY65" s="62">
        <f ca="1">AVERAGE(OFFSET($CX$3,0,0,'Données projet'!$E$13+1,1))-AVERAGE(OFFSET($H$3,0,0,'Données projet'!$E$13+1,1))</f>
        <v>191.79777926975839</v>
      </c>
      <c r="CZ65" s="62">
        <f t="shared" si="42"/>
        <v>156.66161375678712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4.373333333333334</v>
      </c>
      <c r="DO65" s="13">
        <f>IF('Données projet'!$A$166&gt;35,DO64+DN65-DW64,IF(A65&lt;'Données projet'!$A$166,$DL$205^A65,IF(A65='Données projet'!$A$166,'Données projet'!$B$166,DO64+DN65-DW64)))</f>
        <v>123.03333333333322</v>
      </c>
      <c r="DP65" s="18">
        <f>DO65*VLOOKUP('Données projet'!$B$14,Paramètres!$A$1:$I$89,3,0)*VLOOKUP('Données projet'!$B$14,Paramètres!$A$1:$I$89,5,0)</f>
        <v>134.35239999999988</v>
      </c>
      <c r="DQ65" s="14">
        <f t="shared" si="43"/>
        <v>35.000135508836948</v>
      </c>
      <c r="DR65" s="22">
        <f t="shared" si="16"/>
        <v>294.95566601122408</v>
      </c>
      <c r="DS65" s="62">
        <f t="shared" si="17"/>
        <v>588.2889993445574</v>
      </c>
      <c r="DT65" s="62">
        <f ca="1">AVERAGE(OFFSET($DS$3,0,0,'Données projet'!$E$14+1,1))-AVERAGE(OFFSET($H$3,0,0,'Données projet'!$E$14+1,1))</f>
        <v>541.0854688453461</v>
      </c>
      <c r="DU65" s="62">
        <f t="shared" si="44"/>
        <v>171.04847168584473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12.8</v>
      </c>
      <c r="EJ65" s="13">
        <f>IF('Données projet'!$A$192&gt;35,EJ64+EI65-ER64,IF(A65&lt;'Données projet'!$A$192,$EG$205^A65,IF(A65='Données projet'!$A$192,'Données projet'!$B$192,EJ64+EI65-ER64)))</f>
        <v>273.99999999999994</v>
      </c>
      <c r="EK65" s="18">
        <f>EJ65*VLOOKUP('Données projet'!$B$15,Paramètres!$A$1:$I$89,3,0)*VLOOKUP('Données projet'!$B$15,Paramètres!$A$1:$I$89,5,0)</f>
        <v>163.85199999999998</v>
      </c>
      <c r="EL65" s="14">
        <f t="shared" si="45"/>
        <v>41.710138155336118</v>
      </c>
      <c r="EM65" s="22">
        <f t="shared" si="19"/>
        <v>358.020723953877</v>
      </c>
      <c r="EN65" s="62">
        <f t="shared" si="20"/>
        <v>651.35405728721025</v>
      </c>
      <c r="EO65" s="62">
        <f ca="1">AVERAGE(OFFSET($EN$3,0,0,'Données projet'!$E$15+1,1))-AVERAGE(OFFSET($H$3,0,0,'Données projet'!$E$15+1,1))</f>
        <v>244.01698421598974</v>
      </c>
      <c r="EP65" s="62">
        <f t="shared" si="46"/>
        <v>156.96653202915024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1.4811615894292649</v>
      </c>
      <c r="EX65" s="23">
        <f>EXP(-LN(2)/2)*EX64+(1-EXP(-LN(2)/2))/(LN(2)/2)*ER65*EU65*VLOOKUP('Données projet'!$B$15,Paramètres!$A$1:$I$89,3,0)*0.475*44/12</f>
        <v>1.5195154831692626E-4</v>
      </c>
      <c r="EY65" s="24">
        <f t="shared" si="21"/>
        <v>1.4813135409775817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2.6</v>
      </c>
      <c r="FE65" s="13">
        <f>IF('Données projet'!$A$218&gt;35,FE64+FD65-FM64,IF(A65&lt;'Données projet'!$A$218,$FB$205^A65,IF(A65='Données projet'!$A$218,'Données projet'!$B$218,FE64+FD65-FM64)))</f>
        <v>138.1999999999999</v>
      </c>
      <c r="FF65" s="18">
        <f>FE65*VLOOKUP('Données projet'!$B$16,Paramètres!$A$1:$I$89,3,0)*VLOOKUP('Données projet'!$B$16,Paramètres!$A$1:$I$89,5,0)</f>
        <v>120.73151999999993</v>
      </c>
      <c r="FG65" s="14">
        <f t="shared" si="47"/>
        <v>31.845553926050336</v>
      </c>
      <c r="FH65" s="22">
        <f t="shared" si="22"/>
        <v>265.73840375453756</v>
      </c>
      <c r="FI65" s="62">
        <f t="shared" si="23"/>
        <v>559.07173708787082</v>
      </c>
      <c r="FJ65" s="62">
        <f ca="1">AVERAGE(OFFSET($FI$3,0,0,'Données projet'!$E$16+1,1))-AVERAGE(OFFSET($H$3,0,0,'Données projet'!$E$16+1,1))</f>
        <v>175.08726167127026</v>
      </c>
      <c r="FK65" s="62">
        <f t="shared" si="48"/>
        <v>196.05343924817117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3.4</v>
      </c>
      <c r="FZ65" s="13">
        <f>IF('Données projet'!$A$244&gt;35,FZ64+FY65-GH64,IF(A65&lt;'Données projet'!$A$244,$FW$205^A65,IF(A65='Données projet'!$A$244,'Données projet'!$B$244,FZ64+FY65-GH64)))</f>
        <v>139.80000000000007</v>
      </c>
      <c r="GA65" s="18">
        <f>FZ65*VLOOKUP('Données projet'!$B$17,Paramètres!$A$1:$I$89,3,0)*VLOOKUP('Données projet'!$B$17,Paramètres!$A$1:$I$89,5,0)</f>
        <v>91.596960000000053</v>
      </c>
      <c r="GB65" s="14">
        <f t="shared" si="49"/>
        <v>24.94997815020217</v>
      </c>
      <c r="GC65" s="22">
        <f t="shared" si="25"/>
        <v>202.98591727826886</v>
      </c>
      <c r="GD65" s="62">
        <f t="shared" si="26"/>
        <v>496.31925061160217</v>
      </c>
      <c r="GE65" s="62">
        <f ca="1">AVERAGE(OFFSET($GD$3,0,0,'Données projet'!$E$17+1,1))-AVERAGE(OFFSET($H$3,0,0,'Données projet'!$E$17+1,1))</f>
        <v>142.93037460866543</v>
      </c>
      <c r="GF65" s="62">
        <f t="shared" si="50"/>
        <v>146.18554498808049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3.8</v>
      </c>
      <c r="GU65" s="13">
        <f>IF('Données projet'!$A$270&gt;35,GU64+GT65-HC64,IF(A65&lt;'Données projet'!$A$270,$GR$205^A65,IF(A65='Données projet'!$A$270,'Données projet'!$B$270,GU64+GT65-HC64)))</f>
        <v>112.59999999999998</v>
      </c>
      <c r="GV65" s="18">
        <f>GU65*VLOOKUP('Données projet'!$B$18,Paramètres!$A$1:$I$89,3,0)*VLOOKUP('Données projet'!$B$18,Paramètres!$A$1:$I$89,5,0)</f>
        <v>96.610799999999998</v>
      </c>
      <c r="GW65" s="14">
        <f t="shared" si="51"/>
        <v>26.152954261379485</v>
      </c>
      <c r="GX65" s="22">
        <f t="shared" si="28"/>
        <v>213.81353867190262</v>
      </c>
      <c r="GY65" s="62">
        <f t="shared" si="29"/>
        <v>507.14687200523593</v>
      </c>
      <c r="GZ65" s="62">
        <f ca="1">AVERAGE(OFFSET($GY$3,0,0,'Données projet'!$E$18+1,1))-AVERAGE(OFFSET($H$3,0,0,'Données projet'!$E$18+1,1))</f>
        <v>188.08607733149256</v>
      </c>
      <c r="HA65" s="62">
        <f t="shared" si="52"/>
        <v>119.95698016603842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18.836999999999986</v>
      </c>
      <c r="D66" s="12">
        <f t="shared" si="32"/>
        <v>6.1681146328389715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193.02193751665163</v>
      </c>
      <c r="H66" s="70">
        <f t="shared" si="1"/>
        <v>300.21724131886117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3.8</v>
      </c>
      <c r="N66" s="14">
        <f>IF('Données projet'!$A$36&gt;35,N65+M66-V65,IF(A66&lt;'Données projet'!$A$36,$K$205^A66,IF(A66='Données projet'!$A$36,'Données projet'!$B$36,N65+M66-V65)))</f>
        <v>116.39999999999998</v>
      </c>
      <c r="O66" s="14">
        <f>N66*VLOOKUP('Données projet'!$B$9,Paramètres!$A$1:$I$89,3,0)*VLOOKUP('Données projet'!$B$9,Paramètres!$A$1:$I$89,5,0)</f>
        <v>125.29295999999997</v>
      </c>
      <c r="P66" s="14">
        <f t="shared" si="33"/>
        <v>32.906377072473241</v>
      </c>
      <c r="Q66" s="22">
        <f t="shared" si="53"/>
        <v>275.53051206789081</v>
      </c>
      <c r="R66" s="62">
        <f t="shared" si="0"/>
        <v>568.86384540122413</v>
      </c>
      <c r="S66" s="62">
        <f ca="1">AVERAGE(OFFSET($R$3,0,0,'Données projet'!$E$9+1,1))-AVERAGE(OFFSET($H$3,0,0,'Données projet'!$E$9+1,1))</f>
        <v>236.98575892380046</v>
      </c>
      <c r="T66" s="62">
        <f t="shared" si="34"/>
        <v>145.77678223659774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5.1989010989010991</v>
      </c>
      <c r="AI66" s="14">
        <f>IF('Données projet'!$A$62&gt;35,AI65+AH66-AQ65,IF(A66&lt;'Données projet'!$A$62,$AF$205^A66,IF(A66='Données projet'!$A$62,'Données projet'!$B$62,AI65+AH66-AQ65)))</f>
        <v>168.80329670329678</v>
      </c>
      <c r="AJ66" s="14">
        <f>AI66*VLOOKUP('Données projet'!$B$10,Paramètres!$A$1:$I$89,3,0)*VLOOKUP('Données projet'!$B$10,Paramètres!$A$1:$I$89,5,0)</f>
        <v>98.749928571428626</v>
      </c>
      <c r="AK66" s="14">
        <f t="shared" si="35"/>
        <v>26.663967583086244</v>
      </c>
      <c r="AL66" s="22">
        <f t="shared" si="4"/>
        <v>218.42920246911339</v>
      </c>
      <c r="AM66" s="62">
        <f t="shared" si="5"/>
        <v>511.76253580244668</v>
      </c>
      <c r="AN66" s="62">
        <f ca="1">AVERAGE(OFFSET($AM$3,0,0,'Données projet'!$E$10+1,1))-AVERAGE(OFFSET($H$3,0,0,'Données projet'!$E$10+1,1))</f>
        <v>140.04898296125504</v>
      </c>
      <c r="AO66" s="62">
        <f t="shared" si="36"/>
        <v>129.5395511270716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>
        <f>VLOOKUP(A66,'Données projet'!$A$87:$I$107,2,0)</f>
        <v>350.69230769230768</v>
      </c>
      <c r="BB66" s="13">
        <f>VLOOKUP(A66,'Données projet'!$A$87:$I$107,9,0)</f>
        <v>10.984615384615381</v>
      </c>
      <c r="BC66" s="13">
        <f t="array" ref="BC66">INDEX(BB:BB,MIN(IF(ISNUMBER(BB66:BB262),ROW(BB66:BB262),"")))</f>
        <v>10.984615384615381</v>
      </c>
      <c r="BD66" s="13">
        <f>IF('Données projet'!$A$88&gt;35,BD65+BC66-BL65,IF(A66&lt;'Données projet'!$A$88,$BA$205^A66,IF(A66='Données projet'!$A$88,'Données projet'!$B$88,BD65+BC66-BL65)))</f>
        <v>350.69230769230751</v>
      </c>
      <c r="BE66" s="14">
        <f>BD66*VLOOKUP('Données projet'!$B$11,Paramètres!$A$1:$I$89,3,0)*VLOOKUP('Données projet'!$B$11,Paramètres!$A$1:$I$89,5,0)</f>
        <v>164.12399999999991</v>
      </c>
      <c r="BF66" s="14">
        <f t="shared" si="37"/>
        <v>41.771312955270531</v>
      </c>
      <c r="BG66" s="22">
        <f t="shared" si="7"/>
        <v>358.60100339709601</v>
      </c>
      <c r="BH66" s="62">
        <f t="shared" si="8"/>
        <v>651.93433673042932</v>
      </c>
      <c r="BI66" s="62">
        <f ca="1">AVERAGE(OFFSET($BH$3,0,0,'Données projet'!$E$11+1,1))-AVERAGE(OFFSET($H$3,0,0,'Données projet'!$E$11+1,1))</f>
        <v>207.84100251878419</v>
      </c>
      <c r="BJ66" s="62">
        <f t="shared" si="38"/>
        <v>124.34917784241952</v>
      </c>
      <c r="BK66" s="16">
        <f>IF(ISNA(VLOOKUP(A66,'Données projet'!$A$87:$I$107,3,0)),0,VLOOKUP(A66,'Données projet'!$A$87:$I$107,3,0))</f>
        <v>2</v>
      </c>
      <c r="BL66" s="16">
        <f>IF(ISNA(VLOOKUP(A66,'Données projet'!$A$87:$I$107,4,0)),0,VLOOKUP(A66,'Données projet'!$A$87:$I$107,4,0))</f>
        <v>108.08461538461538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2.7600000000000025</v>
      </c>
      <c r="BY66" s="13">
        <f>IF('Données projet'!$A$114&gt;35,BY65+BX66-CG65,IF(A66&lt;'Données projet'!$A$114,$BV$205^A66,IF(A66='Données projet'!$A$114,'Données projet'!$B$114,BY65+BX66-CG65)))</f>
        <v>248.77999999999994</v>
      </c>
      <c r="BZ66" s="14">
        <f>BY66*VLOOKUP('Données projet'!$B$12,Paramètres!$A$1:$I$89,3,0)*VLOOKUP('Données projet'!$B$12,Paramètres!$A$1:$I$89,5,0)</f>
        <v>129.3656</v>
      </c>
      <c r="CA66" s="14">
        <f t="shared" si="39"/>
        <v>33.849726408738</v>
      </c>
      <c r="CB66" s="22">
        <f t="shared" si="10"/>
        <v>284.26669349521865</v>
      </c>
      <c r="CC66" s="62">
        <f t="shared" si="11"/>
        <v>577.60002682855202</v>
      </c>
      <c r="CD66" s="62">
        <f ca="1">AVERAGE(OFFSET($CC$3,0,0,'Données projet'!$E$12+1,1))-AVERAGE(OFFSET($H$3,0,0,'Données projet'!$E$12+1,1))</f>
        <v>211.05980622218578</v>
      </c>
      <c r="CE66" s="62">
        <f t="shared" si="40"/>
        <v>168.57746894604855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1.6750000000000014</v>
      </c>
      <c r="CT66" s="13">
        <f>IF('Données projet'!$A$140&gt;35,CT65+CS66-DB65,IF(A66&lt;'Données projet'!$A$140,$CQ$205^A66,IF(A66='Données projet'!$A$140,'Données projet'!$B$140,CT65+CS66-DB65)))</f>
        <v>81.13749999999996</v>
      </c>
      <c r="CU66" s="18">
        <f>CT66*VLOOKUP('Données projet'!$B$13,Paramètres!$A$1:$I$89,3,0)*VLOOKUP('Données projet'!$B$13,Paramètres!$A$1:$I$89,5,0)</f>
        <v>93.470399999999941</v>
      </c>
      <c r="CV66" s="14">
        <f t="shared" si="41"/>
        <v>25.400349986061777</v>
      </c>
      <c r="CW66" s="22">
        <f t="shared" si="13"/>
        <v>207.03322289239085</v>
      </c>
      <c r="CX66" s="62">
        <f t="shared" si="14"/>
        <v>500.36655622572414</v>
      </c>
      <c r="CY66" s="62">
        <f ca="1">AVERAGE(OFFSET($CX$3,0,0,'Données projet'!$E$13+1,1))-AVERAGE(OFFSET($H$3,0,0,'Données projet'!$E$13+1,1))</f>
        <v>191.79777926975839</v>
      </c>
      <c r="CZ66" s="62">
        <f t="shared" si="42"/>
        <v>156.66161375678712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4.373333333333334</v>
      </c>
      <c r="DO66" s="13">
        <f>IF('Données projet'!$A$166&gt;35,DO65+DN66-DW65,IF(A66&lt;'Données projet'!$A$166,$DL$205^A66,IF(A66='Données projet'!$A$166,'Données projet'!$B$166,DO65+DN66-DW65)))</f>
        <v>127.40666666666655</v>
      </c>
      <c r="DP66" s="18">
        <f>DO66*VLOOKUP('Données projet'!$B$14,Paramètres!$A$1:$I$89,3,0)*VLOOKUP('Données projet'!$B$14,Paramètres!$A$1:$I$89,5,0)</f>
        <v>139.12807999999987</v>
      </c>
      <c r="DQ66" s="14">
        <f t="shared" si="43"/>
        <v>36.097188297199736</v>
      </c>
      <c r="DR66" s="22">
        <f t="shared" si="16"/>
        <v>305.18400895095596</v>
      </c>
      <c r="DS66" s="62">
        <f t="shared" si="17"/>
        <v>598.51734228428927</v>
      </c>
      <c r="DT66" s="62">
        <f ca="1">AVERAGE(OFFSET($DS$3,0,0,'Données projet'!$E$14+1,1))-AVERAGE(OFFSET($H$3,0,0,'Données projet'!$E$14+1,1))</f>
        <v>541.0854688453461</v>
      </c>
      <c r="DU66" s="62">
        <f t="shared" si="44"/>
        <v>171.04847168584473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12.8</v>
      </c>
      <c r="EJ66" s="13">
        <f>IF('Données projet'!$A$192&gt;35,EJ65+EI66-ER65,IF(A66&lt;'Données projet'!$A$192,$EG$205^A66,IF(A66='Données projet'!$A$192,'Données projet'!$B$192,EJ65+EI66-ER65)))</f>
        <v>286.79999999999995</v>
      </c>
      <c r="EK66" s="18">
        <f>EJ66*VLOOKUP('Données projet'!$B$15,Paramètres!$A$1:$I$89,3,0)*VLOOKUP('Données projet'!$B$15,Paramètres!$A$1:$I$89,5,0)</f>
        <v>171.50640000000001</v>
      </c>
      <c r="EL66" s="14">
        <f t="shared" si="45"/>
        <v>43.427233649451665</v>
      </c>
      <c r="EM66" s="22">
        <f t="shared" si="19"/>
        <v>374.34274527279496</v>
      </c>
      <c r="EN66" s="62">
        <f t="shared" si="20"/>
        <v>667.67607860612827</v>
      </c>
      <c r="EO66" s="62">
        <f ca="1">AVERAGE(OFFSET($EN$3,0,0,'Données projet'!$E$15+1,1))-AVERAGE(OFFSET($H$3,0,0,'Données projet'!$E$15+1,1))</f>
        <v>244.01698421598974</v>
      </c>
      <c r="EP66" s="62">
        <f t="shared" si="46"/>
        <v>156.96653202915024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1.4406591478754189</v>
      </c>
      <c r="EX66" s="23">
        <f>EXP(-LN(2)/2)*EX65+(1-EXP(-LN(2)/2))/(LN(2)/2)*ER66*EU66*VLOOKUP('Données projet'!$B$15,Paramètres!$A$1:$I$89,3,0)*0.475*44/12</f>
        <v>1.0744597022669388E-4</v>
      </c>
      <c r="EY66" s="24">
        <f t="shared" si="21"/>
        <v>1.4407665938456455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2.6</v>
      </c>
      <c r="FE66" s="13">
        <f>IF('Données projet'!$A$218&gt;35,FE65+FD66-FM65,IF(A66&lt;'Données projet'!$A$218,$FB$205^A66,IF(A66='Données projet'!$A$218,'Données projet'!$B$218,FE65+FD66-FM65)))</f>
        <v>140.7999999999999</v>
      </c>
      <c r="FF66" s="18">
        <f>FE66*VLOOKUP('Données projet'!$B$16,Paramètres!$A$1:$I$89,3,0)*VLOOKUP('Données projet'!$B$16,Paramètres!$A$1:$I$89,5,0)</f>
        <v>123.00287999999993</v>
      </c>
      <c r="FG66" s="14">
        <f t="shared" si="47"/>
        <v>32.374361095906139</v>
      </c>
      <c r="FH66" s="22">
        <f t="shared" si="22"/>
        <v>270.61536157536972</v>
      </c>
      <c r="FI66" s="62">
        <f t="shared" si="23"/>
        <v>563.94869490870303</v>
      </c>
      <c r="FJ66" s="62">
        <f ca="1">AVERAGE(OFFSET($FI$3,0,0,'Données projet'!$E$16+1,1))-AVERAGE(OFFSET($H$3,0,0,'Données projet'!$E$16+1,1))</f>
        <v>175.08726167127026</v>
      </c>
      <c r="FK66" s="62">
        <f t="shared" si="48"/>
        <v>196.05343924817117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3.4</v>
      </c>
      <c r="FZ66" s="13">
        <f>IF('Données projet'!$A$244&gt;35,FZ65+FY66-GH65,IF(A66&lt;'Données projet'!$A$244,$FW$205^A66,IF(A66='Données projet'!$A$244,'Données projet'!$B$244,FZ65+FY66-GH65)))</f>
        <v>143.20000000000007</v>
      </c>
      <c r="GA66" s="18">
        <f>FZ66*VLOOKUP('Données projet'!$B$17,Paramètres!$A$1:$I$89,3,0)*VLOOKUP('Données projet'!$B$17,Paramètres!$A$1:$I$89,5,0)</f>
        <v>93.824640000000045</v>
      </c>
      <c r="GB66" s="14">
        <f t="shared" si="49"/>
        <v>25.48538998338303</v>
      </c>
      <c r="GC66" s="22">
        <f t="shared" si="25"/>
        <v>207.79830222105883</v>
      </c>
      <c r="GD66" s="62">
        <f t="shared" si="26"/>
        <v>501.13163555439212</v>
      </c>
      <c r="GE66" s="62">
        <f ca="1">AVERAGE(OFFSET($GD$3,0,0,'Données projet'!$E$17+1,1))-AVERAGE(OFFSET($H$3,0,0,'Données projet'!$E$17+1,1))</f>
        <v>142.93037460866543</v>
      </c>
      <c r="GF66" s="62">
        <f t="shared" si="50"/>
        <v>146.18554498808049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3.8</v>
      </c>
      <c r="GU66" s="13">
        <f>IF('Données projet'!$A$270&gt;35,GU65+GT66-HC65,IF(A66&lt;'Données projet'!$A$270,$GR$205^A66,IF(A66='Données projet'!$A$270,'Données projet'!$B$270,GU65+GT66-HC65)))</f>
        <v>116.39999999999998</v>
      </c>
      <c r="GV66" s="18">
        <f>GU66*VLOOKUP('Données projet'!$B$18,Paramètres!$A$1:$I$89,3,0)*VLOOKUP('Données projet'!$B$18,Paramètres!$A$1:$I$89,5,0)</f>
        <v>99.871200000000002</v>
      </c>
      <c r="GW66" s="14">
        <f t="shared" si="51"/>
        <v>26.931310423172796</v>
      </c>
      <c r="GX66" s="22">
        <f t="shared" si="28"/>
        <v>220.84770565369263</v>
      </c>
      <c r="GY66" s="62">
        <f t="shared" si="29"/>
        <v>514.18103898702589</v>
      </c>
      <c r="GZ66" s="62">
        <f ca="1">AVERAGE(OFFSET($GY$3,0,0,'Données projet'!$E$18+1,1))-AVERAGE(OFFSET($H$3,0,0,'Données projet'!$E$18+1,1))</f>
        <v>188.08607733149256</v>
      </c>
      <c r="HA66" s="62">
        <f t="shared" si="52"/>
        <v>119.95698016603842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19.135999999999985</v>
      </c>
      <c r="D67" s="12">
        <f t="shared" si="32"/>
        <v>6.2545454373771801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195.99719284992898</v>
      </c>
      <c r="H67" s="70">
        <f t="shared" si="1"/>
        <v>300.88853330343193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3.8</v>
      </c>
      <c r="N67" s="14">
        <f>IF('Données projet'!$A$36&gt;35,N66+M67-V66,IF(A67&lt;'Données projet'!$A$36,$K$205^A67,IF(A67='Données projet'!$A$36,'Données projet'!$B$36,N66+M67-V66)))</f>
        <v>120.19999999999997</v>
      </c>
      <c r="O67" s="14">
        <f>N67*VLOOKUP('Données projet'!$B$9,Paramètres!$A$1:$I$89,3,0)*VLOOKUP('Données projet'!$B$9,Paramètres!$A$1:$I$89,5,0)</f>
        <v>129.38327999999996</v>
      </c>
      <c r="P67" s="14">
        <f t="shared" si="33"/>
        <v>33.853814032069501</v>
      </c>
      <c r="Q67" s="22">
        <f t="shared" ref="Q67:Q98" si="54">(O67+P67)*0.475*44/12</f>
        <v>284.30460543918758</v>
      </c>
      <c r="R67" s="62">
        <f t="shared" ref="R67:R130" si="55">Q67+(I67+J67)*44/12</f>
        <v>577.6379387725209</v>
      </c>
      <c r="S67" s="62">
        <f ca="1">AVERAGE(OFFSET($R$3,0,0,'Données projet'!$E$9+1,1))-AVERAGE(OFFSET($H$3,0,0,'Données projet'!$E$9+1,1))</f>
        <v>236.98575892380046</v>
      </c>
      <c r="T67" s="62">
        <f t="shared" si="34"/>
        <v>145.77678223659774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5.1989010989010991</v>
      </c>
      <c r="AI67" s="14">
        <f>IF('Données projet'!$A$62&gt;35,AI66+AH67-AQ66,IF(A67&lt;'Données projet'!$A$62,$AF$205^A67,IF(A67='Données projet'!$A$62,'Données projet'!$B$62,AI66+AH67-AQ66)))</f>
        <v>174.00219780219788</v>
      </c>
      <c r="AJ67" s="14">
        <f>AI67*VLOOKUP('Données projet'!$B$10,Paramètres!$A$1:$I$89,3,0)*VLOOKUP('Données projet'!$B$10,Paramètres!$A$1:$I$89,5,0)</f>
        <v>101.79128571428578</v>
      </c>
      <c r="AK67" s="14">
        <f t="shared" si="35"/>
        <v>27.388304708404629</v>
      </c>
      <c r="AL67" s="22">
        <f t="shared" si="4"/>
        <v>224.98778665285246</v>
      </c>
      <c r="AM67" s="62">
        <f t="shared" si="5"/>
        <v>518.32111998618575</v>
      </c>
      <c r="AN67" s="62">
        <f ca="1">AVERAGE(OFFSET($AM$3,0,0,'Données projet'!$E$10+1,1))-AVERAGE(OFFSET($H$3,0,0,'Données projet'!$E$10+1,1))</f>
        <v>140.04898296125504</v>
      </c>
      <c r="AO67" s="62">
        <f t="shared" si="36"/>
        <v>129.5395511270716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9.6897435897435908</v>
      </c>
      <c r="BD67" s="13">
        <f>IF('Données projet'!$A$88&gt;35,BD66+BC67-BL66,IF(A67&lt;'Données projet'!$A$88,$BA$205^A67,IF(A67='Données projet'!$A$88,'Données projet'!$B$88,BD66+BC67-BL66)))</f>
        <v>252.29743589743575</v>
      </c>
      <c r="BE67" s="14">
        <f>BD67*VLOOKUP('Données projet'!$B$11,Paramètres!$A$1:$I$89,3,0)*VLOOKUP('Données projet'!$B$11,Paramètres!$A$1:$I$89,5,0)</f>
        <v>118.07519999999992</v>
      </c>
      <c r="BF67" s="14">
        <f t="shared" si="37"/>
        <v>31.225649693095828</v>
      </c>
      <c r="BG67" s="22">
        <f t="shared" si="7"/>
        <v>260.03231321547509</v>
      </c>
      <c r="BH67" s="62">
        <f t="shared" si="8"/>
        <v>553.3656465488084</v>
      </c>
      <c r="BI67" s="62">
        <f ca="1">AVERAGE(OFFSET($BH$3,0,0,'Données projet'!$E$11+1,1))-AVERAGE(OFFSET($H$3,0,0,'Données projet'!$E$11+1,1))</f>
        <v>207.84100251878419</v>
      </c>
      <c r="BJ67" s="62">
        <f t="shared" si="38"/>
        <v>124.34917784241952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2.7600000000000025</v>
      </c>
      <c r="BY67" s="13">
        <f>IF('Données projet'!$A$114&gt;35,BY66+BX67-CG66,IF(A67&lt;'Données projet'!$A$114,$BV$205^A67,IF(A67='Données projet'!$A$114,'Données projet'!$B$114,BY66+BX67-CG66)))</f>
        <v>251.53999999999994</v>
      </c>
      <c r="BZ67" s="14">
        <f>BY67*VLOOKUP('Données projet'!$B$12,Paramètres!$A$1:$I$89,3,0)*VLOOKUP('Données projet'!$B$12,Paramètres!$A$1:$I$89,5,0)</f>
        <v>130.80079999999998</v>
      </c>
      <c r="CA67" s="14">
        <f t="shared" si="39"/>
        <v>34.181334512311345</v>
      </c>
      <c r="CB67" s="22">
        <f t="shared" si="10"/>
        <v>287.34388427560884</v>
      </c>
      <c r="CC67" s="62">
        <f t="shared" si="11"/>
        <v>580.6772176089421</v>
      </c>
      <c r="CD67" s="62">
        <f ca="1">AVERAGE(OFFSET($CC$3,0,0,'Données projet'!$E$12+1,1))-AVERAGE(OFFSET($H$3,0,0,'Données projet'!$E$12+1,1))</f>
        <v>211.05980622218578</v>
      </c>
      <c r="CE67" s="62">
        <f t="shared" si="40"/>
        <v>168.57746894604855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1.6750000000000014</v>
      </c>
      <c r="CT67" s="13">
        <f>IF('Données projet'!$A$140&gt;35,CT66+CS67-DB66,IF(A67&lt;'Données projet'!$A$140,$CQ$205^A67,IF(A67='Données projet'!$A$140,'Données projet'!$B$140,CT66+CS67-DB66)))</f>
        <v>82.812499999999957</v>
      </c>
      <c r="CU67" s="18">
        <f>CT67*VLOOKUP('Données projet'!$B$13,Paramètres!$A$1:$I$89,3,0)*VLOOKUP('Données projet'!$B$13,Paramètres!$A$1:$I$89,5,0)</f>
        <v>95.399999999999949</v>
      </c>
      <c r="CV67" s="14">
        <f t="shared" si="41"/>
        <v>25.863125591712326</v>
      </c>
      <c r="CW67" s="22">
        <f t="shared" si="13"/>
        <v>211.1999437388989</v>
      </c>
      <c r="CX67" s="62">
        <f t="shared" si="14"/>
        <v>504.53327707223218</v>
      </c>
      <c r="CY67" s="62">
        <f ca="1">AVERAGE(OFFSET($CX$3,0,0,'Données projet'!$E$13+1,1))-AVERAGE(OFFSET($H$3,0,0,'Données projet'!$E$13+1,1))</f>
        <v>191.79777926975839</v>
      </c>
      <c r="CZ67" s="62">
        <f t="shared" si="42"/>
        <v>156.66161375678712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4.373333333333334</v>
      </c>
      <c r="DO67" s="13">
        <f>IF('Données projet'!$A$166&gt;35,DO66+DN67-DW66,IF(A67&lt;'Données projet'!$A$166,$DL$205^A67,IF(A67='Données projet'!$A$166,'Données projet'!$B$166,DO66+DN67-DW66)))</f>
        <v>131.77999999999989</v>
      </c>
      <c r="DP67" s="18">
        <f>DO67*VLOOKUP('Données projet'!$B$14,Paramètres!$A$1:$I$89,3,0)*VLOOKUP('Données projet'!$B$14,Paramètres!$A$1:$I$89,5,0)</f>
        <v>143.90375999999986</v>
      </c>
      <c r="DQ67" s="14">
        <f t="shared" si="43"/>
        <v>37.189865625651315</v>
      </c>
      <c r="DR67" s="22">
        <f t="shared" si="16"/>
        <v>315.40473129800915</v>
      </c>
      <c r="DS67" s="62">
        <f t="shared" si="17"/>
        <v>608.73806463134247</v>
      </c>
      <c r="DT67" s="62">
        <f ca="1">AVERAGE(OFFSET($DS$3,0,0,'Données projet'!$E$14+1,1))-AVERAGE(OFFSET($H$3,0,0,'Données projet'!$E$14+1,1))</f>
        <v>541.0854688453461</v>
      </c>
      <c r="DU67" s="62">
        <f t="shared" si="44"/>
        <v>171.04847168584473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12.8</v>
      </c>
      <c r="EJ67" s="13">
        <f>IF('Données projet'!$A$192&gt;35,EJ66+EI67-ER66,IF(A67&lt;'Données projet'!$A$192,$EG$205^A67,IF(A67='Données projet'!$A$192,'Données projet'!$B$192,EJ66+EI67-ER66)))</f>
        <v>299.59999999999997</v>
      </c>
      <c r="EK67" s="18">
        <f>EJ67*VLOOKUP('Données projet'!$B$15,Paramètres!$A$1:$I$89,3,0)*VLOOKUP('Données projet'!$B$15,Paramètres!$A$1:$I$89,5,0)</f>
        <v>179.16080000000002</v>
      </c>
      <c r="EL67" s="14">
        <f t="shared" si="45"/>
        <v>45.135428878592464</v>
      </c>
      <c r="EM67" s="22">
        <f t="shared" si="19"/>
        <v>390.64926529688188</v>
      </c>
      <c r="EN67" s="62">
        <f t="shared" si="20"/>
        <v>683.98259863021519</v>
      </c>
      <c r="EO67" s="62">
        <f ca="1">AVERAGE(OFFSET($EN$3,0,0,'Données projet'!$E$15+1,1))-AVERAGE(OFFSET($H$3,0,0,'Données projet'!$E$15+1,1))</f>
        <v>244.01698421598974</v>
      </c>
      <c r="EP67" s="62">
        <f t="shared" si="46"/>
        <v>156.96653202915024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1.4012642477157937</v>
      </c>
      <c r="EX67" s="23">
        <f>EXP(-LN(2)/2)*EX66+(1-EXP(-LN(2)/2))/(LN(2)/2)*ER67*EU67*VLOOKUP('Données projet'!$B$15,Paramètres!$A$1:$I$89,3,0)*0.475*44/12</f>
        <v>7.5975774158463128E-5</v>
      </c>
      <c r="EY67" s="24">
        <f t="shared" si="21"/>
        <v>1.4013402234899521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2.6</v>
      </c>
      <c r="FE67" s="13">
        <f>IF('Données projet'!$A$218&gt;35,FE66+FD67-FM66,IF(A67&lt;'Données projet'!$A$218,$FB$205^A67,IF(A67='Données projet'!$A$218,'Données projet'!$B$218,FE66+FD67-FM66)))</f>
        <v>143.39999999999989</v>
      </c>
      <c r="FF67" s="18">
        <f>FE67*VLOOKUP('Données projet'!$B$16,Paramètres!$A$1:$I$89,3,0)*VLOOKUP('Données projet'!$B$16,Paramètres!$A$1:$I$89,5,0)</f>
        <v>125.27423999999992</v>
      </c>
      <c r="FG67" s="14">
        <f t="shared" si="47"/>
        <v>32.902032783270968</v>
      </c>
      <c r="FH67" s="22">
        <f t="shared" si="22"/>
        <v>275.49034176419678</v>
      </c>
      <c r="FI67" s="62">
        <f t="shared" si="23"/>
        <v>568.8236750975301</v>
      </c>
      <c r="FJ67" s="62">
        <f ca="1">AVERAGE(OFFSET($FI$3,0,0,'Données projet'!$E$16+1,1))-AVERAGE(OFFSET($H$3,0,0,'Données projet'!$E$16+1,1))</f>
        <v>175.08726167127026</v>
      </c>
      <c r="FK67" s="62">
        <f t="shared" si="48"/>
        <v>196.05343924817117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3.4</v>
      </c>
      <c r="FZ67" s="13">
        <f>IF('Données projet'!$A$244&gt;35,FZ66+FY67-GH66,IF(A67&lt;'Données projet'!$A$244,$FW$205^A67,IF(A67='Données projet'!$A$244,'Données projet'!$B$244,FZ66+FY67-GH66)))</f>
        <v>146.60000000000008</v>
      </c>
      <c r="GA67" s="18">
        <f>FZ67*VLOOKUP('Données projet'!$B$17,Paramètres!$A$1:$I$89,3,0)*VLOOKUP('Données projet'!$B$17,Paramètres!$A$1:$I$89,5,0)</f>
        <v>96.052320000000051</v>
      </c>
      <c r="GB67" s="14">
        <f t="shared" si="49"/>
        <v>26.019324001860248</v>
      </c>
      <c r="GC67" s="22">
        <f t="shared" si="25"/>
        <v>212.60811330324006</v>
      </c>
      <c r="GD67" s="62">
        <f t="shared" si="26"/>
        <v>505.94144663657335</v>
      </c>
      <c r="GE67" s="62">
        <f ca="1">AVERAGE(OFFSET($GD$3,0,0,'Données projet'!$E$17+1,1))-AVERAGE(OFFSET($H$3,0,0,'Données projet'!$E$17+1,1))</f>
        <v>142.93037460866543</v>
      </c>
      <c r="GF67" s="62">
        <f t="shared" si="50"/>
        <v>146.18554498808049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3.8</v>
      </c>
      <c r="GU67" s="13">
        <f>IF('Données projet'!$A$270&gt;35,GU66+GT67-HC66,IF(A67&lt;'Données projet'!$A$270,$GR$205^A67,IF(A67='Données projet'!$A$270,'Données projet'!$B$270,GU66+GT67-HC66)))</f>
        <v>120.19999999999997</v>
      </c>
      <c r="GV67" s="18">
        <f>GU67*VLOOKUP('Données projet'!$B$18,Paramètres!$A$1:$I$89,3,0)*VLOOKUP('Données projet'!$B$18,Paramètres!$A$1:$I$89,5,0)</f>
        <v>103.13159999999998</v>
      </c>
      <c r="GW67" s="14">
        <f t="shared" si="51"/>
        <v>27.706713890077669</v>
      </c>
      <c r="GX67" s="22">
        <f t="shared" si="28"/>
        <v>227.87673002521856</v>
      </c>
      <c r="GY67" s="62">
        <f t="shared" si="29"/>
        <v>521.21006335855191</v>
      </c>
      <c r="GZ67" s="62">
        <f ca="1">AVERAGE(OFFSET($GY$3,0,0,'Données projet'!$E$18+1,1))-AVERAGE(OFFSET($H$3,0,0,'Données projet'!$E$18+1,1))</f>
        <v>188.08607733149256</v>
      </c>
      <c r="HA67" s="62">
        <f t="shared" si="52"/>
        <v>119.95698016603842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19.434999999999985</v>
      </c>
      <c r="D68" s="12">
        <f t="shared" si="32"/>
        <v>6.3408191819961655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198.97123579084746</v>
      </c>
      <c r="H68" s="70">
        <f t="shared" ref="H68:H131" si="56">(B68+E68+F68)*44/12+(C68+D68)*0.475*44/12</f>
        <v>301.55955174197663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124</v>
      </c>
      <c r="L68" s="13">
        <f>VLOOKUP(A68,'Données projet'!$A$35:$I$55,9,0)</f>
        <v>3.8</v>
      </c>
      <c r="M68" s="13">
        <f t="array" ref="M68">INDEX(L:L,MIN(IF(ISNUMBER(L68:L264),ROW(L68:L264),"")))</f>
        <v>3.8</v>
      </c>
      <c r="N68" s="14">
        <f>IF('Données projet'!$A$36&gt;35,N67+M68-V67,IF(A68&lt;'Données projet'!$A$36,$K$205^A68,IF(A68='Données projet'!$A$36,'Données projet'!$B$36,N67+M68-V67)))</f>
        <v>123.99999999999997</v>
      </c>
      <c r="O68" s="14">
        <f>N68*VLOOKUP('Données projet'!$B$9,Paramètres!$A$1:$I$89,3,0)*VLOOKUP('Données projet'!$B$9,Paramètres!$A$1:$I$89,5,0)</f>
        <v>133.47359999999998</v>
      </c>
      <c r="P68" s="14">
        <f t="shared" si="33"/>
        <v>34.797770344180101</v>
      </c>
      <c r="Q68" s="22">
        <f t="shared" si="54"/>
        <v>293.07263668278028</v>
      </c>
      <c r="R68" s="62">
        <f t="shared" si="55"/>
        <v>586.40597001611354</v>
      </c>
      <c r="S68" s="62">
        <f ca="1">AVERAGE(OFFSET($R$3,0,0,'Données projet'!$E$9+1,1))-AVERAGE(OFFSET($H$3,0,0,'Données projet'!$E$9+1,1))</f>
        <v>236.98575892380046</v>
      </c>
      <c r="T68" s="62">
        <f t="shared" si="34"/>
        <v>145.77678223659774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5.1989010989010991</v>
      </c>
      <c r="AI68" s="14">
        <f>IF('Données projet'!$A$62&gt;35,AI67+AH68-AQ67,IF(A68&lt;'Données projet'!$A$62,$AF$205^A68,IF(A68='Données projet'!$A$62,'Données projet'!$B$62,AI67+AH68-AQ67)))</f>
        <v>179.20109890109899</v>
      </c>
      <c r="AJ68" s="14">
        <f>AI68*VLOOKUP('Données projet'!$B$10,Paramètres!$A$1:$I$89,3,0)*VLOOKUP('Données projet'!$B$10,Paramètres!$A$1:$I$89,5,0)</f>
        <v>104.83264285714291</v>
      </c>
      <c r="AK68" s="14">
        <f t="shared" si="35"/>
        <v>28.110126684008662</v>
      </c>
      <c r="AL68" s="22">
        <f t="shared" ref="AL68:AL131" si="58">(AJ68+AK68)*0.475*44/12</f>
        <v>231.54199028417233</v>
      </c>
      <c r="AM68" s="62">
        <f t="shared" ref="AM68:AM131" si="59">AL68+(AD68+AE68)*44/12</f>
        <v>524.87532361750561</v>
      </c>
      <c r="AN68" s="62">
        <f ca="1">AVERAGE(OFFSET($AM$3,0,0,'Données projet'!$E$10+1,1))-AVERAGE(OFFSET($H$3,0,0,'Données projet'!$E$10+1,1))</f>
        <v>140.04898296125504</v>
      </c>
      <c r="AO68" s="62">
        <f t="shared" si="36"/>
        <v>129.5395511270716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9.6897435897435908</v>
      </c>
      <c r="BD68" s="13">
        <f>IF('Données projet'!$A$88&gt;35,BD67+BC68-BL67,IF(A68&lt;'Données projet'!$A$88,$BA$205^A68,IF(A68='Données projet'!$A$88,'Données projet'!$B$88,BD67+BC68-BL67)))</f>
        <v>261.98717948717933</v>
      </c>
      <c r="BE68" s="14">
        <f>BD68*VLOOKUP('Données projet'!$B$11,Paramètres!$A$1:$I$89,3,0)*VLOOKUP('Données projet'!$B$11,Paramètres!$A$1:$I$89,5,0)</f>
        <v>122.60999999999993</v>
      </c>
      <c r="BF68" s="14">
        <f t="shared" si="37"/>
        <v>32.282974526111182</v>
      </c>
      <c r="BG68" s="22">
        <f t="shared" ref="BG68:BG131" si="61">(BE68+BF68)*0.475*44/12</f>
        <v>269.77193063297682</v>
      </c>
      <c r="BH68" s="62">
        <f t="shared" ref="BH68:BH131" si="62">BG68+(AY68+AZ68)*44/12</f>
        <v>563.10526396631008</v>
      </c>
      <c r="BI68" s="62">
        <f ca="1">AVERAGE(OFFSET($BH$3,0,0,'Données projet'!$E$11+1,1))-AVERAGE(OFFSET($H$3,0,0,'Données projet'!$E$11+1,1))</f>
        <v>207.84100251878419</v>
      </c>
      <c r="BJ68" s="62">
        <f t="shared" si="38"/>
        <v>124.34917784241952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254.3</v>
      </c>
      <c r="BW68" s="13">
        <f>VLOOKUP(A68,'Données projet'!$A$113:$I$133,9,0)</f>
        <v>2.7600000000000025</v>
      </c>
      <c r="BX68" s="13">
        <f t="array" ref="BX68">INDEX(BW:BW,MIN(IF(ISNUMBER(BW68:BW264),ROW(BW68:BW264),"")))</f>
        <v>2.7600000000000025</v>
      </c>
      <c r="BY68" s="13">
        <f>IF('Données projet'!$A$114&gt;35,BY67+BX68-CG67,IF(A68&lt;'Données projet'!$A$114,$BV$205^A68,IF(A68='Données projet'!$A$114,'Données projet'!$B$114,BY67+BX68-CG67)))</f>
        <v>254.29999999999993</v>
      </c>
      <c r="BZ68" s="14">
        <f>BY68*VLOOKUP('Données projet'!$B$12,Paramètres!$A$1:$I$89,3,0)*VLOOKUP('Données projet'!$B$12,Paramètres!$A$1:$I$89,5,0)</f>
        <v>132.23599999999996</v>
      </c>
      <c r="CA68" s="14">
        <f t="shared" si="39"/>
        <v>34.512519351186441</v>
      </c>
      <c r="CB68" s="22">
        <f t="shared" ref="CB68:CB131" si="64">(BZ68+CA68)*0.475*44/12</f>
        <v>290.42033786998297</v>
      </c>
      <c r="CC68" s="62">
        <f t="shared" ref="CC68:CC131" si="65">CB68+(BT68+BU68)*44/12</f>
        <v>583.75367120331634</v>
      </c>
      <c r="CD68" s="62">
        <f ca="1">AVERAGE(OFFSET($CC$3,0,0,'Données projet'!$E$12+1,1))-AVERAGE(OFFSET($H$3,0,0,'Données projet'!$E$12+1,1))</f>
        <v>211.05980622218578</v>
      </c>
      <c r="CE68" s="62">
        <f t="shared" si="40"/>
        <v>168.57746894604855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1.6750000000000014</v>
      </c>
      <c r="CT68" s="13">
        <f>IF('Données projet'!$A$140&gt;35,CT67+CS68-DB67,IF(A68&lt;'Données projet'!$A$140,$CQ$205^A68,IF(A68='Données projet'!$A$140,'Données projet'!$B$140,CT67+CS68-DB67)))</f>
        <v>84.487499999999955</v>
      </c>
      <c r="CU68" s="18">
        <f>CT68*VLOOKUP('Données projet'!$B$13,Paramètres!$A$1:$I$89,3,0)*VLOOKUP('Données projet'!$B$13,Paramètres!$A$1:$I$89,5,0)</f>
        <v>97.329599999999928</v>
      </c>
      <c r="CV68" s="14">
        <f t="shared" si="41"/>
        <v>26.324812862564265</v>
      </c>
      <c r="CW68" s="22">
        <f t="shared" ref="CW68:CW131" si="67">(CU68+CV68)*0.475*44/12</f>
        <v>215.36476906896596</v>
      </c>
      <c r="CX68" s="62">
        <f t="shared" ref="CX68:CX131" si="68">CW68+(CO68+CP68)*44/12</f>
        <v>508.69810240229924</v>
      </c>
      <c r="CY68" s="62">
        <f ca="1">AVERAGE(OFFSET($CX$3,0,0,'Données projet'!$E$13+1,1))-AVERAGE(OFFSET($H$3,0,0,'Données projet'!$E$13+1,1))</f>
        <v>191.79777926975839</v>
      </c>
      <c r="CZ68" s="62">
        <f t="shared" si="42"/>
        <v>156.66161375678712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4.373333333333334</v>
      </c>
      <c r="DO68" s="13">
        <f>IF('Données projet'!$A$166&gt;35,DO67+DN68-DW67,IF(A68&lt;'Données projet'!$A$166,$DL$205^A68,IF(A68='Données projet'!$A$166,'Données projet'!$B$166,DO67+DN68-DW67)))</f>
        <v>136.15333333333322</v>
      </c>
      <c r="DP68" s="18">
        <f>DO68*VLOOKUP('Données projet'!$B$14,Paramètres!$A$1:$I$89,3,0)*VLOOKUP('Données projet'!$B$14,Paramètres!$A$1:$I$89,5,0)</f>
        <v>148.67943999999986</v>
      </c>
      <c r="DQ68" s="14">
        <f t="shared" si="43"/>
        <v>38.278329350637904</v>
      </c>
      <c r="DR68" s="22">
        <f t="shared" ref="DR68:DR131" si="70">(DP68+DQ68)*0.475*44/12</f>
        <v>325.61811495236071</v>
      </c>
      <c r="DS68" s="62">
        <f t="shared" ref="DS68:DS131" si="71">DR68+(DJ68+DK68)*44/12</f>
        <v>618.95144828569403</v>
      </c>
      <c r="DT68" s="62">
        <f ca="1">AVERAGE(OFFSET($DS$3,0,0,'Données projet'!$E$14+1,1))-AVERAGE(OFFSET($H$3,0,0,'Données projet'!$E$14+1,1))</f>
        <v>541.0854688453461</v>
      </c>
      <c r="DU68" s="62">
        <f t="shared" si="44"/>
        <v>171.04847168584473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12.8</v>
      </c>
      <c r="EJ68" s="13">
        <f>IF('Données projet'!$A$192&gt;35,EJ67+EI68-ER67,IF(A68&lt;'Données projet'!$A$192,$EG$205^A68,IF(A68='Données projet'!$A$192,'Données projet'!$B$192,EJ67+EI68-ER67)))</f>
        <v>312.39999999999998</v>
      </c>
      <c r="EK68" s="18">
        <f>EJ68*VLOOKUP('Données projet'!$B$15,Paramètres!$A$1:$I$89,3,0)*VLOOKUP('Données projet'!$B$15,Paramètres!$A$1:$I$89,5,0)</f>
        <v>186.8152</v>
      </c>
      <c r="EL68" s="14">
        <f t="shared" si="45"/>
        <v>46.83514756492545</v>
      </c>
      <c r="EM68" s="22">
        <f t="shared" ref="EM68:EM131" si="73">(EK68+EL68)*0.475*44/12</f>
        <v>406.94102200891183</v>
      </c>
      <c r="EN68" s="62">
        <f t="shared" ref="EN68:EN131" si="74">EM68+(EE68+EF68)*44/12</f>
        <v>700.27435534224514</v>
      </c>
      <c r="EO68" s="62">
        <f ca="1">AVERAGE(OFFSET($EN$3,0,0,'Données projet'!$E$15+1,1))-AVERAGE(OFFSET($H$3,0,0,'Données projet'!$E$15+1,1))</f>
        <v>244.01698421598974</v>
      </c>
      <c r="EP68" s="62">
        <f t="shared" si="46"/>
        <v>156.96653202915024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1.3629466031727211</v>
      </c>
      <c r="EX68" s="23">
        <f>EXP(-LN(2)/2)*EX67+(1-EXP(-LN(2)/2))/(LN(2)/2)*ER68*EU68*VLOOKUP('Données projet'!$B$15,Paramètres!$A$1:$I$89,3,0)*0.475*44/12</f>
        <v>5.372298511334694E-5</v>
      </c>
      <c r="EY68" s="24">
        <f t="shared" ref="EY68:EY131" si="75">SUM(EV68:EX68)</f>
        <v>1.3630003261578345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146</v>
      </c>
      <c r="FC68" s="13">
        <f>VLOOKUP(A68,'Données projet'!$A$217:$I$237,9,0)</f>
        <v>2.6</v>
      </c>
      <c r="FD68" s="13">
        <f t="array" ref="FD68">INDEX(FC:FC,MIN(IF(ISNUMBER(FC68:FC264),ROW(FC68:FC264),"")))</f>
        <v>2.6</v>
      </c>
      <c r="FE68" s="13">
        <f>IF('Données projet'!$A$218&gt;35,FE67+FD68-FM67,IF(A68&lt;'Données projet'!$A$218,$FB$205^A68,IF(A68='Données projet'!$A$218,'Données projet'!$B$218,FE67+FD68-FM67)))</f>
        <v>145.99999999999989</v>
      </c>
      <c r="FF68" s="18">
        <f>FE68*VLOOKUP('Données projet'!$B$16,Paramètres!$A$1:$I$89,3,0)*VLOOKUP('Données projet'!$B$16,Paramètres!$A$1:$I$89,5,0)</f>
        <v>127.54559999999992</v>
      </c>
      <c r="FG68" s="14">
        <f t="shared" si="47"/>
        <v>33.428591950384806</v>
      </c>
      <c r="FH68" s="22">
        <f t="shared" ref="FH68:FH131" si="76">(FF68+FG68)*0.475*44/12</f>
        <v>280.36338431358672</v>
      </c>
      <c r="FI68" s="62">
        <f t="shared" ref="FI68:FI131" si="77">FH68+(EZ68+FA68)*44/12</f>
        <v>573.69671764691998</v>
      </c>
      <c r="FJ68" s="62">
        <f ca="1">AVERAGE(OFFSET($FI$3,0,0,'Données projet'!$E$16+1,1))-AVERAGE(OFFSET($H$3,0,0,'Données projet'!$E$16+1,1))</f>
        <v>175.08726167127026</v>
      </c>
      <c r="FK68" s="62">
        <f t="shared" si="48"/>
        <v>196.05343924817117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150</v>
      </c>
      <c r="FX68" s="13">
        <f>VLOOKUP(A68,'Données projet'!$A$243:$I$263,9,0)</f>
        <v>3.4</v>
      </c>
      <c r="FY68" s="13">
        <f t="array" ref="FY68">INDEX(FX:FX,MIN(IF(ISNUMBER(FX68:FX264),ROW(FX68:FX264),"")))</f>
        <v>3.4</v>
      </c>
      <c r="FZ68" s="13">
        <f>IF('Données projet'!$A$244&gt;35,FZ67+FY68-GH67,IF(A68&lt;'Données projet'!$A$244,$FW$205^A68,IF(A68='Données projet'!$A$244,'Données projet'!$B$244,FZ67+FY68-GH67)))</f>
        <v>150.00000000000009</v>
      </c>
      <c r="GA68" s="18">
        <f>FZ68*VLOOKUP('Données projet'!$B$17,Paramètres!$A$1:$I$89,3,0)*VLOOKUP('Données projet'!$B$17,Paramètres!$A$1:$I$89,5,0)</f>
        <v>98.280000000000058</v>
      </c>
      <c r="GB68" s="14">
        <f t="shared" si="49"/>
        <v>26.551818424463473</v>
      </c>
      <c r="GC68" s="22">
        <f t="shared" ref="GC68:GC131" si="79">(GA68+GB68)*0.475*44/12</f>
        <v>217.415417089274</v>
      </c>
      <c r="GD68" s="62">
        <f t="shared" ref="GD68:GD131" si="80">GC68+(FU68+FV68)*44/12</f>
        <v>510.74875042260732</v>
      </c>
      <c r="GE68" s="62">
        <f ca="1">AVERAGE(OFFSET($GD$3,0,0,'Données projet'!$E$17+1,1))-AVERAGE(OFFSET($H$3,0,0,'Données projet'!$E$17+1,1))</f>
        <v>142.93037460866543</v>
      </c>
      <c r="GF68" s="62">
        <f t="shared" si="50"/>
        <v>146.18554498808049</v>
      </c>
      <c r="GG68" s="16">
        <f>IF(ISNA(VLOOKUP(A68,'Données projet'!$A$243:$I$263,3,0)),0,VLOOKUP(A68,'Données projet'!$A$243:$I$263,3,0))</f>
        <v>5</v>
      </c>
      <c r="GH68" s="16">
        <f>IF(ISNA(VLOOKUP(A68,'Données projet'!$A$243:$I$263,4,0)),0,VLOOKUP(A68,'Données projet'!$A$243:$I$263,4,0))</f>
        <v>27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124</v>
      </c>
      <c r="GS68" s="13">
        <f>VLOOKUP(A68,'Données projet'!$A$269:$I$289,9,0)</f>
        <v>3.8</v>
      </c>
      <c r="GT68" s="13">
        <f t="array" ref="GT68">INDEX(GS:GS,MIN(IF(ISNUMBER(GS68:GS264),ROW(GS68:GS264),"")))</f>
        <v>3.8</v>
      </c>
      <c r="GU68" s="13">
        <f>IF('Données projet'!$A$270&gt;35,GU67+GT68-HC67,IF(A68&lt;'Données projet'!$A$270,$GR$205^A68,IF(A68='Données projet'!$A$270,'Données projet'!$B$270,GU67+GT68-HC67)))</f>
        <v>123.99999999999997</v>
      </c>
      <c r="GV68" s="18">
        <f>GU68*VLOOKUP('Données projet'!$B$18,Paramètres!$A$1:$I$89,3,0)*VLOOKUP('Données projet'!$B$18,Paramètres!$A$1:$I$89,5,0)</f>
        <v>106.39199999999998</v>
      </c>
      <c r="GW68" s="14">
        <f t="shared" si="51"/>
        <v>28.479268717714071</v>
      </c>
      <c r="GX68" s="22">
        <f t="shared" ref="GX68:GX131" si="82">(GV68+GW68)*0.475*44/12</f>
        <v>234.9007930166853</v>
      </c>
      <c r="GY68" s="62">
        <f t="shared" ref="GY68:GY131" si="83">GX68+(GP68+GQ68)*44/12</f>
        <v>528.23412635001864</v>
      </c>
      <c r="GZ68" s="62">
        <f ca="1">AVERAGE(OFFSET($GY$3,0,0,'Données projet'!$E$18+1,1))-AVERAGE(OFFSET($H$3,0,0,'Données projet'!$E$18+1,1))</f>
        <v>188.08607733149256</v>
      </c>
      <c r="HA68" s="62">
        <f t="shared" si="52"/>
        <v>119.95698016603842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19.733999999999984</v>
      </c>
      <c r="D69" s="12">
        <f t="shared" ref="D69:D132" si="86">IFERROR(EXP(-1.0587+0.8836*LN(C69)+0.284),0)</f>
        <v>6.4269385620606663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201.94408714573134</v>
      </c>
      <c r="H69" s="70">
        <f t="shared" si="56"/>
        <v>302.23030132892234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3.6</v>
      </c>
      <c r="N69" s="14">
        <f>IF('Données projet'!$A$36&gt;35,N68+M69-V68,IF(A69&lt;'Données projet'!$A$36,$K$205^A69,IF(A69='Données projet'!$A$36,'Données projet'!$B$36,N68+M69-V68)))</f>
        <v>127.59999999999997</v>
      </c>
      <c r="O69" s="14">
        <f>N69*VLOOKUP('Données projet'!$B$9,Paramètres!$A$1:$I$89,3,0)*VLOOKUP('Données projet'!$B$9,Paramètres!$A$1:$I$89,5,0)</f>
        <v>137.34863999999996</v>
      </c>
      <c r="P69" s="14">
        <f t="shared" ref="P69:P132" si="87">EXP(-1.0587+0.8836*LN(O69)+0.284)</f>
        <v>35.688941915121511</v>
      </c>
      <c r="Q69" s="22">
        <f t="shared" si="54"/>
        <v>301.37378850216993</v>
      </c>
      <c r="R69" s="62">
        <f t="shared" si="55"/>
        <v>594.70712183550324</v>
      </c>
      <c r="S69" s="62">
        <f ca="1">AVERAGE(OFFSET($R$3,0,0,'Données projet'!$E$9+1,1))-AVERAGE(OFFSET($H$3,0,0,'Données projet'!$E$9+1,1))</f>
        <v>236.98575892380046</v>
      </c>
      <c r="T69" s="62">
        <f t="shared" ref="T69:T132" si="88">$T$3</f>
        <v>145.77678223659774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184.4</v>
      </c>
      <c r="AG69" s="13">
        <f>VLOOKUP(A69,'Données projet'!$A$61:$I$81,9,0)</f>
        <v>5.1989010989010991</v>
      </c>
      <c r="AH69" s="13">
        <f t="array" ref="AH69">INDEX(AG:AG,MIN(IF(ISNUMBER(AG69:AG265),ROW(AG69:AG265),"")))</f>
        <v>5.1989010989010991</v>
      </c>
      <c r="AI69" s="14">
        <f>IF('Données projet'!$A$62&gt;35,AI68+AH69-AQ68,IF(A69&lt;'Données projet'!$A$62,$AF$205^A69,IF(A69='Données projet'!$A$62,'Données projet'!$B$62,AI68+AH69-AQ68)))</f>
        <v>184.40000000000009</v>
      </c>
      <c r="AJ69" s="14">
        <f>AI69*VLOOKUP('Données projet'!$B$10,Paramètres!$A$1:$I$89,3,0)*VLOOKUP('Données projet'!$B$10,Paramètres!$A$1:$I$89,5,0)</f>
        <v>107.87400000000007</v>
      </c>
      <c r="AK69" s="14">
        <f t="shared" ref="AK69:AK132" si="89">EXP(-1.0587+0.8836*LN(AJ69)+0.284)</f>
        <v>28.829514857540598</v>
      </c>
      <c r="AL69" s="22">
        <f t="shared" si="58"/>
        <v>238.09195504354997</v>
      </c>
      <c r="AM69" s="62">
        <f t="shared" si="59"/>
        <v>531.42528837688326</v>
      </c>
      <c r="AN69" s="62">
        <f ca="1">AVERAGE(OFFSET($AM$3,0,0,'Données projet'!$E$10+1,1))-AVERAGE(OFFSET($H$3,0,0,'Données projet'!$E$10+1,1))</f>
        <v>140.04898296125504</v>
      </c>
      <c r="AO69" s="62">
        <f t="shared" ref="AO69:AO132" si="90">$AO$3</f>
        <v>129.5395511270716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9.6897435897435908</v>
      </c>
      <c r="BD69" s="13">
        <f>IF('Données projet'!$A$88&gt;35,BD68+BC69-BL68,IF(A69&lt;'Données projet'!$A$88,$BA$205^A69,IF(A69='Données projet'!$A$88,'Données projet'!$B$88,BD68+BC69-BL68)))</f>
        <v>271.67692307692295</v>
      </c>
      <c r="BE69" s="14">
        <f>BD69*VLOOKUP('Données projet'!$B$11,Paramètres!$A$1:$I$89,3,0)*VLOOKUP('Données projet'!$B$11,Paramètres!$A$1:$I$89,5,0)</f>
        <v>127.14479999999995</v>
      </c>
      <c r="BF69" s="14">
        <f t="shared" ref="BF69:BF132" si="91">EXP(-1.0587+0.8836*LN(BE69)+0.284)</f>
        <v>33.335756139335082</v>
      </c>
      <c r="BG69" s="22">
        <f t="shared" si="61"/>
        <v>279.50363527600848</v>
      </c>
      <c r="BH69" s="62">
        <f t="shared" si="62"/>
        <v>572.83696860934174</v>
      </c>
      <c r="BI69" s="62">
        <f ca="1">AVERAGE(OFFSET($BH$3,0,0,'Données projet'!$E$11+1,1))-AVERAGE(OFFSET($H$3,0,0,'Données projet'!$E$11+1,1))</f>
        <v>207.84100251878419</v>
      </c>
      <c r="BJ69" s="62">
        <f t="shared" ref="BJ69:BJ132" si="92">$BJ$3</f>
        <v>124.34917784241952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2.5199999999999934</v>
      </c>
      <c r="BY69" s="13">
        <f>IF('Données projet'!$A$114&gt;35,BY68+BX69-CG68,IF(A69&lt;'Données projet'!$A$114,$BV$205^A69,IF(A69='Données projet'!$A$114,'Données projet'!$B$114,BY68+BX69-CG68)))</f>
        <v>256.81999999999994</v>
      </c>
      <c r="BZ69" s="14">
        <f>BY69*VLOOKUP('Données projet'!$B$12,Paramètres!$A$1:$I$89,3,0)*VLOOKUP('Données projet'!$B$12,Paramètres!$A$1:$I$89,5,0)</f>
        <v>133.54639999999998</v>
      </c>
      <c r="CA69" s="14">
        <f t="shared" ref="CA69:CA132" si="93">EXP(-1.0587+0.8836*LN(BZ69)+0.284)</f>
        <v>34.814540200675559</v>
      </c>
      <c r="CB69" s="22">
        <f t="shared" si="64"/>
        <v>293.22863751617655</v>
      </c>
      <c r="CC69" s="62">
        <f t="shared" si="65"/>
        <v>586.56197084950986</v>
      </c>
      <c r="CD69" s="62">
        <f ca="1">AVERAGE(OFFSET($CC$3,0,0,'Données projet'!$E$12+1,1))-AVERAGE(OFFSET($H$3,0,0,'Données projet'!$E$12+1,1))</f>
        <v>211.05980622218578</v>
      </c>
      <c r="CE69" s="62">
        <f t="shared" ref="CE69:CE132" si="94">$CE$3</f>
        <v>168.57746894604855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1.6750000000000014</v>
      </c>
      <c r="CT69" s="13">
        <f>IF('Données projet'!$A$140&gt;35,CT68+CS69-DB68,IF(A69&lt;'Données projet'!$A$140,$CQ$205^A69,IF(A69='Données projet'!$A$140,'Données projet'!$B$140,CT68+CS69-DB68)))</f>
        <v>86.162499999999952</v>
      </c>
      <c r="CU69" s="18">
        <f>CT69*VLOOKUP('Données projet'!$B$13,Paramètres!$A$1:$I$89,3,0)*VLOOKUP('Données projet'!$B$13,Paramètres!$A$1:$I$89,5,0)</f>
        <v>99.259199999999936</v>
      </c>
      <c r="CV69" s="14">
        <f t="shared" ref="CV69:CV132" si="95">EXP(-1.0587+0.8836*LN(CU69)+0.284)</f>
        <v>26.785435862245482</v>
      </c>
      <c r="CW69" s="22">
        <f t="shared" si="67"/>
        <v>219.52774079341077</v>
      </c>
      <c r="CX69" s="62">
        <f t="shared" si="68"/>
        <v>512.86107412674414</v>
      </c>
      <c r="CY69" s="62">
        <f ca="1">AVERAGE(OFFSET($CX$3,0,0,'Données projet'!$E$13+1,1))-AVERAGE(OFFSET($H$3,0,0,'Données projet'!$E$13+1,1))</f>
        <v>191.79777926975839</v>
      </c>
      <c r="CZ69" s="62">
        <f t="shared" ref="CZ69:CZ132" si="96">$CZ$3</f>
        <v>156.66161375678712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4.373333333333334</v>
      </c>
      <c r="DO69" s="13">
        <f>IF('Données projet'!$A$166&gt;35,DO68+DN69-DW68,IF(A69&lt;'Données projet'!$A$166,$DL$205^A69,IF(A69='Données projet'!$A$166,'Données projet'!$B$166,DO68+DN69-DW68)))</f>
        <v>140.52666666666656</v>
      </c>
      <c r="DP69" s="18">
        <f>DO69*VLOOKUP('Données projet'!$B$14,Paramètres!$A$1:$I$89,3,0)*VLOOKUP('Données projet'!$B$14,Paramètres!$A$1:$I$89,5,0)</f>
        <v>153.45511999999988</v>
      </c>
      <c r="DQ69" s="14">
        <f t="shared" ref="DQ69:DQ132" si="97">EXP(-1.0587+0.8836*LN(DP69)+0.284)</f>
        <v>39.362730340387287</v>
      </c>
      <c r="DR69" s="22">
        <f t="shared" si="70"/>
        <v>335.82442267617427</v>
      </c>
      <c r="DS69" s="62">
        <f t="shared" si="71"/>
        <v>629.15775600950758</v>
      </c>
      <c r="DT69" s="62">
        <f ca="1">AVERAGE(OFFSET($DS$3,0,0,'Données projet'!$E$14+1,1))-AVERAGE(OFFSET($H$3,0,0,'Données projet'!$E$14+1,1))</f>
        <v>541.0854688453461</v>
      </c>
      <c r="DU69" s="62">
        <f t="shared" ref="DU69:DU132" si="98">$DU$3</f>
        <v>171.04847168584473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12.8</v>
      </c>
      <c r="EJ69" s="13">
        <f>IF('Données projet'!$A$192&gt;35,EJ68+EI69-ER68,IF(A69&lt;'Données projet'!$A$192,$EG$205^A69,IF(A69='Données projet'!$A$192,'Données projet'!$B$192,EJ68+EI69-ER68)))</f>
        <v>325.2</v>
      </c>
      <c r="EK69" s="18">
        <f>EJ69*VLOOKUP('Données projet'!$B$15,Paramètres!$A$1:$I$89,3,0)*VLOOKUP('Données projet'!$B$15,Paramètres!$A$1:$I$89,5,0)</f>
        <v>194.46960000000001</v>
      </c>
      <c r="EL69" s="14">
        <f t="shared" ref="EL69:EL132" si="99">EXP(-1.0587+0.8836*LN(EK69)+0.284)</f>
        <v>48.526776743352656</v>
      </c>
      <c r="EM69" s="22">
        <f t="shared" si="73"/>
        <v>423.21868949467256</v>
      </c>
      <c r="EN69" s="62">
        <f t="shared" si="74"/>
        <v>716.55202282800587</v>
      </c>
      <c r="EO69" s="62">
        <f ca="1">AVERAGE(OFFSET($EN$3,0,0,'Données projet'!$E$15+1,1))-AVERAGE(OFFSET($H$3,0,0,'Données projet'!$E$15+1,1))</f>
        <v>244.01698421598974</v>
      </c>
      <c r="EP69" s="62">
        <f t="shared" ref="EP69:EP132" si="100">$EP$3</f>
        <v>156.96653202915024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1.3256767566347163</v>
      </c>
      <c r="EX69" s="23">
        <f>EXP(-LN(2)/2)*EX68+(1-EXP(-LN(2)/2))/(LN(2)/2)*ER69*EU69*VLOOKUP('Données projet'!$B$15,Paramètres!$A$1:$I$89,3,0)*0.475*44/12</f>
        <v>3.7987887079231564E-5</v>
      </c>
      <c r="EY69" s="24">
        <f t="shared" si="75"/>
        <v>1.3257147445217956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2.2000000000000002</v>
      </c>
      <c r="FE69" s="13">
        <f>IF('Données projet'!$A$218&gt;35,FE68+FD69-FM68,IF(A69&lt;'Données projet'!$A$218,$FB$205^A69,IF(A69='Données projet'!$A$218,'Données projet'!$B$218,FE68+FD69-FM68)))</f>
        <v>148.19999999999987</v>
      </c>
      <c r="FF69" s="18">
        <f>FE69*VLOOKUP('Données projet'!$B$16,Paramètres!$A$1:$I$89,3,0)*VLOOKUP('Données projet'!$B$16,Paramètres!$A$1:$I$89,5,0)</f>
        <v>129.46751999999989</v>
      </c>
      <c r="FG69" s="14">
        <f t="shared" ref="FG69:FG132" si="101">EXP(-1.0587+0.8836*LN(FF69)+0.284)</f>
        <v>33.873289462262882</v>
      </c>
      <c r="FH69" s="22">
        <f t="shared" si="76"/>
        <v>284.48524314677434</v>
      </c>
      <c r="FI69" s="62">
        <f t="shared" si="77"/>
        <v>577.81857648010759</v>
      </c>
      <c r="FJ69" s="62">
        <f ca="1">AVERAGE(OFFSET($FI$3,0,0,'Données projet'!$E$16+1,1))-AVERAGE(OFFSET($H$3,0,0,'Données projet'!$E$16+1,1))</f>
        <v>175.08726167127026</v>
      </c>
      <c r="FK69" s="62">
        <f t="shared" ref="FK69:FK132" si="102">$FK$3</f>
        <v>196.05343924817117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3.2</v>
      </c>
      <c r="FZ69" s="13">
        <f>IF('Données projet'!$A$244&gt;35,FZ68+FY69-GH68,IF(A69&lt;'Données projet'!$A$244,$FW$205^A69,IF(A69='Données projet'!$A$244,'Données projet'!$B$244,FZ68+FY69-GH68)))</f>
        <v>126.20000000000007</v>
      </c>
      <c r="GA69" s="18">
        <f>FZ69*VLOOKUP('Données projet'!$B$17,Paramètres!$A$1:$I$89,3,0)*VLOOKUP('Données projet'!$B$17,Paramètres!$A$1:$I$89,5,0)</f>
        <v>82.686240000000041</v>
      </c>
      <c r="GB69" s="14">
        <f t="shared" ref="GB69:GB132" si="103">EXP(-1.0587+0.8836*LN(GA69)+0.284)</f>
        <v>22.79271598914541</v>
      </c>
      <c r="GC69" s="22">
        <f t="shared" si="79"/>
        <v>183.70918168109498</v>
      </c>
      <c r="GD69" s="62">
        <f t="shared" si="80"/>
        <v>477.04251501442832</v>
      </c>
      <c r="GE69" s="62">
        <f ca="1">AVERAGE(OFFSET($GD$3,0,0,'Données projet'!$E$17+1,1))-AVERAGE(OFFSET($H$3,0,0,'Données projet'!$E$17+1,1))</f>
        <v>142.93037460866543</v>
      </c>
      <c r="GF69" s="62">
        <f t="shared" ref="GF69:GF132" si="104">$GF$3</f>
        <v>146.18554498808049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3.6</v>
      </c>
      <c r="GU69" s="13">
        <f>IF('Données projet'!$A$270&gt;35,GU68+GT69-HC68,IF(A69&lt;'Données projet'!$A$270,$GR$205^A69,IF(A69='Données projet'!$A$270,'Données projet'!$B$270,GU68+GT69-HC68)))</f>
        <v>127.59999999999997</v>
      </c>
      <c r="GV69" s="18">
        <f>GU69*VLOOKUP('Données projet'!$B$18,Paramètres!$A$1:$I$89,3,0)*VLOOKUP('Données projet'!$B$18,Paramètres!$A$1:$I$89,5,0)</f>
        <v>109.48079999999999</v>
      </c>
      <c r="GW69" s="14">
        <f t="shared" ref="GW69:GW132" si="105">EXP(-1.0587+0.8836*LN(GV69)+0.284)</f>
        <v>29.208623339903898</v>
      </c>
      <c r="GX69" s="22">
        <f t="shared" si="82"/>
        <v>241.5507456503326</v>
      </c>
      <c r="GY69" s="62">
        <f t="shared" si="83"/>
        <v>534.88407898366586</v>
      </c>
      <c r="GZ69" s="62">
        <f ca="1">AVERAGE(OFFSET($GY$3,0,0,'Données projet'!$E$18+1,1))-AVERAGE(OFFSET($H$3,0,0,'Données projet'!$E$18+1,1))</f>
        <v>188.08607733149256</v>
      </c>
      <c r="HA69" s="62">
        <f t="shared" ref="HA69:HA132" si="106">$HA$3</f>
        <v>119.95698016603842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20.032999999999983</v>
      </c>
      <c r="D70" s="12">
        <f t="shared" si="86"/>
        <v>6.512906186570361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204.91576705422722</v>
      </c>
      <c r="H70" s="70">
        <f t="shared" si="56"/>
        <v>302.90078660827669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3.6</v>
      </c>
      <c r="N70" s="14">
        <f>IF('Données projet'!$A$36&gt;35,N69+M70-V69,IF(A70&lt;'Données projet'!$A$36,$K$205^A70,IF(A70='Données projet'!$A$36,'Données projet'!$B$36,N69+M70-V69)))</f>
        <v>131.19999999999996</v>
      </c>
      <c r="O70" s="14">
        <f>N70*VLOOKUP('Données projet'!$B$9,Paramètres!$A$1:$I$89,3,0)*VLOOKUP('Données projet'!$B$9,Paramètres!$A$1:$I$89,5,0)</f>
        <v>141.22367999999994</v>
      </c>
      <c r="P70" s="14">
        <f t="shared" si="87"/>
        <v>36.577191258077065</v>
      </c>
      <c r="Q70" s="22">
        <f t="shared" si="54"/>
        <v>309.66985077448408</v>
      </c>
      <c r="R70" s="62">
        <f t="shared" si="55"/>
        <v>603.00318410781733</v>
      </c>
      <c r="S70" s="62">
        <f ca="1">AVERAGE(OFFSET($R$3,0,0,'Données projet'!$E$9+1,1))-AVERAGE(OFFSET($H$3,0,0,'Données projet'!$E$9+1,1))</f>
        <v>236.98575892380046</v>
      </c>
      <c r="T70" s="62">
        <f t="shared" si="88"/>
        <v>145.77678223659774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5.3778846153846125</v>
      </c>
      <c r="AI70" s="14">
        <f>IF('Données projet'!$A$62&gt;35,AI69+AH70-AQ69,IF(A70&lt;'Données projet'!$A$62,$AF$205^A70,IF(A70='Données projet'!$A$62,'Données projet'!$B$62,AI69+AH70-AQ69)))</f>
        <v>189.77788461538469</v>
      </c>
      <c r="AJ70" s="14">
        <f>AI70*VLOOKUP('Données projet'!$B$10,Paramètres!$A$1:$I$89,3,0)*VLOOKUP('Données projet'!$B$10,Paramètres!$A$1:$I$89,5,0)</f>
        <v>111.02006250000005</v>
      </c>
      <c r="AK70" s="14">
        <f t="shared" si="89"/>
        <v>29.571189989165418</v>
      </c>
      <c r="AL70" s="22">
        <f t="shared" si="58"/>
        <v>244.86309808529651</v>
      </c>
      <c r="AM70" s="62">
        <f t="shared" si="59"/>
        <v>538.1964314186298</v>
      </c>
      <c r="AN70" s="62">
        <f ca="1">AVERAGE(OFFSET($AM$3,0,0,'Données projet'!$E$10+1,1))-AVERAGE(OFFSET($H$3,0,0,'Données projet'!$E$10+1,1))</f>
        <v>140.04898296125504</v>
      </c>
      <c r="AO70" s="62">
        <f t="shared" si="90"/>
        <v>129.5395511270716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9.6897435897435908</v>
      </c>
      <c r="BD70" s="13">
        <f>IF('Données projet'!$A$88&gt;35,BD69+BC70-BL69,IF(A70&lt;'Données projet'!$A$88,$BA$205^A70,IF(A70='Données projet'!$A$88,'Données projet'!$B$88,BD69+BC70-BL69)))</f>
        <v>281.36666666666656</v>
      </c>
      <c r="BE70" s="14">
        <f>BD70*VLOOKUP('Données projet'!$B$11,Paramètres!$A$1:$I$89,3,0)*VLOOKUP('Données projet'!$B$11,Paramètres!$A$1:$I$89,5,0)</f>
        <v>131.67959999999997</v>
      </c>
      <c r="BF70" s="14">
        <f t="shared" si="91"/>
        <v>34.38417513752983</v>
      </c>
      <c r="BG70" s="22">
        <f t="shared" si="61"/>
        <v>289.22774169786436</v>
      </c>
      <c r="BH70" s="62">
        <f t="shared" si="62"/>
        <v>582.56107503119767</v>
      </c>
      <c r="BI70" s="62">
        <f ca="1">AVERAGE(OFFSET($BH$3,0,0,'Données projet'!$E$11+1,1))-AVERAGE(OFFSET($H$3,0,0,'Données projet'!$E$11+1,1))</f>
        <v>207.84100251878419</v>
      </c>
      <c r="BJ70" s="62">
        <f t="shared" si="92"/>
        <v>124.34917784241952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2.5199999999999934</v>
      </c>
      <c r="BY70" s="13">
        <f>IF('Données projet'!$A$114&gt;35,BY69+BX70-CG69,IF(A70&lt;'Données projet'!$A$114,$BV$205^A70,IF(A70='Données projet'!$A$114,'Données projet'!$B$114,BY69+BX70-CG69)))</f>
        <v>259.33999999999992</v>
      </c>
      <c r="BZ70" s="14">
        <f>BY70*VLOOKUP('Données projet'!$B$12,Paramètres!$A$1:$I$89,3,0)*VLOOKUP('Données projet'!$B$12,Paramètres!$A$1:$I$89,5,0)</f>
        <v>134.85679999999996</v>
      </c>
      <c r="CA70" s="14">
        <f t="shared" si="93"/>
        <v>35.11621628690127</v>
      </c>
      <c r="CB70" s="22">
        <f t="shared" si="64"/>
        <v>296.03633669968633</v>
      </c>
      <c r="CC70" s="62">
        <f t="shared" si="65"/>
        <v>589.3696700330197</v>
      </c>
      <c r="CD70" s="62">
        <f ca="1">AVERAGE(OFFSET($CC$3,0,0,'Données projet'!$E$12+1,1))-AVERAGE(OFFSET($H$3,0,0,'Données projet'!$E$12+1,1))</f>
        <v>211.05980622218578</v>
      </c>
      <c r="CE70" s="62">
        <f t="shared" si="94"/>
        <v>168.57746894604855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1.6750000000000014</v>
      </c>
      <c r="CT70" s="13">
        <f>IF('Données projet'!$A$140&gt;35,CT69+CS70-DB69,IF(A70&lt;'Données projet'!$A$140,$CQ$205^A70,IF(A70='Données projet'!$A$140,'Données projet'!$B$140,CT69+CS70-DB69)))</f>
        <v>87.837499999999949</v>
      </c>
      <c r="CU70" s="18">
        <f>CT70*VLOOKUP('Données projet'!$B$13,Paramètres!$A$1:$I$89,3,0)*VLOOKUP('Données projet'!$B$13,Paramètres!$A$1:$I$89,5,0)</f>
        <v>101.18879999999993</v>
      </c>
      <c r="CV70" s="14">
        <f t="shared" si="95"/>
        <v>27.245017665270392</v>
      </c>
      <c r="CW70" s="22">
        <f t="shared" si="67"/>
        <v>223.68889910034579</v>
      </c>
      <c r="CX70" s="62">
        <f t="shared" si="68"/>
        <v>517.02223243367916</v>
      </c>
      <c r="CY70" s="62">
        <f ca="1">AVERAGE(OFFSET($CX$3,0,0,'Données projet'!$E$13+1,1))-AVERAGE(OFFSET($H$3,0,0,'Données projet'!$E$13+1,1))</f>
        <v>191.79777926975839</v>
      </c>
      <c r="CZ70" s="62">
        <f t="shared" si="96"/>
        <v>156.66161375678712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4.373333333333334</v>
      </c>
      <c r="DO70" s="13">
        <f>IF('Données projet'!$A$166&gt;35,DO69+DN70-DW69,IF(A70&lt;'Données projet'!$A$166,$DL$205^A70,IF(A70='Données projet'!$A$166,'Données projet'!$B$166,DO69+DN70-DW69)))</f>
        <v>144.89999999999989</v>
      </c>
      <c r="DP70" s="18">
        <f>DO70*VLOOKUP('Données projet'!$B$14,Paramètres!$A$1:$I$89,3,0)*VLOOKUP('Données projet'!$B$14,Paramètres!$A$1:$I$89,5,0)</f>
        <v>158.23079999999987</v>
      </c>
      <c r="DQ70" s="14">
        <f t="shared" si="97"/>
        <v>40.443209539378984</v>
      </c>
      <c r="DR70" s="22">
        <f t="shared" si="70"/>
        <v>346.02389994775149</v>
      </c>
      <c r="DS70" s="62">
        <f t="shared" si="71"/>
        <v>639.35723328108475</v>
      </c>
      <c r="DT70" s="62">
        <f ca="1">AVERAGE(OFFSET($DS$3,0,0,'Données projet'!$E$14+1,1))-AVERAGE(OFFSET($H$3,0,0,'Données projet'!$E$14+1,1))</f>
        <v>541.0854688453461</v>
      </c>
      <c r="DU70" s="62">
        <f t="shared" si="98"/>
        <v>171.04847168584473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>
        <f>VLOOKUP(A70,'Données projet'!$A$191:$I$211,2,0)</f>
        <v>338</v>
      </c>
      <c r="EH70" s="13">
        <f>VLOOKUP(A70,'Données projet'!$A$191:$I$211,9,0)</f>
        <v>12.8</v>
      </c>
      <c r="EI70" s="13">
        <f t="array" ref="EI70">INDEX(EH:EH,MIN(IF(ISNUMBER(EH70:EH266),ROW(EH70:EH266),"")))</f>
        <v>12.8</v>
      </c>
      <c r="EJ70" s="13">
        <f>IF('Données projet'!$A$192&gt;35,EJ69+EI70-ER69,IF(A70&lt;'Données projet'!$A$192,$EG$205^A70,IF(A70='Données projet'!$A$192,'Données projet'!$B$192,EJ69+EI70-ER69)))</f>
        <v>338</v>
      </c>
      <c r="EK70" s="18">
        <f>EJ70*VLOOKUP('Données projet'!$B$15,Paramètres!$A$1:$I$89,3,0)*VLOOKUP('Données projet'!$B$15,Paramètres!$A$1:$I$89,5,0)</f>
        <v>202.12400000000002</v>
      </c>
      <c r="EL70" s="14">
        <f t="shared" si="99"/>
        <v>50.210671256169846</v>
      </c>
      <c r="EM70" s="22">
        <f t="shared" si="73"/>
        <v>439.48288577116256</v>
      </c>
      <c r="EN70" s="62">
        <f t="shared" si="74"/>
        <v>732.81621910449587</v>
      </c>
      <c r="EO70" s="62">
        <f ca="1">AVERAGE(OFFSET($EN$3,0,0,'Données projet'!$E$15+1,1))-AVERAGE(OFFSET($H$3,0,0,'Données projet'!$E$15+1,1))</f>
        <v>244.01698421598974</v>
      </c>
      <c r="EP70" s="62">
        <f t="shared" si="100"/>
        <v>156.96653202915024</v>
      </c>
      <c r="EQ70" s="16">
        <f>IF(ISNA(VLOOKUP(A70,'Données projet'!$A$191:$I$211,3,0)),0,VLOOKUP(A70,'Données projet'!$A$191:$I$211,3,0))</f>
        <v>5</v>
      </c>
      <c r="ER70" s="16">
        <f>IF(ISNA(VLOOKUP(A70,'Données projet'!$A$191:$I$211,4,0)),0,VLOOKUP(A70,'Données projet'!$A$191:$I$211,4,0))</f>
        <v>101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1.2894260560102293</v>
      </c>
      <c r="EX70" s="23">
        <f>EXP(-LN(2)/2)*EX69+(1-EXP(-LN(2)/2))/(LN(2)/2)*ER70*EU70*VLOOKUP('Données projet'!$B$15,Paramètres!$A$1:$I$89,3,0)*0.475*44/12</f>
        <v>2.686149255667347E-5</v>
      </c>
      <c r="EY70" s="24">
        <f t="shared" si="75"/>
        <v>1.289452917502786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2.2000000000000002</v>
      </c>
      <c r="FE70" s="13">
        <f>IF('Données projet'!$A$218&gt;35,FE69+FD70-FM69,IF(A70&lt;'Données projet'!$A$218,$FB$205^A70,IF(A70='Données projet'!$A$218,'Données projet'!$B$218,FE69+FD70-FM69)))</f>
        <v>150.39999999999986</v>
      </c>
      <c r="FF70" s="18">
        <f>FE70*VLOOKUP('Données projet'!$B$16,Paramètres!$A$1:$I$89,3,0)*VLOOKUP('Données projet'!$B$16,Paramètres!$A$1:$I$89,5,0)</f>
        <v>131.38943999999989</v>
      </c>
      <c r="FG70" s="14">
        <f t="shared" si="101"/>
        <v>34.317219199328726</v>
      </c>
      <c r="FH70" s="22">
        <f t="shared" si="76"/>
        <v>288.60576477216398</v>
      </c>
      <c r="FI70" s="62">
        <f t="shared" si="77"/>
        <v>581.93909810549735</v>
      </c>
      <c r="FJ70" s="62">
        <f ca="1">AVERAGE(OFFSET($FI$3,0,0,'Données projet'!$E$16+1,1))-AVERAGE(OFFSET($H$3,0,0,'Données projet'!$E$16+1,1))</f>
        <v>175.08726167127026</v>
      </c>
      <c r="FK70" s="62">
        <f t="shared" si="102"/>
        <v>196.05343924817117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3.2</v>
      </c>
      <c r="FZ70" s="13">
        <f>IF('Données projet'!$A$244&gt;35,FZ69+FY70-GH69,IF(A70&lt;'Données projet'!$A$244,$FW$205^A70,IF(A70='Données projet'!$A$244,'Données projet'!$B$244,FZ69+FY70-GH69)))</f>
        <v>129.40000000000006</v>
      </c>
      <c r="GA70" s="18">
        <f>FZ70*VLOOKUP('Données projet'!$B$17,Paramètres!$A$1:$I$89,3,0)*VLOOKUP('Données projet'!$B$17,Paramètres!$A$1:$I$89,5,0)</f>
        <v>84.782880000000048</v>
      </c>
      <c r="GB70" s="14">
        <f t="shared" si="103"/>
        <v>23.302641807417039</v>
      </c>
      <c r="GC70" s="22">
        <f t="shared" si="79"/>
        <v>188.24895048125143</v>
      </c>
      <c r="GD70" s="62">
        <f t="shared" si="80"/>
        <v>481.58228381458474</v>
      </c>
      <c r="GE70" s="62">
        <f ca="1">AVERAGE(OFFSET($GD$3,0,0,'Données projet'!$E$17+1,1))-AVERAGE(OFFSET($H$3,0,0,'Données projet'!$E$17+1,1))</f>
        <v>142.93037460866543</v>
      </c>
      <c r="GF70" s="62">
        <f t="shared" si="104"/>
        <v>146.18554498808049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3.6</v>
      </c>
      <c r="GU70" s="13">
        <f>IF('Données projet'!$A$270&gt;35,GU69+GT70-HC69,IF(A70&lt;'Données projet'!$A$270,$GR$205^A70,IF(A70='Données projet'!$A$270,'Données projet'!$B$270,GU69+GT70-HC69)))</f>
        <v>131.19999999999996</v>
      </c>
      <c r="GV70" s="18">
        <f>GU70*VLOOKUP('Données projet'!$B$18,Paramètres!$A$1:$I$89,3,0)*VLOOKUP('Données projet'!$B$18,Paramètres!$A$1:$I$89,5,0)</f>
        <v>112.56959999999998</v>
      </c>
      <c r="GW70" s="14">
        <f t="shared" si="105"/>
        <v>29.935586345756228</v>
      </c>
      <c r="GX70" s="22">
        <f t="shared" si="82"/>
        <v>248.19653288552536</v>
      </c>
      <c r="GY70" s="62">
        <f t="shared" si="83"/>
        <v>541.52986621885861</v>
      </c>
      <c r="GZ70" s="62">
        <f ca="1">AVERAGE(OFFSET($GY$3,0,0,'Données projet'!$E$18+1,1))-AVERAGE(OFFSET($H$3,0,0,'Données projet'!$E$18+1,1))</f>
        <v>188.08607733149256</v>
      </c>
      <c r="HA70" s="62">
        <f t="shared" si="106"/>
        <v>119.95698016603842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20.331999999999983</v>
      </c>
      <c r="D71" s="12">
        <f t="shared" si="86"/>
        <v>6.5987245821741212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207.88629502029133</v>
      </c>
      <c r="H71" s="70">
        <f t="shared" si="56"/>
        <v>303.57101198061991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3.6</v>
      </c>
      <c r="N71" s="14">
        <f>IF('Données projet'!$A$36&gt;35,N70+M71-V70,IF(A71&lt;'Données projet'!$A$36,$K$205^A71,IF(A71='Données projet'!$A$36,'Données projet'!$B$36,N70+M71-V70)))</f>
        <v>134.79999999999995</v>
      </c>
      <c r="O71" s="14">
        <f>N71*VLOOKUP('Données projet'!$B$9,Paramètres!$A$1:$I$89,3,0)*VLOOKUP('Données projet'!$B$9,Paramètres!$A$1:$I$89,5,0)</f>
        <v>145.09871999999993</v>
      </c>
      <c r="P71" s="14">
        <f t="shared" si="87"/>
        <v>37.462607769361767</v>
      </c>
      <c r="Q71" s="22">
        <f t="shared" si="54"/>
        <v>317.96097919830498</v>
      </c>
      <c r="R71" s="62">
        <f t="shared" si="55"/>
        <v>611.2943125316383</v>
      </c>
      <c r="S71" s="62">
        <f ca="1">AVERAGE(OFFSET($R$3,0,0,'Données projet'!$E$9+1,1))-AVERAGE(OFFSET($H$3,0,0,'Données projet'!$E$9+1,1))</f>
        <v>236.98575892380046</v>
      </c>
      <c r="T71" s="62">
        <f t="shared" si="88"/>
        <v>145.77678223659774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5.3778846153846125</v>
      </c>
      <c r="AI71" s="14">
        <f>IF('Données projet'!$A$62&gt;35,AI70+AH71-AQ70,IF(A71&lt;'Données projet'!$A$62,$AF$205^A71,IF(A71='Données projet'!$A$62,'Données projet'!$B$62,AI70+AH71-AQ70)))</f>
        <v>195.15576923076929</v>
      </c>
      <c r="AJ71" s="14">
        <f>AI71*VLOOKUP('Données projet'!$B$10,Paramètres!$A$1:$I$89,3,0)*VLOOKUP('Données projet'!$B$10,Paramètres!$A$1:$I$89,5,0)</f>
        <v>114.16612500000004</v>
      </c>
      <c r="AK71" s="14">
        <f t="shared" si="89"/>
        <v>30.310422376920027</v>
      </c>
      <c r="AL71" s="22">
        <f t="shared" si="58"/>
        <v>251.62998668146909</v>
      </c>
      <c r="AM71" s="62">
        <f t="shared" si="59"/>
        <v>544.96332001480243</v>
      </c>
      <c r="AN71" s="62">
        <f ca="1">AVERAGE(OFFSET($AM$3,0,0,'Données projet'!$E$10+1,1))-AVERAGE(OFFSET($H$3,0,0,'Données projet'!$E$10+1,1))</f>
        <v>140.04898296125504</v>
      </c>
      <c r="AO71" s="62">
        <f t="shared" si="90"/>
        <v>129.5395511270716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9.6897435897435908</v>
      </c>
      <c r="BD71" s="13">
        <f>IF('Données projet'!$A$88&gt;35,BD70+BC71-BL70,IF(A71&lt;'Données projet'!$A$88,$BA$205^A71,IF(A71='Données projet'!$A$88,'Données projet'!$B$88,BD70+BC71-BL70)))</f>
        <v>291.05641025641017</v>
      </c>
      <c r="BE71" s="14">
        <f>BD71*VLOOKUP('Données projet'!$B$11,Paramètres!$A$1:$I$89,3,0)*VLOOKUP('Données projet'!$B$11,Paramètres!$A$1:$I$89,5,0)</f>
        <v>136.21439999999996</v>
      </c>
      <c r="BF71" s="14">
        <f t="shared" si="91"/>
        <v>35.428398980540805</v>
      </c>
      <c r="BG71" s="22">
        <f t="shared" si="61"/>
        <v>298.94454155777515</v>
      </c>
      <c r="BH71" s="62">
        <f t="shared" si="62"/>
        <v>592.27787489110847</v>
      </c>
      <c r="BI71" s="62">
        <f ca="1">AVERAGE(OFFSET($BH$3,0,0,'Données projet'!$E$11+1,1))-AVERAGE(OFFSET($H$3,0,0,'Données projet'!$E$11+1,1))</f>
        <v>207.84100251878419</v>
      </c>
      <c r="BJ71" s="62">
        <f t="shared" si="92"/>
        <v>124.34917784241952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2.5199999999999934</v>
      </c>
      <c r="BY71" s="13">
        <f>IF('Données projet'!$A$114&gt;35,BY70+BX71-CG70,IF(A71&lt;'Données projet'!$A$114,$BV$205^A71,IF(A71='Données projet'!$A$114,'Données projet'!$B$114,BY70+BX71-CG70)))</f>
        <v>261.8599999999999</v>
      </c>
      <c r="BZ71" s="14">
        <f>BY71*VLOOKUP('Données projet'!$B$12,Paramètres!$A$1:$I$89,3,0)*VLOOKUP('Données projet'!$B$12,Paramètres!$A$1:$I$89,5,0)</f>
        <v>136.16719999999998</v>
      </c>
      <c r="CA71" s="14">
        <f t="shared" si="93"/>
        <v>35.417551347869569</v>
      </c>
      <c r="CB71" s="22">
        <f t="shared" si="64"/>
        <v>298.84344193087276</v>
      </c>
      <c r="CC71" s="62">
        <f t="shared" si="65"/>
        <v>592.17677526420607</v>
      </c>
      <c r="CD71" s="62">
        <f ca="1">AVERAGE(OFFSET($CC$3,0,0,'Données projet'!$E$12+1,1))-AVERAGE(OFFSET($H$3,0,0,'Données projet'!$E$12+1,1))</f>
        <v>211.05980622218578</v>
      </c>
      <c r="CE71" s="62">
        <f t="shared" si="94"/>
        <v>168.57746894604855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1.6750000000000014</v>
      </c>
      <c r="CT71" s="13">
        <f>IF('Données projet'!$A$140&gt;35,CT70+CS71-DB70,IF(A71&lt;'Données projet'!$A$140,$CQ$205^A71,IF(A71='Données projet'!$A$140,'Données projet'!$B$140,CT70+CS71-DB70)))</f>
        <v>89.512499999999946</v>
      </c>
      <c r="CU71" s="18">
        <f>CT71*VLOOKUP('Données projet'!$B$13,Paramètres!$A$1:$I$89,3,0)*VLOOKUP('Données projet'!$B$13,Paramètres!$A$1:$I$89,5,0)</f>
        <v>103.11839999999994</v>
      </c>
      <c r="CV71" s="14">
        <f t="shared" si="95"/>
        <v>27.703580415769611</v>
      </c>
      <c r="CW71" s="22">
        <f t="shared" si="67"/>
        <v>227.8482825574653</v>
      </c>
      <c r="CX71" s="62">
        <f t="shared" si="68"/>
        <v>521.18161589079864</v>
      </c>
      <c r="CY71" s="62">
        <f ca="1">AVERAGE(OFFSET($CX$3,0,0,'Données projet'!$E$13+1,1))-AVERAGE(OFFSET($H$3,0,0,'Données projet'!$E$13+1,1))</f>
        <v>191.79777926975839</v>
      </c>
      <c r="CZ71" s="62">
        <f t="shared" si="96"/>
        <v>156.66161375678712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4.373333333333334</v>
      </c>
      <c r="DO71" s="13">
        <f>IF('Données projet'!$A$166&gt;35,DO70+DN71-DW70,IF(A71&lt;'Données projet'!$A$166,$DL$205^A71,IF(A71='Données projet'!$A$166,'Données projet'!$B$166,DO70+DN71-DW70)))</f>
        <v>149.27333333333323</v>
      </c>
      <c r="DP71" s="18">
        <f>DO71*VLOOKUP('Données projet'!$B$14,Paramètres!$A$1:$I$89,3,0)*VLOOKUP('Données projet'!$B$14,Paramètres!$A$1:$I$89,5,0)</f>
        <v>163.0064799999999</v>
      </c>
      <c r="DQ71" s="14">
        <f t="shared" si="97"/>
        <v>41.519898900693953</v>
      </c>
      <c r="DR71" s="22">
        <f t="shared" si="70"/>
        <v>356.2167765853751</v>
      </c>
      <c r="DS71" s="62">
        <f t="shared" si="71"/>
        <v>649.55010991870836</v>
      </c>
      <c r="DT71" s="62">
        <f ca="1">AVERAGE(OFFSET($DS$3,0,0,'Données projet'!$E$14+1,1))-AVERAGE(OFFSET($H$3,0,0,'Données projet'!$E$14+1,1))</f>
        <v>541.0854688453461</v>
      </c>
      <c r="DU71" s="62">
        <f t="shared" si="98"/>
        <v>171.04847168584473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11.727272727272727</v>
      </c>
      <c r="EJ71" s="13">
        <f>IF('Données projet'!$A$192&gt;35,EJ70+EI71-ER70,IF(A71&lt;'Données projet'!$A$192,$EG$205^A71,IF(A71='Données projet'!$A$192,'Données projet'!$B$192,EJ70+EI71-ER70)))</f>
        <v>248.72727272727275</v>
      </c>
      <c r="EK71" s="18">
        <f>EJ71*VLOOKUP('Données projet'!$B$15,Paramètres!$A$1:$I$89,3,0)*VLOOKUP('Données projet'!$B$15,Paramètres!$A$1:$I$89,5,0)</f>
        <v>148.73890909090912</v>
      </c>
      <c r="EL71" s="14">
        <f t="shared" si="99"/>
        <v>38.291857517656723</v>
      </c>
      <c r="EM71" s="22">
        <f t="shared" si="73"/>
        <v>325.74525184325216</v>
      </c>
      <c r="EN71" s="62">
        <f t="shared" si="74"/>
        <v>619.07858517658542</v>
      </c>
      <c r="EO71" s="62">
        <f ca="1">AVERAGE(OFFSET($EN$3,0,0,'Données projet'!$E$15+1,1))-AVERAGE(OFFSET($H$3,0,0,'Données projet'!$E$15+1,1))</f>
        <v>244.01698421598974</v>
      </c>
      <c r="EP71" s="62">
        <f t="shared" si="100"/>
        <v>156.96653202915024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1.2541666327006604</v>
      </c>
      <c r="EX71" s="23">
        <f>EXP(-LN(2)/2)*EX70+(1-EXP(-LN(2)/2))/(LN(2)/2)*ER71*EU71*VLOOKUP('Données projet'!$B$15,Paramètres!$A$1:$I$89,3,0)*0.475*44/12</f>
        <v>1.8993943539615782E-5</v>
      </c>
      <c r="EY71" s="24">
        <f t="shared" si="75"/>
        <v>1.2541856266442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2.2000000000000002</v>
      </c>
      <c r="FE71" s="13">
        <f>IF('Données projet'!$A$218&gt;35,FE70+FD71-FM70,IF(A71&lt;'Données projet'!$A$218,$FB$205^A71,IF(A71='Données projet'!$A$218,'Données projet'!$B$218,FE70+FD71-FM70)))</f>
        <v>152.59999999999985</v>
      </c>
      <c r="FF71" s="18">
        <f>FE71*VLOOKUP('Données projet'!$B$16,Paramètres!$A$1:$I$89,3,0)*VLOOKUP('Données projet'!$B$16,Paramètres!$A$1:$I$89,5,0)</f>
        <v>133.31135999999989</v>
      </c>
      <c r="FG71" s="14">
        <f t="shared" si="101"/>
        <v>34.760393689821598</v>
      </c>
      <c r="FH71" s="22">
        <f t="shared" si="76"/>
        <v>292.72497100977245</v>
      </c>
      <c r="FI71" s="62">
        <f t="shared" si="77"/>
        <v>586.05830434310576</v>
      </c>
      <c r="FJ71" s="62">
        <f ca="1">AVERAGE(OFFSET($FI$3,0,0,'Données projet'!$E$16+1,1))-AVERAGE(OFFSET($H$3,0,0,'Données projet'!$E$16+1,1))</f>
        <v>175.08726167127026</v>
      </c>
      <c r="FK71" s="62">
        <f t="shared" si="102"/>
        <v>196.05343924817117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3.2</v>
      </c>
      <c r="FZ71" s="13">
        <f>IF('Données projet'!$A$244&gt;35,FZ70+FY71-GH70,IF(A71&lt;'Données projet'!$A$244,$FW$205^A71,IF(A71='Données projet'!$A$244,'Données projet'!$B$244,FZ70+FY71-GH70)))</f>
        <v>132.60000000000005</v>
      </c>
      <c r="GA71" s="18">
        <f>FZ71*VLOOKUP('Données projet'!$B$17,Paramètres!$A$1:$I$89,3,0)*VLOOKUP('Données projet'!$B$17,Paramètres!$A$1:$I$89,5,0)</f>
        <v>86.879520000000042</v>
      </c>
      <c r="GB71" s="14">
        <f t="shared" si="103"/>
        <v>23.811101748604674</v>
      </c>
      <c r="GC71" s="22">
        <f t="shared" si="79"/>
        <v>192.78616621215318</v>
      </c>
      <c r="GD71" s="62">
        <f t="shared" si="80"/>
        <v>486.11949954548652</v>
      </c>
      <c r="GE71" s="62">
        <f ca="1">AVERAGE(OFFSET($GD$3,0,0,'Données projet'!$E$17+1,1))-AVERAGE(OFFSET($H$3,0,0,'Données projet'!$E$17+1,1))</f>
        <v>142.93037460866543</v>
      </c>
      <c r="GF71" s="62">
        <f t="shared" si="104"/>
        <v>146.18554498808049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3.6</v>
      </c>
      <c r="GU71" s="13">
        <f>IF('Données projet'!$A$270&gt;35,GU70+GT71-HC70,IF(A71&lt;'Données projet'!$A$270,$GR$205^A71,IF(A71='Données projet'!$A$270,'Données projet'!$B$270,GU70+GT71-HC70)))</f>
        <v>134.79999999999995</v>
      </c>
      <c r="GV71" s="18">
        <f>GU71*VLOOKUP('Données projet'!$B$18,Paramètres!$A$1:$I$89,3,0)*VLOOKUP('Données projet'!$B$18,Paramètres!$A$1:$I$89,5,0)</f>
        <v>115.65839999999999</v>
      </c>
      <c r="GW71" s="14">
        <f t="shared" si="105"/>
        <v>30.660230899202343</v>
      </c>
      <c r="GX71" s="22">
        <f t="shared" si="82"/>
        <v>254.83828214944401</v>
      </c>
      <c r="GY71" s="62">
        <f t="shared" si="83"/>
        <v>548.17161548277727</v>
      </c>
      <c r="GZ71" s="62">
        <f ca="1">AVERAGE(OFFSET($GY$3,0,0,'Données projet'!$E$18+1,1))-AVERAGE(OFFSET($H$3,0,0,'Données projet'!$E$18+1,1))</f>
        <v>188.08607733149256</v>
      </c>
      <c r="HA71" s="62">
        <f t="shared" si="106"/>
        <v>119.95698016603842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20.630999999999982</v>
      </c>
      <c r="D72" s="12">
        <f t="shared" si="86"/>
        <v>6.6843961969413916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210.85568994130188</v>
      </c>
      <c r="H72" s="70">
        <f t="shared" si="56"/>
        <v>304.24098170967289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3.6</v>
      </c>
      <c r="N72" s="14">
        <f>IF('Données projet'!$A$36&gt;35,N71+M72-V71,IF(A72&lt;'Données projet'!$A$36,$K$205^A72,IF(A72='Données projet'!$A$36,'Données projet'!$B$36,N71+M72-V71)))</f>
        <v>138.39999999999995</v>
      </c>
      <c r="O72" s="14">
        <f>N72*VLOOKUP('Données projet'!$B$9,Paramètres!$A$1:$I$89,3,0)*VLOOKUP('Données projet'!$B$9,Paramètres!$A$1:$I$89,5,0)</f>
        <v>148.97375999999994</v>
      </c>
      <c r="P72" s="14">
        <f t="shared" si="87"/>
        <v>38.345275798549068</v>
      </c>
      <c r="Q72" s="22">
        <f t="shared" si="54"/>
        <v>326.24732068247283</v>
      </c>
      <c r="R72" s="62">
        <f t="shared" si="55"/>
        <v>619.5806540158062</v>
      </c>
      <c r="S72" s="62">
        <f ca="1">AVERAGE(OFFSET($R$3,0,0,'Données projet'!$E$9+1,1))-AVERAGE(OFFSET($H$3,0,0,'Données projet'!$E$9+1,1))</f>
        <v>236.98575892380046</v>
      </c>
      <c r="T72" s="62">
        <f t="shared" si="88"/>
        <v>145.77678223659774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5.3778846153846125</v>
      </c>
      <c r="AI72" s="14">
        <f>IF('Données projet'!$A$62&gt;35,AI71+AH72-AQ71,IF(A72&lt;'Données projet'!$A$62,$AF$205^A72,IF(A72='Données projet'!$A$62,'Données projet'!$B$62,AI71+AH72-AQ71)))</f>
        <v>200.5336538461539</v>
      </c>
      <c r="AJ72" s="14">
        <f>AI72*VLOOKUP('Données projet'!$B$10,Paramètres!$A$1:$I$89,3,0)*VLOOKUP('Données projet'!$B$10,Paramètres!$A$1:$I$89,5,0)</f>
        <v>117.31218750000004</v>
      </c>
      <c r="AK72" s="14">
        <f t="shared" si="89"/>
        <v>31.047287069448931</v>
      </c>
      <c r="AL72" s="22">
        <f t="shared" si="58"/>
        <v>258.39275154179029</v>
      </c>
      <c r="AM72" s="62">
        <f t="shared" si="59"/>
        <v>551.72608487512366</v>
      </c>
      <c r="AN72" s="62">
        <f ca="1">AVERAGE(OFFSET($AM$3,0,0,'Données projet'!$E$10+1,1))-AVERAGE(OFFSET($H$3,0,0,'Données projet'!$E$10+1,1))</f>
        <v>140.04898296125504</v>
      </c>
      <c r="AO72" s="62">
        <f t="shared" si="90"/>
        <v>129.5395511270716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300.74615384615385</v>
      </c>
      <c r="BB72" s="13">
        <f>VLOOKUP(A72,'Données projet'!$A$87:$I$107,9,0)</f>
        <v>9.6897435897435908</v>
      </c>
      <c r="BC72" s="13">
        <f t="array" ref="BC72">INDEX(BB:BB,MIN(IF(ISNUMBER(BB72:BB268),ROW(BB72:BB268),"")))</f>
        <v>9.6897435897435908</v>
      </c>
      <c r="BD72" s="13">
        <f>IF('Données projet'!$A$88&gt;35,BD71+BC72-BL71,IF(A72&lt;'Données projet'!$A$88,$BA$205^A72,IF(A72='Données projet'!$A$88,'Données projet'!$B$88,BD71+BC72-BL71)))</f>
        <v>300.74615384615379</v>
      </c>
      <c r="BE72" s="14">
        <f>BD72*VLOOKUP('Données projet'!$B$11,Paramètres!$A$1:$I$89,3,0)*VLOOKUP('Données projet'!$B$11,Paramètres!$A$1:$I$89,5,0)</f>
        <v>140.74919999999997</v>
      </c>
      <c r="BF72" s="14">
        <f t="shared" si="91"/>
        <v>36.468583345471806</v>
      </c>
      <c r="BG72" s="22">
        <f t="shared" si="61"/>
        <v>308.65430599336338</v>
      </c>
      <c r="BH72" s="62">
        <f t="shared" si="62"/>
        <v>601.98763932669669</v>
      </c>
      <c r="BI72" s="62">
        <f ca="1">AVERAGE(OFFSET($BH$3,0,0,'Données projet'!$E$11+1,1))-AVERAGE(OFFSET($H$3,0,0,'Données projet'!$E$11+1,1))</f>
        <v>207.84100251878419</v>
      </c>
      <c r="BJ72" s="62">
        <f t="shared" si="92"/>
        <v>124.34917784241952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2.5199999999999934</v>
      </c>
      <c r="BY72" s="13">
        <f>IF('Données projet'!$A$114&gt;35,BY71+BX72-CG71,IF(A72&lt;'Données projet'!$A$114,$BV$205^A72,IF(A72='Données projet'!$A$114,'Données projet'!$B$114,BY71+BX72-CG71)))</f>
        <v>264.37999999999988</v>
      </c>
      <c r="BZ72" s="14">
        <f>BY72*VLOOKUP('Données projet'!$B$12,Paramètres!$A$1:$I$89,3,0)*VLOOKUP('Données projet'!$B$12,Paramètres!$A$1:$I$89,5,0)</f>
        <v>137.47759999999994</v>
      </c>
      <c r="CA72" s="14">
        <f t="shared" si="93"/>
        <v>35.71854904549317</v>
      </c>
      <c r="CB72" s="22">
        <f t="shared" si="64"/>
        <v>301.64995958756714</v>
      </c>
      <c r="CC72" s="62">
        <f t="shared" si="65"/>
        <v>594.98329292090045</v>
      </c>
      <c r="CD72" s="62">
        <f ca="1">AVERAGE(OFFSET($CC$3,0,0,'Données projet'!$E$12+1,1))-AVERAGE(OFFSET($H$3,0,0,'Données projet'!$E$12+1,1))</f>
        <v>211.05980622218578</v>
      </c>
      <c r="CE72" s="62">
        <f t="shared" si="94"/>
        <v>168.57746894604855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1.6750000000000014</v>
      </c>
      <c r="CT72" s="13">
        <f>IF('Données projet'!$A$140&gt;35,CT71+CS72-DB71,IF(A72&lt;'Données projet'!$A$140,$CQ$205^A72,IF(A72='Données projet'!$A$140,'Données projet'!$B$140,CT71+CS72-DB71)))</f>
        <v>91.187499999999943</v>
      </c>
      <c r="CU72" s="18">
        <f>CT72*VLOOKUP('Données projet'!$B$13,Paramètres!$A$1:$I$89,3,0)*VLOOKUP('Données projet'!$B$13,Paramètres!$A$1:$I$89,5,0)</f>
        <v>105.04799999999992</v>
      </c>
      <c r="CV72" s="14">
        <f t="shared" si="95"/>
        <v>28.161145381699356</v>
      </c>
      <c r="CW72" s="22">
        <f t="shared" si="67"/>
        <v>232.00592820645954</v>
      </c>
      <c r="CX72" s="62">
        <f t="shared" si="68"/>
        <v>525.33926153979291</v>
      </c>
      <c r="CY72" s="62">
        <f ca="1">AVERAGE(OFFSET($CX$3,0,0,'Données projet'!$E$13+1,1))-AVERAGE(OFFSET($H$3,0,0,'Données projet'!$E$13+1,1))</f>
        <v>191.79777926975839</v>
      </c>
      <c r="CZ72" s="62">
        <f t="shared" si="96"/>
        <v>156.66161375678712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4.373333333333334</v>
      </c>
      <c r="DO72" s="13">
        <f>IF('Données projet'!$A$166&gt;35,DO71+DN72-DW71,IF(A72&lt;'Données projet'!$A$166,$DL$205^A72,IF(A72='Données projet'!$A$166,'Données projet'!$B$166,DO71+DN72-DW71)))</f>
        <v>153.64666666666656</v>
      </c>
      <c r="DP72" s="18">
        <f>DO72*VLOOKUP('Données projet'!$B$14,Paramètres!$A$1:$I$89,3,0)*VLOOKUP('Données projet'!$B$14,Paramètres!$A$1:$I$89,5,0)</f>
        <v>167.78215999999986</v>
      </c>
      <c r="DQ72" s="14">
        <f t="shared" si="97"/>
        <v>42.59292220603146</v>
      </c>
      <c r="DR72" s="22">
        <f t="shared" si="70"/>
        <v>366.40326817550454</v>
      </c>
      <c r="DS72" s="62">
        <f t="shared" si="71"/>
        <v>659.73660150883779</v>
      </c>
      <c r="DT72" s="62">
        <f ca="1">AVERAGE(OFFSET($DS$3,0,0,'Données projet'!$E$14+1,1))-AVERAGE(OFFSET($H$3,0,0,'Données projet'!$E$14+1,1))</f>
        <v>541.0854688453461</v>
      </c>
      <c r="DU72" s="62">
        <f t="shared" si="98"/>
        <v>171.04847168584473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11.727272727272727</v>
      </c>
      <c r="EJ72" s="13">
        <f>IF('Données projet'!$A$192&gt;35,EJ71+EI72-ER71,IF(A72&lt;'Données projet'!$A$192,$EG$205^A72,IF(A72='Données projet'!$A$192,'Données projet'!$B$192,EJ71+EI72-ER71)))</f>
        <v>260.4545454545455</v>
      </c>
      <c r="EK72" s="18">
        <f>EJ72*VLOOKUP('Données projet'!$B$15,Paramètres!$A$1:$I$89,3,0)*VLOOKUP('Données projet'!$B$15,Paramètres!$A$1:$I$89,5,0)</f>
        <v>155.75181818181821</v>
      </c>
      <c r="EL72" s="14">
        <f t="shared" si="99"/>
        <v>39.882830633693523</v>
      </c>
      <c r="EM72" s="22">
        <f t="shared" si="73"/>
        <v>340.73034668701627</v>
      </c>
      <c r="EN72" s="62">
        <f t="shared" si="74"/>
        <v>634.06368002034958</v>
      </c>
      <c r="EO72" s="62">
        <f ca="1">AVERAGE(OFFSET($EN$3,0,0,'Données projet'!$E$15+1,1))-AVERAGE(OFFSET($H$3,0,0,'Données projet'!$E$15+1,1))</f>
        <v>244.01698421598974</v>
      </c>
      <c r="EP72" s="62">
        <f t="shared" si="100"/>
        <v>156.96653202915024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1.2198713801757042</v>
      </c>
      <c r="EX72" s="23">
        <f>EXP(-LN(2)/2)*EX71+(1-EXP(-LN(2)/2))/(LN(2)/2)*ER72*EU72*VLOOKUP('Données projet'!$B$15,Paramètres!$A$1:$I$89,3,0)*0.475*44/12</f>
        <v>1.3430746278336735E-5</v>
      </c>
      <c r="EY72" s="24">
        <f t="shared" si="75"/>
        <v>1.2198848109219824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2.2000000000000002</v>
      </c>
      <c r="FE72" s="13">
        <f>IF('Données projet'!$A$218&gt;35,FE71+FD72-FM71,IF(A72&lt;'Données projet'!$A$218,$FB$205^A72,IF(A72='Données projet'!$A$218,'Données projet'!$B$218,FE71+FD72-FM71)))</f>
        <v>154.79999999999984</v>
      </c>
      <c r="FF72" s="18">
        <f>FE72*VLOOKUP('Données projet'!$B$16,Paramètres!$A$1:$I$89,3,0)*VLOOKUP('Données projet'!$B$16,Paramètres!$A$1:$I$89,5,0)</f>
        <v>135.23327999999987</v>
      </c>
      <c r="FG72" s="14">
        <f t="shared" si="101"/>
        <v>35.202825080004409</v>
      </c>
      <c r="FH72" s="22">
        <f t="shared" si="76"/>
        <v>296.84288301434077</v>
      </c>
      <c r="FI72" s="62">
        <f t="shared" si="77"/>
        <v>590.17621634767409</v>
      </c>
      <c r="FJ72" s="62">
        <f ca="1">AVERAGE(OFFSET($FI$3,0,0,'Données projet'!$E$16+1,1))-AVERAGE(OFFSET($H$3,0,0,'Données projet'!$E$16+1,1))</f>
        <v>175.08726167127026</v>
      </c>
      <c r="FK72" s="62">
        <f t="shared" si="102"/>
        <v>196.05343924817117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3.2</v>
      </c>
      <c r="FZ72" s="13">
        <f>IF('Données projet'!$A$244&gt;35,FZ71+FY72-GH71,IF(A72&lt;'Données projet'!$A$244,$FW$205^A72,IF(A72='Données projet'!$A$244,'Données projet'!$B$244,FZ71+FY72-GH71)))</f>
        <v>135.80000000000004</v>
      </c>
      <c r="GA72" s="18">
        <f>FZ72*VLOOKUP('Données projet'!$B$17,Paramètres!$A$1:$I$89,3,0)*VLOOKUP('Données projet'!$B$17,Paramètres!$A$1:$I$89,5,0)</f>
        <v>88.976160000000021</v>
      </c>
      <c r="GB72" s="14">
        <f t="shared" si="103"/>
        <v>24.318135258370972</v>
      </c>
      <c r="GC72" s="22">
        <f t="shared" si="79"/>
        <v>197.32089757499614</v>
      </c>
      <c r="GD72" s="62">
        <f t="shared" si="80"/>
        <v>490.65423090832945</v>
      </c>
      <c r="GE72" s="62">
        <f ca="1">AVERAGE(OFFSET($GD$3,0,0,'Données projet'!$E$17+1,1))-AVERAGE(OFFSET($H$3,0,0,'Données projet'!$E$17+1,1))</f>
        <v>142.93037460866543</v>
      </c>
      <c r="GF72" s="62">
        <f t="shared" si="104"/>
        <v>146.18554498808049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3.6</v>
      </c>
      <c r="GU72" s="13">
        <f>IF('Données projet'!$A$270&gt;35,GU71+GT72-HC71,IF(A72&lt;'Données projet'!$A$270,$GR$205^A72,IF(A72='Données projet'!$A$270,'Données projet'!$B$270,GU71+GT72-HC71)))</f>
        <v>138.39999999999995</v>
      </c>
      <c r="GV72" s="18">
        <f>GU72*VLOOKUP('Données projet'!$B$18,Paramètres!$A$1:$I$89,3,0)*VLOOKUP('Données projet'!$B$18,Paramètres!$A$1:$I$89,5,0)</f>
        <v>118.74719999999996</v>
      </c>
      <c r="GW72" s="14">
        <f t="shared" si="105"/>
        <v>31.382626033807956</v>
      </c>
      <c r="GX72" s="22">
        <f t="shared" si="82"/>
        <v>261.47611367554879</v>
      </c>
      <c r="GY72" s="62">
        <f t="shared" si="83"/>
        <v>554.8094470088821</v>
      </c>
      <c r="GZ72" s="62">
        <f ca="1">AVERAGE(OFFSET($GY$3,0,0,'Données projet'!$E$18+1,1))-AVERAGE(OFFSET($H$3,0,0,'Données projet'!$E$18+1,1))</f>
        <v>188.08607733149256</v>
      </c>
      <c r="HA72" s="62">
        <f t="shared" si="106"/>
        <v>119.95698016603842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20.929999999999982</v>
      </c>
      <c r="D73" s="12">
        <f t="shared" si="86"/>
        <v>6.7699234039087699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213.82397013543599</v>
      </c>
      <c r="H73" s="70">
        <f t="shared" si="56"/>
        <v>304.9106999284744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142</v>
      </c>
      <c r="L73" s="13">
        <f>VLOOKUP(A73,'Données projet'!$A$35:$I$55,9,0)</f>
        <v>3.6</v>
      </c>
      <c r="M73" s="13">
        <f t="array" ref="M73">INDEX(L:L,MIN(IF(ISNUMBER(L73:L269),ROW(L73:L269),"")))</f>
        <v>3.6</v>
      </c>
      <c r="N73" s="14">
        <f>IF('Données projet'!$A$36&gt;35,N72+M73-V72,IF(A73&lt;'Données projet'!$A$36,$K$205^A73,IF(A73='Données projet'!$A$36,'Données projet'!$B$36,N72+M73-V72)))</f>
        <v>141.99999999999994</v>
      </c>
      <c r="O73" s="14">
        <f>N73*VLOOKUP('Données projet'!$B$9,Paramètres!$A$1:$I$89,3,0)*VLOOKUP('Données projet'!$B$9,Paramètres!$A$1:$I$89,5,0)</f>
        <v>152.84879999999993</v>
      </c>
      <c r="P73" s="14">
        <f t="shared" si="87"/>
        <v>39.225275057139491</v>
      </c>
      <c r="Q73" s="22">
        <f t="shared" si="54"/>
        <v>334.52901405785116</v>
      </c>
      <c r="R73" s="62">
        <f t="shared" si="55"/>
        <v>627.86234739118447</v>
      </c>
      <c r="S73" s="62">
        <f ca="1">AVERAGE(OFFSET($R$3,0,0,'Données projet'!$E$9+1,1))-AVERAGE(OFFSET($H$3,0,0,'Données projet'!$E$9+1,1))</f>
        <v>236.98575892380046</v>
      </c>
      <c r="T73" s="62">
        <f t="shared" si="88"/>
        <v>145.77678223659774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20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5.3778846153846125</v>
      </c>
      <c r="AI73" s="14">
        <f>IF('Données projet'!$A$62&gt;35,AI72+AH73-AQ72,IF(A73&lt;'Données projet'!$A$62,$AF$205^A73,IF(A73='Données projet'!$A$62,'Données projet'!$B$62,AI72+AH73-AQ72)))</f>
        <v>205.9115384615385</v>
      </c>
      <c r="AJ73" s="14">
        <f>AI73*VLOOKUP('Données projet'!$B$10,Paramètres!$A$1:$I$89,3,0)*VLOOKUP('Données projet'!$B$10,Paramètres!$A$1:$I$89,5,0)</f>
        <v>120.45825000000004</v>
      </c>
      <c r="AK73" s="14">
        <f t="shared" si="89"/>
        <v>31.781854860937063</v>
      </c>
      <c r="AL73" s="22">
        <f t="shared" si="58"/>
        <v>265.15151596613208</v>
      </c>
      <c r="AM73" s="62">
        <f t="shared" si="59"/>
        <v>558.4848492994654</v>
      </c>
      <c r="AN73" s="62">
        <f ca="1">AVERAGE(OFFSET($AM$3,0,0,'Données projet'!$E$10+1,1))-AVERAGE(OFFSET($H$3,0,0,'Données projet'!$E$10+1,1))</f>
        <v>140.04898296125504</v>
      </c>
      <c r="AO73" s="62">
        <f t="shared" si="90"/>
        <v>129.5395511270716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9.9551282051282044</v>
      </c>
      <c r="BD73" s="13">
        <f>IF('Données projet'!$A$88&gt;35,BD72+BC73-BL72,IF(A73&lt;'Données projet'!$A$88,$BA$205^A73,IF(A73='Données projet'!$A$88,'Données projet'!$B$88,BD72+BC73-BL72)))</f>
        <v>310.70128205128196</v>
      </c>
      <c r="BE73" s="14">
        <f>BD73*VLOOKUP('Données projet'!$B$11,Paramètres!$A$1:$I$89,3,0)*VLOOKUP('Données projet'!$B$11,Paramètres!$A$1:$I$89,5,0)</f>
        <v>145.40819999999997</v>
      </c>
      <c r="BF73" s="14">
        <f t="shared" si="91"/>
        <v>37.533201941228626</v>
      </c>
      <c r="BG73" s="22">
        <f t="shared" si="61"/>
        <v>318.62294171430648</v>
      </c>
      <c r="BH73" s="62">
        <f t="shared" si="62"/>
        <v>611.95627504763979</v>
      </c>
      <c r="BI73" s="62">
        <f ca="1">AVERAGE(OFFSET($BH$3,0,0,'Données projet'!$E$11+1,1))-AVERAGE(OFFSET($H$3,0,0,'Données projet'!$E$11+1,1))</f>
        <v>207.84100251878419</v>
      </c>
      <c r="BJ73" s="62">
        <f t="shared" si="92"/>
        <v>124.34917784241952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266.89999999999998</v>
      </c>
      <c r="BW73" s="13">
        <f>VLOOKUP(A73,'Données projet'!$A$113:$I$133,9,0)</f>
        <v>2.5199999999999934</v>
      </c>
      <c r="BX73" s="13">
        <f t="array" ref="BX73">INDEX(BW:BW,MIN(IF(ISNUMBER(BW73:BW269),ROW(BW73:BW269),"")))</f>
        <v>2.5199999999999934</v>
      </c>
      <c r="BY73" s="13">
        <f>IF('Données projet'!$A$114&gt;35,BY72+BX73-CG72,IF(A73&lt;'Données projet'!$A$114,$BV$205^A73,IF(A73='Données projet'!$A$114,'Données projet'!$B$114,BY72+BX73-CG72)))</f>
        <v>266.89999999999986</v>
      </c>
      <c r="BZ73" s="14">
        <f>BY73*VLOOKUP('Données projet'!$B$12,Paramètres!$A$1:$I$89,3,0)*VLOOKUP('Données projet'!$B$12,Paramètres!$A$1:$I$89,5,0)</f>
        <v>138.78799999999993</v>
      </c>
      <c r="CA73" s="14">
        <f t="shared" si="93"/>
        <v>36.019212967850898</v>
      </c>
      <c r="CB73" s="22">
        <f t="shared" si="64"/>
        <v>304.45589591900688</v>
      </c>
      <c r="CC73" s="62">
        <f t="shared" si="65"/>
        <v>597.78922925234019</v>
      </c>
      <c r="CD73" s="62">
        <f ca="1">AVERAGE(OFFSET($CC$3,0,0,'Données projet'!$E$12+1,1))-AVERAGE(OFFSET($H$3,0,0,'Données projet'!$E$12+1,1))</f>
        <v>211.05980622218578</v>
      </c>
      <c r="CE73" s="62">
        <f t="shared" si="94"/>
        <v>168.57746894604855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92.862500000000011</v>
      </c>
      <c r="CR73" s="13">
        <f>VLOOKUP(A73,'Données projet'!$A$139:$I$159,9,0)</f>
        <v>1.6750000000000014</v>
      </c>
      <c r="CS73" s="13">
        <f t="array" ref="CS73">INDEX(CR:CR,MIN(IF(ISNUMBER(CR73:CR269),ROW(CR73:CR269),"")))</f>
        <v>1.6750000000000014</v>
      </c>
      <c r="CT73" s="13">
        <f>IF('Données projet'!$A$140&gt;35,CT72+CS73-DB72,IF(A73&lt;'Données projet'!$A$140,$CQ$205^A73,IF(A73='Données projet'!$A$140,'Données projet'!$B$140,CT72+CS73-DB72)))</f>
        <v>92.86249999999994</v>
      </c>
      <c r="CU73" s="18">
        <f>CT73*VLOOKUP('Données projet'!$B$13,Paramètres!$A$1:$I$89,3,0)*VLOOKUP('Données projet'!$B$13,Paramètres!$A$1:$I$89,5,0)</f>
        <v>106.97759999999992</v>
      </c>
      <c r="CV73" s="14">
        <f t="shared" si="95"/>
        <v>28.617733004955216</v>
      </c>
      <c r="CW73" s="22">
        <f t="shared" si="67"/>
        <v>236.16187165029689</v>
      </c>
      <c r="CX73" s="62">
        <f t="shared" si="68"/>
        <v>529.49520498363017</v>
      </c>
      <c r="CY73" s="62">
        <f ca="1">AVERAGE(OFFSET($CX$3,0,0,'Données projet'!$E$13+1,1))-AVERAGE(OFFSET($H$3,0,0,'Données projet'!$E$13+1,1))</f>
        <v>191.79777926975839</v>
      </c>
      <c r="CZ73" s="62">
        <f t="shared" si="96"/>
        <v>156.66161375678712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8.5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158.02000000000001</v>
      </c>
      <c r="DM73" s="13">
        <f>VLOOKUP(A73,'Données projet'!$A$165:$I$185,9,0)</f>
        <v>4.373333333333334</v>
      </c>
      <c r="DN73" s="13">
        <f t="array" ref="DN73">INDEX(DM:DM,MIN(IF(ISNUMBER(DM73:DM269),ROW(DM73:DM269),"")))</f>
        <v>4.373333333333334</v>
      </c>
      <c r="DO73" s="13">
        <f>IF('Données projet'!$A$166&gt;35,DO72+DN73-DW72,IF(A73&lt;'Données projet'!$A$166,$DL$205^A73,IF(A73='Données projet'!$A$166,'Données projet'!$B$166,DO72+DN73-DW72)))</f>
        <v>158.0199999999999</v>
      </c>
      <c r="DP73" s="18">
        <f>DO73*VLOOKUP('Données projet'!$B$14,Paramètres!$A$1:$I$89,3,0)*VLOOKUP('Données projet'!$B$14,Paramètres!$A$1:$I$89,5,0)</f>
        <v>172.55783999999989</v>
      </c>
      <c r="DQ73" s="14">
        <f t="shared" si="97"/>
        <v>43.662395789739506</v>
      </c>
      <c r="DR73" s="22">
        <f t="shared" si="70"/>
        <v>376.58357733379609</v>
      </c>
      <c r="DS73" s="62">
        <f t="shared" si="71"/>
        <v>669.9169106671294</v>
      </c>
      <c r="DT73" s="62">
        <f ca="1">AVERAGE(OFFSET($DS$3,0,0,'Données projet'!$E$14+1,1))-AVERAGE(OFFSET($H$3,0,0,'Données projet'!$E$14+1,1))</f>
        <v>541.0854688453461</v>
      </c>
      <c r="DU73" s="62">
        <f t="shared" si="98"/>
        <v>171.04847168584473</v>
      </c>
      <c r="DV73" s="16">
        <f>IF(ISNA(VLOOKUP(A73,'Données projet'!$A$165:$I$185,3,0)),0,VLOOKUP(A73,'Données projet'!$A$165:$I$185,3,0))</f>
        <v>4</v>
      </c>
      <c r="DW73" s="16">
        <f>IF(ISNA(VLOOKUP(A73,'Données projet'!$A$165:$I$185,4,0)),0,VLOOKUP(A73,'Données projet'!$A$165:$I$185,4,0))</f>
        <v>24.48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11.727272727272727</v>
      </c>
      <c r="EJ73" s="13">
        <f>IF('Données projet'!$A$192&gt;35,EJ72+EI73-ER72,IF(A73&lt;'Données projet'!$A$192,$EG$205^A73,IF(A73='Données projet'!$A$192,'Données projet'!$B$192,EJ72+EI73-ER72)))</f>
        <v>272.18181818181824</v>
      </c>
      <c r="EK73" s="18">
        <f>EJ73*VLOOKUP('Données projet'!$B$15,Paramètres!$A$1:$I$89,3,0)*VLOOKUP('Données projet'!$B$15,Paramètres!$A$1:$I$89,5,0)</f>
        <v>162.76472727272733</v>
      </c>
      <c r="EL73" s="14">
        <f t="shared" si="99"/>
        <v>41.465484229036846</v>
      </c>
      <c r="EM73" s="22">
        <f t="shared" si="73"/>
        <v>355.70095169890595</v>
      </c>
      <c r="EN73" s="62">
        <f t="shared" si="74"/>
        <v>649.03428503223927</v>
      </c>
      <c r="EO73" s="62">
        <f ca="1">AVERAGE(OFFSET($EN$3,0,0,'Données projet'!$E$15+1,1))-AVERAGE(OFFSET($H$3,0,0,'Données projet'!$E$15+1,1))</f>
        <v>244.01698421598974</v>
      </c>
      <c r="EP73" s="62">
        <f t="shared" si="100"/>
        <v>156.96653202915024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1.1865139331345518</v>
      </c>
      <c r="EX73" s="23">
        <f>EXP(-LN(2)/2)*EX72+(1-EXP(-LN(2)/2))/(LN(2)/2)*ER73*EU73*VLOOKUP('Données projet'!$B$15,Paramètres!$A$1:$I$89,3,0)*0.475*44/12</f>
        <v>9.496971769807891E-6</v>
      </c>
      <c r="EY73" s="24">
        <f t="shared" si="75"/>
        <v>1.1865234301063217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157</v>
      </c>
      <c r="FC73" s="13">
        <f>VLOOKUP(A73,'Données projet'!$A$217:$I$237,9,0)</f>
        <v>2.2000000000000002</v>
      </c>
      <c r="FD73" s="13">
        <f t="array" ref="FD73">INDEX(FC:FC,MIN(IF(ISNUMBER(FC73:FC269),ROW(FC73:FC269),"")))</f>
        <v>2.2000000000000002</v>
      </c>
      <c r="FE73" s="13">
        <f>IF('Données projet'!$A$218&gt;35,FE72+FD73-FM72,IF(A73&lt;'Données projet'!$A$218,$FB$205^A73,IF(A73='Données projet'!$A$218,'Données projet'!$B$218,FE72+FD73-FM72)))</f>
        <v>156.99999999999983</v>
      </c>
      <c r="FF73" s="18">
        <f>FE73*VLOOKUP('Données projet'!$B$16,Paramètres!$A$1:$I$89,3,0)*VLOOKUP('Données projet'!$B$16,Paramètres!$A$1:$I$89,5,0)</f>
        <v>137.15519999999987</v>
      </c>
      <c r="FG73" s="14">
        <f t="shared" si="101"/>
        <v>35.644525151069693</v>
      </c>
      <c r="FH73" s="22">
        <f t="shared" si="76"/>
        <v>300.95952130477946</v>
      </c>
      <c r="FI73" s="62">
        <f t="shared" si="77"/>
        <v>594.29285463811277</v>
      </c>
      <c r="FJ73" s="62">
        <f ca="1">AVERAGE(OFFSET($FI$3,0,0,'Données projet'!$E$16+1,1))-AVERAGE(OFFSET($H$3,0,0,'Données projet'!$E$16+1,1))</f>
        <v>175.08726167127026</v>
      </c>
      <c r="FK73" s="62">
        <f t="shared" si="102"/>
        <v>196.05343924817117</v>
      </c>
      <c r="FL73" s="16">
        <f>IF(ISNA(VLOOKUP(A73,'Données projet'!$A$217:$I$237,3,0)),0,VLOOKUP(A73,'Données projet'!$A$217:$I$237,3,0))</f>
        <v>5</v>
      </c>
      <c r="FM73" s="16">
        <f>IF(ISNA(VLOOKUP(A73,'Données projet'!$A$217:$I$237,4,0)),0,VLOOKUP(A73,'Données projet'!$A$217:$I$237,4,0))</f>
        <v>11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139</v>
      </c>
      <c r="FX73" s="13">
        <f>VLOOKUP(A73,'Données projet'!$A$243:$I$263,9,0)</f>
        <v>3.2</v>
      </c>
      <c r="FY73" s="13">
        <f t="array" ref="FY73">INDEX(FX:FX,MIN(IF(ISNUMBER(FX73:FX269),ROW(FX73:FX269),"")))</f>
        <v>3.2</v>
      </c>
      <c r="FZ73" s="13">
        <f>IF('Données projet'!$A$244&gt;35,FZ72+FY73-GH72,IF(A73&lt;'Données projet'!$A$244,$FW$205^A73,IF(A73='Données projet'!$A$244,'Données projet'!$B$244,FZ72+FY73-GH72)))</f>
        <v>139.00000000000003</v>
      </c>
      <c r="GA73" s="18">
        <f>FZ73*VLOOKUP('Données projet'!$B$17,Paramètres!$A$1:$I$89,3,0)*VLOOKUP('Données projet'!$B$17,Paramètres!$A$1:$I$89,5,0)</f>
        <v>91.072800000000015</v>
      </c>
      <c r="GB73" s="14">
        <f t="shared" si="103"/>
        <v>24.82377981733238</v>
      </c>
      <c r="GC73" s="22">
        <f t="shared" si="79"/>
        <v>201.85320984852058</v>
      </c>
      <c r="GD73" s="62">
        <f t="shared" si="80"/>
        <v>495.18654318185389</v>
      </c>
      <c r="GE73" s="62">
        <f ca="1">AVERAGE(OFFSET($GD$3,0,0,'Données projet'!$E$17+1,1))-AVERAGE(OFFSET($H$3,0,0,'Données projet'!$E$17+1,1))</f>
        <v>142.93037460866543</v>
      </c>
      <c r="GF73" s="62">
        <f t="shared" si="104"/>
        <v>146.18554498808049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142</v>
      </c>
      <c r="GS73" s="13">
        <f>VLOOKUP(A73,'Données projet'!$A$269:$I$289,9,0)</f>
        <v>3.6</v>
      </c>
      <c r="GT73" s="13">
        <f t="array" ref="GT73">INDEX(GS:GS,MIN(IF(ISNUMBER(GS73:GS269),ROW(GS73:GS269),"")))</f>
        <v>3.6</v>
      </c>
      <c r="GU73" s="13">
        <f>IF('Données projet'!$A$270&gt;35,GU72+GT73-HC72,IF(A73&lt;'Données projet'!$A$270,$GR$205^A73,IF(A73='Données projet'!$A$270,'Données projet'!$B$270,GU72+GT73-HC72)))</f>
        <v>141.99999999999994</v>
      </c>
      <c r="GV73" s="18">
        <f>GU73*VLOOKUP('Données projet'!$B$18,Paramètres!$A$1:$I$89,3,0)*VLOOKUP('Données projet'!$B$18,Paramètres!$A$1:$I$89,5,0)</f>
        <v>121.83599999999997</v>
      </c>
      <c r="GW73" s="14">
        <f t="shared" si="105"/>
        <v>32.102836987236969</v>
      </c>
      <c r="GX73" s="22">
        <f t="shared" si="82"/>
        <v>268.11014108610431</v>
      </c>
      <c r="GY73" s="62">
        <f t="shared" si="83"/>
        <v>561.44347441943762</v>
      </c>
      <c r="GZ73" s="62">
        <f ca="1">AVERAGE(OFFSET($GY$3,0,0,'Données projet'!$E$18+1,1))-AVERAGE(OFFSET($H$3,0,0,'Données projet'!$E$18+1,1))</f>
        <v>188.08607733149256</v>
      </c>
      <c r="HA73" s="62">
        <f t="shared" si="106"/>
        <v>119.95698016603842</v>
      </c>
      <c r="HB73" s="16">
        <f>IF(ISNA(VLOOKUP(A73,'Données projet'!$A$269:$I$289,3,0)),0,VLOOKUP(A73,'Données projet'!$A$269:$I$289,3,0))</f>
        <v>5</v>
      </c>
      <c r="HC73" s="16">
        <f>IF(ISNA(VLOOKUP(A73,'Données projet'!$A$269:$I$289,4,0)),0,VLOOKUP(A73,'Données projet'!$A$269:$I$289,4,0))</f>
        <v>20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21.228999999999981</v>
      </c>
      <c r="D74" s="12">
        <f t="shared" si="86"/>
        <v>6.8553085044181286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216.79115336743806</v>
      </c>
      <c r="H74" s="70">
        <f t="shared" si="56"/>
        <v>305.58017064519487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3.4</v>
      </c>
      <c r="N74" s="14">
        <f>IF('Données projet'!$A$36&gt;35,N73+M74-V73,IF(A74&lt;'Données projet'!$A$36,$K$205^A74,IF(A74='Données projet'!$A$36,'Données projet'!$B$36,N73+M74-V73)))</f>
        <v>125.39999999999995</v>
      </c>
      <c r="O74" s="14">
        <f>N74*VLOOKUP('Données projet'!$B$9,Paramètres!$A$1:$I$89,3,0)*VLOOKUP('Données projet'!$B$9,Paramètres!$A$1:$I$89,5,0)</f>
        <v>134.98055999999994</v>
      </c>
      <c r="P74" s="14">
        <f t="shared" si="87"/>
        <v>35.144690234680603</v>
      </c>
      <c r="Q74" s="22">
        <f t="shared" si="54"/>
        <v>296.30147749206861</v>
      </c>
      <c r="R74" s="62">
        <f t="shared" si="55"/>
        <v>589.63481082540193</v>
      </c>
      <c r="S74" s="62">
        <f ca="1">AVERAGE(OFFSET($R$3,0,0,'Données projet'!$E$9+1,1))-AVERAGE(OFFSET($H$3,0,0,'Données projet'!$E$9+1,1))</f>
        <v>236.98575892380046</v>
      </c>
      <c r="T74" s="62">
        <f t="shared" si="88"/>
        <v>145.77678223659774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5.3778846153846125</v>
      </c>
      <c r="AI74" s="14">
        <f>IF('Données projet'!$A$62&gt;35,AI73+AH74-AQ73,IF(A74&lt;'Données projet'!$A$62,$AF$205^A74,IF(A74='Données projet'!$A$62,'Données projet'!$B$62,AI73+AH74-AQ73)))</f>
        <v>211.2894230769231</v>
      </c>
      <c r="AJ74" s="14">
        <f>AI74*VLOOKUP('Données projet'!$B$10,Paramètres!$A$1:$I$89,3,0)*VLOOKUP('Données projet'!$B$10,Paramètres!$A$1:$I$89,5,0)</f>
        <v>123.60431250000002</v>
      </c>
      <c r="AK74" s="14">
        <f t="shared" si="89"/>
        <v>32.51419263702352</v>
      </c>
      <c r="AL74" s="22">
        <f t="shared" si="58"/>
        <v>271.90639644698263</v>
      </c>
      <c r="AM74" s="62">
        <f t="shared" si="59"/>
        <v>565.23972978031588</v>
      </c>
      <c r="AN74" s="62">
        <f ca="1">AVERAGE(OFFSET($AM$3,0,0,'Données projet'!$E$10+1,1))-AVERAGE(OFFSET($H$3,0,0,'Données projet'!$E$10+1,1))</f>
        <v>140.04898296125504</v>
      </c>
      <c r="AO74" s="62">
        <f t="shared" si="90"/>
        <v>129.5395511270716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9.9551282051282044</v>
      </c>
      <c r="BD74" s="13">
        <f>IF('Données projet'!$A$88&gt;35,BD73+BC74-BL73,IF(A74&lt;'Données projet'!$A$88,$BA$205^A74,IF(A74='Données projet'!$A$88,'Données projet'!$B$88,BD73+BC74-BL73)))</f>
        <v>320.65641025641014</v>
      </c>
      <c r="BE74" s="14">
        <f>BD74*VLOOKUP('Données projet'!$B$11,Paramètres!$A$1:$I$89,3,0)*VLOOKUP('Données projet'!$B$11,Paramètres!$A$1:$I$89,5,0)</f>
        <v>150.06719999999996</v>
      </c>
      <c r="BF74" s="14">
        <f t="shared" si="91"/>
        <v>38.593856663876636</v>
      </c>
      <c r="BG74" s="22">
        <f t="shared" si="61"/>
        <v>328.58467368958503</v>
      </c>
      <c r="BH74" s="62">
        <f t="shared" si="62"/>
        <v>621.91800702291835</v>
      </c>
      <c r="BI74" s="62">
        <f ca="1">AVERAGE(OFFSET($BH$3,0,0,'Données projet'!$E$11+1,1))-AVERAGE(OFFSET($H$3,0,0,'Données projet'!$E$11+1,1))</f>
        <v>207.84100251878419</v>
      </c>
      <c r="BJ74" s="62">
        <f t="shared" si="92"/>
        <v>124.34917784241952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2.2600000000000025</v>
      </c>
      <c r="BY74" s="13">
        <f>IF('Données projet'!$A$114&gt;35,BY73+BX74-CG73,IF(A74&lt;'Données projet'!$A$114,$BV$205^A74,IF(A74='Données projet'!$A$114,'Données projet'!$B$114,BY73+BX74-CG73)))</f>
        <v>269.15999999999985</v>
      </c>
      <c r="BZ74" s="14">
        <f>BY74*VLOOKUP('Données projet'!$B$12,Paramètres!$A$1:$I$89,3,0)*VLOOKUP('Données projet'!$B$12,Paramètres!$A$1:$I$89,5,0)</f>
        <v>139.96319999999994</v>
      </c>
      <c r="CA74" s="14">
        <f t="shared" si="93"/>
        <v>36.288575002787859</v>
      </c>
      <c r="CB74" s="22">
        <f t="shared" si="64"/>
        <v>306.9718414631887</v>
      </c>
      <c r="CC74" s="62">
        <f t="shared" si="65"/>
        <v>600.30517479652201</v>
      </c>
      <c r="CD74" s="62">
        <f ca="1">AVERAGE(OFFSET($CC$3,0,0,'Données projet'!$E$12+1,1))-AVERAGE(OFFSET($H$3,0,0,'Données projet'!$E$12+1,1))</f>
        <v>211.05980622218578</v>
      </c>
      <c r="CE74" s="62">
        <f t="shared" si="94"/>
        <v>168.57746894604855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1.5783333333333318</v>
      </c>
      <c r="CT74" s="13">
        <f>IF('Données projet'!$A$140&gt;35,CT73+CS74-DB73,IF(A74&lt;'Données projet'!$A$140,$CQ$205^A74,IF(A74='Données projet'!$A$140,'Données projet'!$B$140,CT73+CS74-DB73)))</f>
        <v>85.940833333333273</v>
      </c>
      <c r="CU74" s="18">
        <f>CT74*VLOOKUP('Données projet'!$B$13,Paramètres!$A$1:$I$89,3,0)*VLOOKUP('Données projet'!$B$13,Paramètres!$A$1:$I$89,5,0)</f>
        <v>99.003839999999926</v>
      </c>
      <c r="CV74" s="14">
        <f t="shared" si="95"/>
        <v>26.724538061641486</v>
      </c>
      <c r="CW74" s="22">
        <f t="shared" si="67"/>
        <v>218.97692512402543</v>
      </c>
      <c r="CX74" s="62">
        <f t="shared" si="68"/>
        <v>512.31025845735871</v>
      </c>
      <c r="CY74" s="62">
        <f ca="1">AVERAGE(OFFSET($CX$3,0,0,'Données projet'!$E$13+1,1))-AVERAGE(OFFSET($H$3,0,0,'Données projet'!$E$13+1,1))</f>
        <v>191.79777926975839</v>
      </c>
      <c r="CZ74" s="62">
        <f t="shared" si="96"/>
        <v>156.66161375678712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4.4729999999999999</v>
      </c>
      <c r="DO74" s="13">
        <f>IF('Données projet'!$A$166&gt;35,DO73+DN74-DW73,IF(A74&lt;'Données projet'!$A$166,$DL$205^A74,IF(A74='Données projet'!$A$166,'Données projet'!$B$166,DO73+DN74-DW73)))</f>
        <v>138.01299999999992</v>
      </c>
      <c r="DP74" s="18">
        <f>DO74*VLOOKUP('Données projet'!$B$14,Paramètres!$A$1:$I$89,3,0)*VLOOKUP('Données projet'!$B$14,Paramètres!$A$1:$I$89,5,0)</f>
        <v>150.71019599999991</v>
      </c>
      <c r="DQ74" s="14">
        <f t="shared" si="97"/>
        <v>38.739935815202593</v>
      </c>
      <c r="DR74" s="22">
        <f t="shared" si="70"/>
        <v>329.95897957814435</v>
      </c>
      <c r="DS74" s="62">
        <f t="shared" si="71"/>
        <v>623.29231291147767</v>
      </c>
      <c r="DT74" s="62">
        <f ca="1">AVERAGE(OFFSET($DS$3,0,0,'Données projet'!$E$14+1,1))-AVERAGE(OFFSET($H$3,0,0,'Données projet'!$E$14+1,1))</f>
        <v>541.0854688453461</v>
      </c>
      <c r="DU74" s="62">
        <f t="shared" si="98"/>
        <v>171.04847168584473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11.727272727272727</v>
      </c>
      <c r="EJ74" s="13">
        <f>IF('Données projet'!$A$192&gt;35,EJ73+EI74-ER73,IF(A74&lt;'Données projet'!$A$192,$EG$205^A74,IF(A74='Données projet'!$A$192,'Données projet'!$B$192,EJ73+EI74-ER73)))</f>
        <v>283.90909090909099</v>
      </c>
      <c r="EK74" s="18">
        <f>EJ74*VLOOKUP('Données projet'!$B$15,Paramètres!$A$1:$I$89,3,0)*VLOOKUP('Données projet'!$B$15,Paramètres!$A$1:$I$89,5,0)</f>
        <v>169.77763636363645</v>
      </c>
      <c r="EL74" s="14">
        <f t="shared" si="99"/>
        <v>43.040217734716748</v>
      </c>
      <c r="EM74" s="22">
        <f t="shared" si="73"/>
        <v>370.6577625546318</v>
      </c>
      <c r="EN74" s="62">
        <f t="shared" si="74"/>
        <v>663.99109588796512</v>
      </c>
      <c r="EO74" s="62">
        <f ca="1">AVERAGE(OFFSET($EN$3,0,0,'Données projet'!$E$15+1,1))-AVERAGE(OFFSET($H$3,0,0,'Données projet'!$E$15+1,1))</f>
        <v>244.01698421598974</v>
      </c>
      <c r="EP74" s="62">
        <f t="shared" si="100"/>
        <v>156.96653202915024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1.1540686472369315</v>
      </c>
      <c r="EX74" s="23">
        <f>EXP(-LN(2)/2)*EX73+(1-EXP(-LN(2)/2))/(LN(2)/2)*ER74*EU74*VLOOKUP('Données projet'!$B$15,Paramètres!$A$1:$I$89,3,0)*0.475*44/12</f>
        <v>6.7153731391683675E-6</v>
      </c>
      <c r="EY74" s="24">
        <f t="shared" si="75"/>
        <v>1.1540753626100706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1.8</v>
      </c>
      <c r="FE74" s="13">
        <f>IF('Données projet'!$A$218&gt;35,FE73+FD74-FM73,IF(A74&lt;'Données projet'!$A$218,$FB$205^A74,IF(A74='Données projet'!$A$218,'Données projet'!$B$218,FE73+FD74-FM73)))</f>
        <v>147.79999999999984</v>
      </c>
      <c r="FF74" s="18">
        <f>FE74*VLOOKUP('Données projet'!$B$16,Paramètres!$A$1:$I$89,3,0)*VLOOKUP('Données projet'!$B$16,Paramètres!$A$1:$I$89,5,0)</f>
        <v>129.11807999999988</v>
      </c>
      <c r="FG74" s="14">
        <f t="shared" si="101"/>
        <v>33.792492849789163</v>
      </c>
      <c r="FH74" s="22">
        <f t="shared" si="76"/>
        <v>283.73591438004922</v>
      </c>
      <c r="FI74" s="62">
        <f t="shared" si="77"/>
        <v>577.06924771338254</v>
      </c>
      <c r="FJ74" s="62">
        <f ca="1">AVERAGE(OFFSET($FI$3,0,0,'Données projet'!$E$16+1,1))-AVERAGE(OFFSET($H$3,0,0,'Données projet'!$E$16+1,1))</f>
        <v>175.08726167127026</v>
      </c>
      <c r="FK74" s="62">
        <f t="shared" si="102"/>
        <v>196.05343924817117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2.8</v>
      </c>
      <c r="FZ74" s="13">
        <f>IF('Données projet'!$A$244&gt;35,FZ73+FY74-GH73,IF(A74&lt;'Données projet'!$A$244,$FW$205^A74,IF(A74='Données projet'!$A$244,'Données projet'!$B$244,FZ73+FY74-GH73)))</f>
        <v>141.80000000000004</v>
      </c>
      <c r="GA74" s="18">
        <f>FZ74*VLOOKUP('Données projet'!$B$17,Paramètres!$A$1:$I$89,3,0)*VLOOKUP('Données projet'!$B$17,Paramètres!$A$1:$I$89,5,0)</f>
        <v>92.907360000000025</v>
      </c>
      <c r="GB74" s="14">
        <f t="shared" si="103"/>
        <v>25.265107505731063</v>
      </c>
      <c r="GC74" s="22">
        <f t="shared" si="79"/>
        <v>205.81704757248164</v>
      </c>
      <c r="GD74" s="62">
        <f t="shared" si="80"/>
        <v>499.15038090581493</v>
      </c>
      <c r="GE74" s="62">
        <f ca="1">AVERAGE(OFFSET($GD$3,0,0,'Données projet'!$E$17+1,1))-AVERAGE(OFFSET($H$3,0,0,'Données projet'!$E$17+1,1))</f>
        <v>142.93037460866543</v>
      </c>
      <c r="GF74" s="62">
        <f t="shared" si="104"/>
        <v>146.18554498808049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3.4</v>
      </c>
      <c r="GU74" s="13">
        <f>IF('Données projet'!$A$270&gt;35,GU73+GT74-HC73,IF(A74&lt;'Données projet'!$A$270,$GR$205^A74,IF(A74='Données projet'!$A$270,'Données projet'!$B$270,GU73+GT74-HC73)))</f>
        <v>125.39999999999995</v>
      </c>
      <c r="GV74" s="18">
        <f>GU74*VLOOKUP('Données projet'!$B$18,Paramètres!$A$1:$I$89,3,0)*VLOOKUP('Données projet'!$B$18,Paramètres!$A$1:$I$89,5,0)</f>
        <v>107.59319999999995</v>
      </c>
      <c r="GW74" s="14">
        <f t="shared" si="105"/>
        <v>28.763195667267496</v>
      </c>
      <c r="GX74" s="22">
        <f t="shared" si="82"/>
        <v>237.4873891204908</v>
      </c>
      <c r="GY74" s="62">
        <f t="shared" si="83"/>
        <v>530.82072245382415</v>
      </c>
      <c r="GZ74" s="62">
        <f ca="1">AVERAGE(OFFSET($GY$3,0,0,'Données projet'!$E$18+1,1))-AVERAGE(OFFSET($H$3,0,0,'Données projet'!$E$18+1,1))</f>
        <v>188.08607733149256</v>
      </c>
      <c r="HA74" s="62">
        <f t="shared" si="106"/>
        <v>119.95698016603842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21.527999999999981</v>
      </c>
      <c r="D75" s="12">
        <f t="shared" si="86"/>
        <v>6.9405537312613523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219.75725687289449</v>
      </c>
      <c r="H75" s="70">
        <f t="shared" si="56"/>
        <v>306.24939774861349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3.4</v>
      </c>
      <c r="N75" s="14">
        <f>IF('Données projet'!$A$36&gt;35,N74+M75-V74,IF(A75&lt;'Données projet'!$A$36,$K$205^A75,IF(A75='Données projet'!$A$36,'Données projet'!$B$36,N74+M75-V74)))</f>
        <v>128.79999999999995</v>
      </c>
      <c r="O75" s="14">
        <f>N75*VLOOKUP('Données projet'!$B$9,Paramètres!$A$1:$I$89,3,0)*VLOOKUP('Données projet'!$B$9,Paramètres!$A$1:$I$89,5,0)</f>
        <v>138.64031999999995</v>
      </c>
      <c r="P75" s="14">
        <f t="shared" si="87"/>
        <v>35.985345198165781</v>
      </c>
      <c r="Q75" s="22">
        <f t="shared" si="54"/>
        <v>304.13970022013865</v>
      </c>
      <c r="R75" s="62">
        <f t="shared" si="55"/>
        <v>597.47303355347196</v>
      </c>
      <c r="S75" s="62">
        <f ca="1">AVERAGE(OFFSET($R$3,0,0,'Données projet'!$E$9+1,1))-AVERAGE(OFFSET($H$3,0,0,'Données projet'!$E$9+1,1))</f>
        <v>236.98575892380046</v>
      </c>
      <c r="T75" s="62">
        <f t="shared" si="88"/>
        <v>145.77678223659774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5.3778846153846125</v>
      </c>
      <c r="AI75" s="14">
        <f>IF('Données projet'!$A$62&gt;35,AI74+AH75-AQ74,IF(A75&lt;'Données projet'!$A$62,$AF$205^A75,IF(A75='Données projet'!$A$62,'Données projet'!$B$62,AI74+AH75-AQ74)))</f>
        <v>216.6673076923077</v>
      </c>
      <c r="AJ75" s="14">
        <f>AI75*VLOOKUP('Données projet'!$B$10,Paramètres!$A$1:$I$89,3,0)*VLOOKUP('Données projet'!$B$10,Paramètres!$A$1:$I$89,5,0)</f>
        <v>126.75037500000002</v>
      </c>
      <c r="AK75" s="14">
        <f t="shared" si="89"/>
        <v>33.244363684506752</v>
      </c>
      <c r="AL75" s="22">
        <f t="shared" si="58"/>
        <v>278.65750320884928</v>
      </c>
      <c r="AM75" s="62">
        <f t="shared" si="59"/>
        <v>571.99083654218259</v>
      </c>
      <c r="AN75" s="62">
        <f ca="1">AVERAGE(OFFSET($AM$3,0,0,'Données projet'!$E$10+1,1))-AVERAGE(OFFSET($H$3,0,0,'Données projet'!$E$10+1,1))</f>
        <v>140.04898296125504</v>
      </c>
      <c r="AO75" s="62">
        <f t="shared" si="90"/>
        <v>129.5395511270716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9.9551282051282044</v>
      </c>
      <c r="BD75" s="13">
        <f>IF('Données projet'!$A$88&gt;35,BD74+BC75-BL74,IF(A75&lt;'Données projet'!$A$88,$BA$205^A75,IF(A75='Données projet'!$A$88,'Données projet'!$B$88,BD74+BC75-BL74)))</f>
        <v>330.61153846153832</v>
      </c>
      <c r="BE75" s="14">
        <f>BD75*VLOOKUP('Données projet'!$B$11,Paramètres!$A$1:$I$89,3,0)*VLOOKUP('Données projet'!$B$11,Paramètres!$A$1:$I$89,5,0)</f>
        <v>154.72619999999992</v>
      </c>
      <c r="BF75" s="14">
        <f t="shared" si="91"/>
        <v>39.650684697457002</v>
      </c>
      <c r="BG75" s="22">
        <f t="shared" si="61"/>
        <v>338.53974084807078</v>
      </c>
      <c r="BH75" s="62">
        <f t="shared" si="62"/>
        <v>631.87307418140404</v>
      </c>
      <c r="BI75" s="62">
        <f ca="1">AVERAGE(OFFSET($BH$3,0,0,'Données projet'!$E$11+1,1))-AVERAGE(OFFSET($H$3,0,0,'Données projet'!$E$11+1,1))</f>
        <v>207.84100251878419</v>
      </c>
      <c r="BJ75" s="62">
        <f t="shared" si="92"/>
        <v>124.34917784241952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2.2600000000000025</v>
      </c>
      <c r="BY75" s="13">
        <f>IF('Données projet'!$A$114&gt;35,BY74+BX75-CG74,IF(A75&lt;'Données projet'!$A$114,$BV$205^A75,IF(A75='Données projet'!$A$114,'Données projet'!$B$114,BY74+BX75-CG74)))</f>
        <v>271.41999999999985</v>
      </c>
      <c r="BZ75" s="14">
        <f>BY75*VLOOKUP('Données projet'!$B$12,Paramètres!$A$1:$I$89,3,0)*VLOOKUP('Données projet'!$B$12,Paramètres!$A$1:$I$89,5,0)</f>
        <v>141.13839999999993</v>
      </c>
      <c r="CA75" s="14">
        <f t="shared" si="93"/>
        <v>36.557673901602939</v>
      </c>
      <c r="CB75" s="22">
        <f t="shared" si="64"/>
        <v>309.48732871195836</v>
      </c>
      <c r="CC75" s="62">
        <f t="shared" si="65"/>
        <v>602.82066204529167</v>
      </c>
      <c r="CD75" s="62">
        <f ca="1">AVERAGE(OFFSET($CC$3,0,0,'Données projet'!$E$12+1,1))-AVERAGE(OFFSET($H$3,0,0,'Données projet'!$E$12+1,1))</f>
        <v>211.05980622218578</v>
      </c>
      <c r="CE75" s="62">
        <f t="shared" si="94"/>
        <v>168.57746894604855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1.5783333333333318</v>
      </c>
      <c r="CT75" s="13">
        <f>IF('Données projet'!$A$140&gt;35,CT74+CS75-DB74,IF(A75&lt;'Données projet'!$A$140,$CQ$205^A75,IF(A75='Données projet'!$A$140,'Données projet'!$B$140,CT74+CS75-DB74)))</f>
        <v>87.519166666666607</v>
      </c>
      <c r="CU75" s="18">
        <f>CT75*VLOOKUP('Données projet'!$B$13,Paramètres!$A$1:$I$89,3,0)*VLOOKUP('Données projet'!$B$13,Paramètres!$A$1:$I$89,5,0)</f>
        <v>100.82207999999993</v>
      </c>
      <c r="CV75" s="14">
        <f t="shared" si="95"/>
        <v>27.157753353396636</v>
      </c>
      <c r="CW75" s="22">
        <f t="shared" si="67"/>
        <v>222.89820975716569</v>
      </c>
      <c r="CX75" s="62">
        <f t="shared" si="68"/>
        <v>516.23154309049903</v>
      </c>
      <c r="CY75" s="62">
        <f ca="1">AVERAGE(OFFSET($CX$3,0,0,'Données projet'!$E$13+1,1))-AVERAGE(OFFSET($H$3,0,0,'Données projet'!$E$13+1,1))</f>
        <v>191.79777926975839</v>
      </c>
      <c r="CZ75" s="62">
        <f t="shared" si="96"/>
        <v>156.66161375678712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4.4729999999999999</v>
      </c>
      <c r="DO75" s="13">
        <f>IF('Données projet'!$A$166&gt;35,DO74+DN75-DW74,IF(A75&lt;'Données projet'!$A$166,$DL$205^A75,IF(A75='Données projet'!$A$166,'Données projet'!$B$166,DO74+DN75-DW74)))</f>
        <v>142.48599999999993</v>
      </c>
      <c r="DP75" s="18">
        <f>DO75*VLOOKUP('Données projet'!$B$14,Paramètres!$A$1:$I$89,3,0)*VLOOKUP('Données projet'!$B$14,Paramètres!$A$1:$I$89,5,0)</f>
        <v>155.59471199999993</v>
      </c>
      <c r="DQ75" s="14">
        <f t="shared" si="97"/>
        <v>39.847281638079778</v>
      </c>
      <c r="DR75" s="22">
        <f t="shared" si="70"/>
        <v>340.39480558632215</v>
      </c>
      <c r="DS75" s="62">
        <f t="shared" si="71"/>
        <v>633.72813891965552</v>
      </c>
      <c r="DT75" s="62">
        <f ca="1">AVERAGE(OFFSET($DS$3,0,0,'Données projet'!$E$14+1,1))-AVERAGE(OFFSET($H$3,0,0,'Données projet'!$E$14+1,1))</f>
        <v>541.0854688453461</v>
      </c>
      <c r="DU75" s="62">
        <f t="shared" si="98"/>
        <v>171.04847168584473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11.727272727272727</v>
      </c>
      <c r="EJ75" s="13">
        <f>IF('Données projet'!$A$192&gt;35,EJ74+EI75-ER74,IF(A75&lt;'Données projet'!$A$192,$EG$205^A75,IF(A75='Données projet'!$A$192,'Données projet'!$B$192,EJ74+EI75-ER74)))</f>
        <v>295.63636363636374</v>
      </c>
      <c r="EK75" s="18">
        <f>EJ75*VLOOKUP('Données projet'!$B$15,Paramètres!$A$1:$I$89,3,0)*VLOOKUP('Données projet'!$B$15,Paramètres!$A$1:$I$89,5,0)</f>
        <v>176.79054545454554</v>
      </c>
      <c r="EL75" s="14">
        <f t="shared" si="99"/>
        <v>44.607395716532473</v>
      </c>
      <c r="EM75" s="22">
        <f t="shared" si="73"/>
        <v>385.60141420629412</v>
      </c>
      <c r="EN75" s="62">
        <f t="shared" si="74"/>
        <v>678.93474753962744</v>
      </c>
      <c r="EO75" s="62">
        <f ca="1">AVERAGE(OFFSET($EN$3,0,0,'Données projet'!$E$15+1,1))-AVERAGE(OFFSET($H$3,0,0,'Données projet'!$E$15+1,1))</f>
        <v>244.01698421598974</v>
      </c>
      <c r="EP75" s="62">
        <f t="shared" si="100"/>
        <v>156.96653202915024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1.1225105793884051</v>
      </c>
      <c r="EX75" s="23">
        <f>EXP(-LN(2)/2)*EX74+(1-EXP(-LN(2)/2))/(LN(2)/2)*ER75*EU75*VLOOKUP('Données projet'!$B$15,Paramètres!$A$1:$I$89,3,0)*0.475*44/12</f>
        <v>4.7484858849039455E-6</v>
      </c>
      <c r="EY75" s="24">
        <f t="shared" si="75"/>
        <v>1.1225153278742901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1.8</v>
      </c>
      <c r="FE75" s="13">
        <f>IF('Données projet'!$A$218&gt;35,FE74+FD75-FM74,IF(A75&lt;'Données projet'!$A$218,$FB$205^A75,IF(A75='Données projet'!$A$218,'Données projet'!$B$218,FE74+FD75-FM74)))</f>
        <v>149.59999999999985</v>
      </c>
      <c r="FF75" s="18">
        <f>FE75*VLOOKUP('Données projet'!$B$16,Paramètres!$A$1:$I$89,3,0)*VLOOKUP('Données projet'!$B$16,Paramètres!$A$1:$I$89,5,0)</f>
        <v>130.69055999999989</v>
      </c>
      <c r="FG75" s="14">
        <f t="shared" si="101"/>
        <v>34.155878238422694</v>
      </c>
      <c r="FH75" s="22">
        <f t="shared" si="76"/>
        <v>287.107546598586</v>
      </c>
      <c r="FI75" s="62">
        <f t="shared" si="77"/>
        <v>580.44087993191931</v>
      </c>
      <c r="FJ75" s="62">
        <f ca="1">AVERAGE(OFFSET($FI$3,0,0,'Données projet'!$E$16+1,1))-AVERAGE(OFFSET($H$3,0,0,'Données projet'!$E$16+1,1))</f>
        <v>175.08726167127026</v>
      </c>
      <c r="FK75" s="62">
        <f t="shared" si="102"/>
        <v>196.05343924817117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2.8</v>
      </c>
      <c r="FZ75" s="13">
        <f>IF('Données projet'!$A$244&gt;35,FZ74+FY75-GH74,IF(A75&lt;'Données projet'!$A$244,$FW$205^A75,IF(A75='Données projet'!$A$244,'Données projet'!$B$244,FZ74+FY75-GH74)))</f>
        <v>144.60000000000005</v>
      </c>
      <c r="GA75" s="18">
        <f>FZ75*VLOOKUP('Données projet'!$B$17,Paramètres!$A$1:$I$89,3,0)*VLOOKUP('Données projet'!$B$17,Paramètres!$A$1:$I$89,5,0)</f>
        <v>94.741920000000036</v>
      </c>
      <c r="GB75" s="14">
        <f t="shared" si="103"/>
        <v>25.705421920396422</v>
      </c>
      <c r="GC75" s="22">
        <f t="shared" si="79"/>
        <v>209.77912051135715</v>
      </c>
      <c r="GD75" s="62">
        <f t="shared" si="80"/>
        <v>503.11245384469044</v>
      </c>
      <c r="GE75" s="62">
        <f ca="1">AVERAGE(OFFSET($GD$3,0,0,'Données projet'!$E$17+1,1))-AVERAGE(OFFSET($H$3,0,0,'Données projet'!$E$17+1,1))</f>
        <v>142.93037460866543</v>
      </c>
      <c r="GF75" s="62">
        <f t="shared" si="104"/>
        <v>146.18554498808049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3.4</v>
      </c>
      <c r="GU75" s="13">
        <f>IF('Données projet'!$A$270&gt;35,GU74+GT75-HC74,IF(A75&lt;'Données projet'!$A$270,$GR$205^A75,IF(A75='Données projet'!$A$270,'Données projet'!$B$270,GU74+GT75-HC74)))</f>
        <v>128.79999999999995</v>
      </c>
      <c r="GV75" s="18">
        <f>GU75*VLOOKUP('Données projet'!$B$18,Paramètres!$A$1:$I$89,3,0)*VLOOKUP('Données projet'!$B$18,Paramètres!$A$1:$I$89,5,0)</f>
        <v>110.51039999999996</v>
      </c>
      <c r="GW75" s="14">
        <f t="shared" si="105"/>
        <v>29.451206375056387</v>
      </c>
      <c r="GX75" s="22">
        <f t="shared" si="82"/>
        <v>243.7664644365565</v>
      </c>
      <c r="GY75" s="62">
        <f t="shared" si="83"/>
        <v>537.09979776988985</v>
      </c>
      <c r="GZ75" s="62">
        <f ca="1">AVERAGE(OFFSET($GY$3,0,0,'Données projet'!$E$18+1,1))-AVERAGE(OFFSET($H$3,0,0,'Données projet'!$E$18+1,1))</f>
        <v>188.08607733149256</v>
      </c>
      <c r="HA75" s="62">
        <f t="shared" si="106"/>
        <v>119.95698016603842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21.82699999999998</v>
      </c>
      <c r="D76" s="12">
        <f t="shared" si="86"/>
        <v>7.0256612516453849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222.7222973811221</v>
      </c>
      <c r="H76" s="70">
        <f t="shared" si="56"/>
        <v>306.91838501328237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3.4</v>
      </c>
      <c r="N76" s="14">
        <f>IF('Données projet'!$A$36&gt;35,N75+M76-V75,IF(A76&lt;'Données projet'!$A$36,$K$205^A76,IF(A76='Données projet'!$A$36,'Données projet'!$B$36,N75+M76-V75)))</f>
        <v>132.19999999999996</v>
      </c>
      <c r="O76" s="14">
        <f>N76*VLOOKUP('Données projet'!$B$9,Paramètres!$A$1:$I$89,3,0)*VLOOKUP('Données projet'!$B$9,Paramètres!$A$1:$I$89,5,0)</f>
        <v>142.30007999999995</v>
      </c>
      <c r="P76" s="14">
        <f t="shared" si="87"/>
        <v>36.823420753495235</v>
      </c>
      <c r="Q76" s="22">
        <f t="shared" si="54"/>
        <v>311.97343047900409</v>
      </c>
      <c r="R76" s="62">
        <f t="shared" si="55"/>
        <v>605.30676381233741</v>
      </c>
      <c r="S76" s="62">
        <f ca="1">AVERAGE(OFFSET($R$3,0,0,'Données projet'!$E$9+1,1))-AVERAGE(OFFSET($H$3,0,0,'Données projet'!$E$9+1,1))</f>
        <v>236.98575892380046</v>
      </c>
      <c r="T76" s="62">
        <f t="shared" si="88"/>
        <v>145.77678223659774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5.3778846153846125</v>
      </c>
      <c r="AI76" s="14">
        <f>IF('Données projet'!$A$62&gt;35,AI75+AH76-AQ75,IF(A76&lt;'Données projet'!$A$62,$AF$205^A76,IF(A76='Données projet'!$A$62,'Données projet'!$B$62,AI75+AH76-AQ75)))</f>
        <v>222.0451923076923</v>
      </c>
      <c r="AJ76" s="14">
        <f>AI76*VLOOKUP('Données projet'!$B$10,Paramètres!$A$1:$I$89,3,0)*VLOOKUP('Données projet'!$B$10,Paramètres!$A$1:$I$89,5,0)</f>
        <v>129.89643750000002</v>
      </c>
      <c r="AK76" s="14">
        <f t="shared" si="89"/>
        <v>33.972427969435074</v>
      </c>
      <c r="AL76" s="22">
        <f t="shared" si="58"/>
        <v>285.40494069259944</v>
      </c>
      <c r="AM76" s="62">
        <f t="shared" si="59"/>
        <v>578.7382740259327</v>
      </c>
      <c r="AN76" s="62">
        <f ca="1">AVERAGE(OFFSET($AM$3,0,0,'Données projet'!$E$10+1,1))-AVERAGE(OFFSET($H$3,0,0,'Données projet'!$E$10+1,1))</f>
        <v>140.04898296125504</v>
      </c>
      <c r="AO76" s="62">
        <f t="shared" si="90"/>
        <v>129.5395511270716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9.9551282051282044</v>
      </c>
      <c r="BD76" s="13">
        <f>IF('Données projet'!$A$88&gt;35,BD75+BC76-BL75,IF(A76&lt;'Données projet'!$A$88,$BA$205^A76,IF(A76='Données projet'!$A$88,'Données projet'!$B$88,BD75+BC76-BL75)))</f>
        <v>340.56666666666649</v>
      </c>
      <c r="BE76" s="14">
        <f>BD76*VLOOKUP('Données projet'!$B$11,Paramètres!$A$1:$I$89,3,0)*VLOOKUP('Données projet'!$B$11,Paramètres!$A$1:$I$89,5,0)</f>
        <v>159.38519999999991</v>
      </c>
      <c r="BF76" s="14">
        <f t="shared" si="91"/>
        <v>40.703814494924693</v>
      </c>
      <c r="BG76" s="22">
        <f t="shared" si="61"/>
        <v>348.48836691199364</v>
      </c>
      <c r="BH76" s="62">
        <f t="shared" si="62"/>
        <v>641.82170024532695</v>
      </c>
      <c r="BI76" s="62">
        <f ca="1">AVERAGE(OFFSET($BH$3,0,0,'Données projet'!$E$11+1,1))-AVERAGE(OFFSET($H$3,0,0,'Données projet'!$E$11+1,1))</f>
        <v>207.84100251878419</v>
      </c>
      <c r="BJ76" s="62">
        <f t="shared" si="92"/>
        <v>124.34917784241952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2.2600000000000025</v>
      </c>
      <c r="BY76" s="13">
        <f>IF('Données projet'!$A$114&gt;35,BY75+BX76-CG75,IF(A76&lt;'Données projet'!$A$114,$BV$205^A76,IF(A76='Données projet'!$A$114,'Données projet'!$B$114,BY75+BX76-CG75)))</f>
        <v>273.67999999999984</v>
      </c>
      <c r="BZ76" s="14">
        <f>BY76*VLOOKUP('Données projet'!$B$12,Paramètres!$A$1:$I$89,3,0)*VLOOKUP('Données projet'!$B$12,Paramètres!$A$1:$I$89,5,0)</f>
        <v>142.31359999999992</v>
      </c>
      <c r="CA76" s="14">
        <f t="shared" si="93"/>
        <v>36.826512109226599</v>
      </c>
      <c r="CB76" s="22">
        <f t="shared" si="64"/>
        <v>312.00236192356948</v>
      </c>
      <c r="CC76" s="62">
        <f t="shared" si="65"/>
        <v>605.3356952569028</v>
      </c>
      <c r="CD76" s="62">
        <f ca="1">AVERAGE(OFFSET($CC$3,0,0,'Données projet'!$E$12+1,1))-AVERAGE(OFFSET($H$3,0,0,'Données projet'!$E$12+1,1))</f>
        <v>211.05980622218578</v>
      </c>
      <c r="CE76" s="62">
        <f t="shared" si="94"/>
        <v>168.57746894604855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1.5783333333333318</v>
      </c>
      <c r="CT76" s="13">
        <f>IF('Données projet'!$A$140&gt;35,CT75+CS76-DB75,IF(A76&lt;'Données projet'!$A$140,$CQ$205^A76,IF(A76='Données projet'!$A$140,'Données projet'!$B$140,CT75+CS76-DB75)))</f>
        <v>89.09749999999994</v>
      </c>
      <c r="CU76" s="18">
        <f>CT76*VLOOKUP('Données projet'!$B$13,Paramètres!$A$1:$I$89,3,0)*VLOOKUP('Données projet'!$B$13,Paramètres!$A$1:$I$89,5,0)</f>
        <v>102.64031999999992</v>
      </c>
      <c r="CV76" s="14">
        <f t="shared" si="95"/>
        <v>27.590060152433722</v>
      </c>
      <c r="CW76" s="22">
        <f t="shared" si="67"/>
        <v>226.81791209882192</v>
      </c>
      <c r="CX76" s="62">
        <f t="shared" si="68"/>
        <v>520.15124543215529</v>
      </c>
      <c r="CY76" s="62">
        <f ca="1">AVERAGE(OFFSET($CX$3,0,0,'Données projet'!$E$13+1,1))-AVERAGE(OFFSET($H$3,0,0,'Données projet'!$E$13+1,1))</f>
        <v>191.79777926975839</v>
      </c>
      <c r="CZ76" s="62">
        <f t="shared" si="96"/>
        <v>156.66161375678712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4.4729999999999999</v>
      </c>
      <c r="DO76" s="13">
        <f>IF('Données projet'!$A$166&gt;35,DO75+DN76-DW75,IF(A76&lt;'Données projet'!$A$166,$DL$205^A76,IF(A76='Données projet'!$A$166,'Données projet'!$B$166,DO75+DN76-DW75)))</f>
        <v>146.95899999999995</v>
      </c>
      <c r="DP76" s="18">
        <f>DO76*VLOOKUP('Données projet'!$B$14,Paramètres!$A$1:$I$89,3,0)*VLOOKUP('Données projet'!$B$14,Paramètres!$A$1:$I$89,5,0)</f>
        <v>160.47922799999995</v>
      </c>
      <c r="DQ76" s="14">
        <f t="shared" si="97"/>
        <v>40.950587798377384</v>
      </c>
      <c r="DR76" s="22">
        <f t="shared" si="70"/>
        <v>350.82359584884051</v>
      </c>
      <c r="DS76" s="62">
        <f t="shared" si="71"/>
        <v>644.15692918217383</v>
      </c>
      <c r="DT76" s="62">
        <f ca="1">AVERAGE(OFFSET($DS$3,0,0,'Données projet'!$E$14+1,1))-AVERAGE(OFFSET($H$3,0,0,'Données projet'!$E$14+1,1))</f>
        <v>541.0854688453461</v>
      </c>
      <c r="DU76" s="62">
        <f t="shared" si="98"/>
        <v>171.04847168584473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11.727272727272727</v>
      </c>
      <c r="EJ76" s="13">
        <f>IF('Données projet'!$A$192&gt;35,EJ75+EI76-ER75,IF(A76&lt;'Données projet'!$A$192,$EG$205^A76,IF(A76='Données projet'!$A$192,'Données projet'!$B$192,EJ75+EI76-ER75)))</f>
        <v>307.36363636363649</v>
      </c>
      <c r="EK76" s="18">
        <f>EJ76*VLOOKUP('Données projet'!$B$15,Paramètres!$A$1:$I$89,3,0)*VLOOKUP('Données projet'!$B$15,Paramètres!$A$1:$I$89,5,0)</f>
        <v>183.80345454545466</v>
      </c>
      <c r="EL76" s="14">
        <f t="shared" si="99"/>
        <v>46.16735217985719</v>
      </c>
      <c r="EM76" s="22">
        <f t="shared" si="73"/>
        <v>400.53248837991811</v>
      </c>
      <c r="EN76" s="62">
        <f t="shared" si="74"/>
        <v>693.86582171325142</v>
      </c>
      <c r="EO76" s="62">
        <f ca="1">AVERAGE(OFFSET($EN$3,0,0,'Données projet'!$E$15+1,1))-AVERAGE(OFFSET($H$3,0,0,'Données projet'!$E$15+1,1))</f>
        <v>244.01698421598974</v>
      </c>
      <c r="EP76" s="62">
        <f t="shared" si="100"/>
        <v>156.96653202915024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1.0918154685647634</v>
      </c>
      <c r="EX76" s="23">
        <f>EXP(-LN(2)/2)*EX75+(1-EXP(-LN(2)/2))/(LN(2)/2)*ER76*EU76*VLOOKUP('Données projet'!$B$15,Paramètres!$A$1:$I$89,3,0)*0.475*44/12</f>
        <v>3.3576865695841837E-6</v>
      </c>
      <c r="EY76" s="24">
        <f t="shared" si="75"/>
        <v>1.0918188262513331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1.8</v>
      </c>
      <c r="FE76" s="13">
        <f>IF('Données projet'!$A$218&gt;35,FE75+FD76-FM75,IF(A76&lt;'Données projet'!$A$218,$FB$205^A76,IF(A76='Données projet'!$A$218,'Données projet'!$B$218,FE75+FD76-FM75)))</f>
        <v>151.39999999999986</v>
      </c>
      <c r="FF76" s="18">
        <f>FE76*VLOOKUP('Données projet'!$B$16,Paramètres!$A$1:$I$89,3,0)*VLOOKUP('Données projet'!$B$16,Paramètres!$A$1:$I$89,5,0)</f>
        <v>132.2630399999999</v>
      </c>
      <c r="FG76" s="14">
        <f t="shared" si="101"/>
        <v>34.518755036434797</v>
      </c>
      <c r="FH76" s="22">
        <f t="shared" si="76"/>
        <v>290.47829302179042</v>
      </c>
      <c r="FI76" s="62">
        <f t="shared" si="77"/>
        <v>583.81162635512374</v>
      </c>
      <c r="FJ76" s="62">
        <f ca="1">AVERAGE(OFFSET($FI$3,0,0,'Données projet'!$E$16+1,1))-AVERAGE(OFFSET($H$3,0,0,'Données projet'!$E$16+1,1))</f>
        <v>175.08726167127026</v>
      </c>
      <c r="FK76" s="62">
        <f t="shared" si="102"/>
        <v>196.05343924817117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2.8</v>
      </c>
      <c r="FZ76" s="13">
        <f>IF('Données projet'!$A$244&gt;35,FZ75+FY76-GH75,IF(A76&lt;'Données projet'!$A$244,$FW$205^A76,IF(A76='Données projet'!$A$244,'Données projet'!$B$244,FZ75+FY76-GH75)))</f>
        <v>147.40000000000006</v>
      </c>
      <c r="GA76" s="18">
        <f>FZ76*VLOOKUP('Données projet'!$B$17,Paramètres!$A$1:$I$89,3,0)*VLOOKUP('Données projet'!$B$17,Paramètres!$A$1:$I$89,5,0)</f>
        <v>96.576480000000032</v>
      </c>
      <c r="GB76" s="14">
        <f t="shared" si="103"/>
        <v>26.144744944071853</v>
      </c>
      <c r="GC76" s="22">
        <f t="shared" si="79"/>
        <v>213.73946677759184</v>
      </c>
      <c r="GD76" s="62">
        <f t="shared" si="80"/>
        <v>507.07280011092519</v>
      </c>
      <c r="GE76" s="62">
        <f ca="1">AVERAGE(OFFSET($GD$3,0,0,'Données projet'!$E$17+1,1))-AVERAGE(OFFSET($H$3,0,0,'Données projet'!$E$17+1,1))</f>
        <v>142.93037460866543</v>
      </c>
      <c r="GF76" s="62">
        <f t="shared" si="104"/>
        <v>146.18554498808049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3.4</v>
      </c>
      <c r="GU76" s="13">
        <f>IF('Données projet'!$A$270&gt;35,GU75+GT76-HC75,IF(A76&lt;'Données projet'!$A$270,$GR$205^A76,IF(A76='Données projet'!$A$270,'Données projet'!$B$270,GU75+GT76-HC75)))</f>
        <v>132.19999999999996</v>
      </c>
      <c r="GV76" s="18">
        <f>GU76*VLOOKUP('Données projet'!$B$18,Paramètres!$A$1:$I$89,3,0)*VLOOKUP('Données projet'!$B$18,Paramètres!$A$1:$I$89,5,0)</f>
        <v>113.42759999999997</v>
      </c>
      <c r="GW76" s="14">
        <f t="shared" si="105"/>
        <v>30.137106037876791</v>
      </c>
      <c r="GX76" s="22">
        <f t="shared" si="82"/>
        <v>250.04186301596869</v>
      </c>
      <c r="GY76" s="62">
        <f t="shared" si="83"/>
        <v>543.37519634930197</v>
      </c>
      <c r="GZ76" s="62">
        <f ca="1">AVERAGE(OFFSET($GY$3,0,0,'Données projet'!$E$18+1,1))-AVERAGE(OFFSET($H$3,0,0,'Données projet'!$E$18+1,1))</f>
        <v>188.08607733149256</v>
      </c>
      <c r="HA76" s="62">
        <f t="shared" si="106"/>
        <v>119.95698016603842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22.12599999999998</v>
      </c>
      <c r="D77" s="12">
        <f t="shared" si="86"/>
        <v>7.1106331699901899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225.68629113676624</v>
      </c>
      <c r="H77" s="70">
        <f t="shared" si="56"/>
        <v>307.58713610439958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3.4</v>
      </c>
      <c r="N77" s="14">
        <f>IF('Données projet'!$A$36&gt;35,N76+M77-V76,IF(A77&lt;'Données projet'!$A$36,$K$205^A77,IF(A77='Données projet'!$A$36,'Données projet'!$B$36,N76+M77-V76)))</f>
        <v>135.59999999999997</v>
      </c>
      <c r="O77" s="14">
        <f>N77*VLOOKUP('Données projet'!$B$9,Paramètres!$A$1:$I$89,3,0)*VLOOKUP('Données projet'!$B$9,Paramètres!$A$1:$I$89,5,0)</f>
        <v>145.95983999999996</v>
      </c>
      <c r="P77" s="14">
        <f t="shared" si="87"/>
        <v>37.658990867047969</v>
      </c>
      <c r="Q77" s="22">
        <f t="shared" si="54"/>
        <v>319.80279709344177</v>
      </c>
      <c r="R77" s="62">
        <f t="shared" si="55"/>
        <v>613.13613042677503</v>
      </c>
      <c r="S77" s="62">
        <f ca="1">AVERAGE(OFFSET($R$3,0,0,'Données projet'!$E$9+1,1))-AVERAGE(OFFSET($H$3,0,0,'Données projet'!$E$9+1,1))</f>
        <v>236.98575892380046</v>
      </c>
      <c r="T77" s="62">
        <f t="shared" si="88"/>
        <v>145.77678223659774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>
        <f>VLOOKUP(A77,'Données projet'!$A$61:$I$81,2,0)</f>
        <v>227.42307692307691</v>
      </c>
      <c r="AG77" s="13">
        <f>VLOOKUP(A77,'Données projet'!$A$61:$I$81,9,0)</f>
        <v>5.3778846153846125</v>
      </c>
      <c r="AH77" s="13">
        <f t="array" ref="AH77">INDEX(AG:AG,MIN(IF(ISNUMBER(AG77:AG273),ROW(AG77:AG273),"")))</f>
        <v>5.3778846153846125</v>
      </c>
      <c r="AI77" s="14">
        <f>IF('Données projet'!$A$62&gt;35,AI76+AH77-AQ76,IF(A77&lt;'Données projet'!$A$62,$AF$205^A77,IF(A77='Données projet'!$A$62,'Données projet'!$B$62,AI76+AH77-AQ76)))</f>
        <v>227.42307692307691</v>
      </c>
      <c r="AJ77" s="14">
        <f>AI77*VLOOKUP('Données projet'!$B$10,Paramètres!$A$1:$I$89,3,0)*VLOOKUP('Données projet'!$B$10,Paramètres!$A$1:$I$89,5,0)</f>
        <v>133.04249999999999</v>
      </c>
      <c r="AK77" s="14">
        <f t="shared" si="89"/>
        <v>34.698442387497821</v>
      </c>
      <c r="AL77" s="22">
        <f t="shared" si="58"/>
        <v>292.14880799155861</v>
      </c>
      <c r="AM77" s="62">
        <f t="shared" si="59"/>
        <v>585.48214132489193</v>
      </c>
      <c r="AN77" s="62">
        <f ca="1">AVERAGE(OFFSET($AM$3,0,0,'Données projet'!$E$10+1,1))-AVERAGE(OFFSET($H$3,0,0,'Données projet'!$E$10+1,1))</f>
        <v>140.04898296125504</v>
      </c>
      <c r="AO77" s="62">
        <f t="shared" si="90"/>
        <v>129.5395511270716</v>
      </c>
      <c r="AP77" s="16">
        <f>IF(ISNA(VLOOKUP(A77,'Données projet'!$A$61:$I$81,3,0)),0,VLOOKUP(A77,'Données projet'!$A$61:$I$81,3,0))</f>
        <v>3</v>
      </c>
      <c r="AQ77" s="16">
        <f>IF(ISNA(VLOOKUP(A77,'Données projet'!$A$61:$I$81,4,0)),0,VLOOKUP(A77,'Données projet'!$A$61:$I$81,4,0))</f>
        <v>114.9153846153846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9.9551282051282044</v>
      </c>
      <c r="BD77" s="13">
        <f>IF('Données projet'!$A$88&gt;35,BD76+BC77-BL76,IF(A77&lt;'Données projet'!$A$88,$BA$205^A77,IF(A77='Données projet'!$A$88,'Données projet'!$B$88,BD76+BC77-BL76)))</f>
        <v>350.52179487179467</v>
      </c>
      <c r="BE77" s="14">
        <f>BD77*VLOOKUP('Données projet'!$B$11,Paramètres!$A$1:$I$89,3,0)*VLOOKUP('Données projet'!$B$11,Paramètres!$A$1:$I$89,5,0)</f>
        <v>164.0441999999999</v>
      </c>
      <c r="BF77" s="14">
        <f t="shared" si="91"/>
        <v>41.753366572621168</v>
      </c>
      <c r="BG77" s="22">
        <f t="shared" si="61"/>
        <v>358.43076178064831</v>
      </c>
      <c r="BH77" s="62">
        <f t="shared" si="62"/>
        <v>651.76409511398163</v>
      </c>
      <c r="BI77" s="62">
        <f ca="1">AVERAGE(OFFSET($BH$3,0,0,'Données projet'!$E$11+1,1))-AVERAGE(OFFSET($H$3,0,0,'Données projet'!$E$11+1,1))</f>
        <v>207.84100251878419</v>
      </c>
      <c r="BJ77" s="62">
        <f t="shared" si="92"/>
        <v>124.34917784241952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2.2600000000000025</v>
      </c>
      <c r="BY77" s="13">
        <f>IF('Données projet'!$A$114&gt;35,BY76+BX77-CG76,IF(A77&lt;'Données projet'!$A$114,$BV$205^A77,IF(A77='Données projet'!$A$114,'Données projet'!$B$114,BY76+BX77-CG76)))</f>
        <v>275.93999999999983</v>
      </c>
      <c r="BZ77" s="14">
        <f>BY77*VLOOKUP('Données projet'!$B$12,Paramètres!$A$1:$I$89,3,0)*VLOOKUP('Données projet'!$B$12,Paramètres!$A$1:$I$89,5,0)</f>
        <v>143.48879999999991</v>
      </c>
      <c r="CA77" s="14">
        <f t="shared" si="93"/>
        <v>37.095092027878849</v>
      </c>
      <c r="CB77" s="22">
        <f t="shared" si="64"/>
        <v>314.51694528188881</v>
      </c>
      <c r="CC77" s="62">
        <f t="shared" si="65"/>
        <v>607.85027861522212</v>
      </c>
      <c r="CD77" s="62">
        <f ca="1">AVERAGE(OFFSET($CC$3,0,0,'Données projet'!$E$12+1,1))-AVERAGE(OFFSET($H$3,0,0,'Données projet'!$E$12+1,1))</f>
        <v>211.05980622218578</v>
      </c>
      <c r="CE77" s="62">
        <f t="shared" si="94"/>
        <v>168.57746894604855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1.5783333333333318</v>
      </c>
      <c r="CT77" s="13">
        <f>IF('Données projet'!$A$140&gt;35,CT76+CS77-DB76,IF(A77&lt;'Données projet'!$A$140,$CQ$205^A77,IF(A77='Données projet'!$A$140,'Données projet'!$B$140,CT76+CS77-DB76)))</f>
        <v>90.675833333333273</v>
      </c>
      <c r="CU77" s="18">
        <f>CT77*VLOOKUP('Données projet'!$B$13,Paramètres!$A$1:$I$89,3,0)*VLOOKUP('Données projet'!$B$13,Paramètres!$A$1:$I$89,5,0)</f>
        <v>104.45855999999993</v>
      </c>
      <c r="CV77" s="14">
        <f t="shared" si="95"/>
        <v>28.021476409089832</v>
      </c>
      <c r="CW77" s="22">
        <f t="shared" si="67"/>
        <v>230.736063412498</v>
      </c>
      <c r="CX77" s="62">
        <f t="shared" si="68"/>
        <v>524.06939674583134</v>
      </c>
      <c r="CY77" s="62">
        <f ca="1">AVERAGE(OFFSET($CX$3,0,0,'Données projet'!$E$13+1,1))-AVERAGE(OFFSET($H$3,0,0,'Données projet'!$E$13+1,1))</f>
        <v>191.79777926975839</v>
      </c>
      <c r="CZ77" s="62">
        <f t="shared" si="96"/>
        <v>156.66161375678712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4.4729999999999999</v>
      </c>
      <c r="DO77" s="13">
        <f>IF('Données projet'!$A$166&gt;35,DO76+DN77-DW76,IF(A77&lt;'Données projet'!$A$166,$DL$205^A77,IF(A77='Données projet'!$A$166,'Données projet'!$B$166,DO76+DN77-DW76)))</f>
        <v>151.43199999999996</v>
      </c>
      <c r="DP77" s="18">
        <f>DO77*VLOOKUP('Données projet'!$B$14,Paramètres!$A$1:$I$89,3,0)*VLOOKUP('Données projet'!$B$14,Paramètres!$A$1:$I$89,5,0)</f>
        <v>165.36374399999994</v>
      </c>
      <c r="DQ77" s="14">
        <f t="shared" si="97"/>
        <v>42.049991363617778</v>
      </c>
      <c r="DR77" s="22">
        <f t="shared" si="70"/>
        <v>361.2455890916342</v>
      </c>
      <c r="DS77" s="62">
        <f t="shared" si="71"/>
        <v>654.57892242496746</v>
      </c>
      <c r="DT77" s="62">
        <f ca="1">AVERAGE(OFFSET($DS$3,0,0,'Données projet'!$E$14+1,1))-AVERAGE(OFFSET($H$3,0,0,'Données projet'!$E$14+1,1))</f>
        <v>541.0854688453461</v>
      </c>
      <c r="DU77" s="62">
        <f t="shared" si="98"/>
        <v>171.04847168584473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11.727272727272727</v>
      </c>
      <c r="EJ77" s="13">
        <f>IF('Données projet'!$A$192&gt;35,EJ76+EI77-ER76,IF(A77&lt;'Données projet'!$A$192,$EG$205^A77,IF(A77='Données projet'!$A$192,'Données projet'!$B$192,EJ76+EI77-ER76)))</f>
        <v>319.09090909090924</v>
      </c>
      <c r="EK77" s="18">
        <f>EJ77*VLOOKUP('Données projet'!$B$15,Paramètres!$A$1:$I$89,3,0)*VLOOKUP('Données projet'!$B$15,Paramètres!$A$1:$I$89,5,0)</f>
        <v>190.81636363636375</v>
      </c>
      <c r="EL77" s="14">
        <f t="shared" si="99"/>
        <v>47.720394198976912</v>
      </c>
      <c r="EM77" s="22">
        <f t="shared" si="73"/>
        <v>415.45151989655164</v>
      </c>
      <c r="EN77" s="62">
        <f t="shared" si="74"/>
        <v>708.7848532298849</v>
      </c>
      <c r="EO77" s="62">
        <f ca="1">AVERAGE(OFFSET($EN$3,0,0,'Données projet'!$E$15+1,1))-AVERAGE(OFFSET($H$3,0,0,'Données projet'!$E$15+1,1))</f>
        <v>244.01698421598974</v>
      </c>
      <c r="EP77" s="62">
        <f t="shared" si="100"/>
        <v>156.96653202915024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1.0619597171607797</v>
      </c>
      <c r="EX77" s="23">
        <f>EXP(-LN(2)/2)*EX76+(1-EXP(-LN(2)/2))/(LN(2)/2)*ER77*EU77*VLOOKUP('Données projet'!$B$15,Paramètres!$A$1:$I$89,3,0)*0.475*44/12</f>
        <v>2.3742429424519727E-6</v>
      </c>
      <c r="EY77" s="24">
        <f t="shared" si="75"/>
        <v>1.0619620914037222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1.8</v>
      </c>
      <c r="FE77" s="13">
        <f>IF('Données projet'!$A$218&gt;35,FE76+FD77-FM76,IF(A77&lt;'Données projet'!$A$218,$FB$205^A77,IF(A77='Données projet'!$A$218,'Données projet'!$B$218,FE76+FD77-FM76)))</f>
        <v>153.19999999999987</v>
      </c>
      <c r="FF77" s="18">
        <f>FE77*VLOOKUP('Données projet'!$B$16,Paramètres!$A$1:$I$89,3,0)*VLOOKUP('Données projet'!$B$16,Paramètres!$A$1:$I$89,5,0)</f>
        <v>133.83551999999992</v>
      </c>
      <c r="FG77" s="14">
        <f t="shared" si="101"/>
        <v>34.881129989958531</v>
      </c>
      <c r="FH77" s="22">
        <f t="shared" si="76"/>
        <v>293.84816539917762</v>
      </c>
      <c r="FI77" s="62">
        <f t="shared" si="77"/>
        <v>587.18149873251093</v>
      </c>
      <c r="FJ77" s="62">
        <f ca="1">AVERAGE(OFFSET($FI$3,0,0,'Données projet'!$E$16+1,1))-AVERAGE(OFFSET($H$3,0,0,'Données projet'!$E$16+1,1))</f>
        <v>175.08726167127026</v>
      </c>
      <c r="FK77" s="62">
        <f t="shared" si="102"/>
        <v>196.05343924817117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2.8</v>
      </c>
      <c r="FZ77" s="13">
        <f>IF('Données projet'!$A$244&gt;35,FZ76+FY77-GH76,IF(A77&lt;'Données projet'!$A$244,$FW$205^A77,IF(A77='Données projet'!$A$244,'Données projet'!$B$244,FZ76+FY77-GH76)))</f>
        <v>150.20000000000007</v>
      </c>
      <c r="GA77" s="18">
        <f>FZ77*VLOOKUP('Données projet'!$B$17,Paramètres!$A$1:$I$89,3,0)*VLOOKUP('Données projet'!$B$17,Paramètres!$A$1:$I$89,5,0)</f>
        <v>98.411040000000057</v>
      </c>
      <c r="GB77" s="14">
        <f t="shared" si="103"/>
        <v>26.58309758056274</v>
      </c>
      <c r="GC77" s="22">
        <f t="shared" si="79"/>
        <v>217.69812295281352</v>
      </c>
      <c r="GD77" s="62">
        <f t="shared" si="80"/>
        <v>511.03145628614686</v>
      </c>
      <c r="GE77" s="62">
        <f ca="1">AVERAGE(OFFSET($GD$3,0,0,'Données projet'!$E$17+1,1))-AVERAGE(OFFSET($H$3,0,0,'Données projet'!$E$17+1,1))</f>
        <v>142.93037460866543</v>
      </c>
      <c r="GF77" s="62">
        <f t="shared" si="104"/>
        <v>146.18554498808049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3.4</v>
      </c>
      <c r="GU77" s="13">
        <f>IF('Données projet'!$A$270&gt;35,GU76+GT77-HC76,IF(A77&lt;'Données projet'!$A$270,$GR$205^A77,IF(A77='Données projet'!$A$270,'Données projet'!$B$270,GU76+GT77-HC76)))</f>
        <v>135.59999999999997</v>
      </c>
      <c r="GV77" s="18">
        <f>GU77*VLOOKUP('Données projet'!$B$18,Paramètres!$A$1:$I$89,3,0)*VLOOKUP('Données projet'!$B$18,Paramètres!$A$1:$I$89,5,0)</f>
        <v>116.34479999999998</v>
      </c>
      <c r="GW77" s="14">
        <f t="shared" si="105"/>
        <v>30.820955191457379</v>
      </c>
      <c r="GX77" s="22">
        <f t="shared" si="82"/>
        <v>256.31369029178819</v>
      </c>
      <c r="GY77" s="62">
        <f t="shared" si="83"/>
        <v>549.64702362512151</v>
      </c>
      <c r="GZ77" s="62">
        <f ca="1">AVERAGE(OFFSET($GY$3,0,0,'Données projet'!$E$18+1,1))-AVERAGE(OFFSET($H$3,0,0,'Données projet'!$E$18+1,1))</f>
        <v>188.08607733149256</v>
      </c>
      <c r="HA77" s="62">
        <f t="shared" si="106"/>
        <v>119.95698016603842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22.424999999999979</v>
      </c>
      <c r="D78" s="12">
        <f t="shared" si="86"/>
        <v>7.1954715305711758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228.64925392019839</v>
      </c>
      <c r="H78" s="70">
        <f t="shared" si="56"/>
        <v>308.25565458241147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139</v>
      </c>
      <c r="L78" s="13">
        <f>VLOOKUP(A78,'Données projet'!$A$35:$I$55,9,0)</f>
        <v>3.4</v>
      </c>
      <c r="M78" s="13">
        <f t="array" ref="M78">INDEX(L:L,MIN(IF(ISNUMBER(L78:L274),ROW(L78:L274),"")))</f>
        <v>3.4</v>
      </c>
      <c r="N78" s="14">
        <f>IF('Données projet'!$A$36&gt;35,N77+M78-V77,IF(A78&lt;'Données projet'!$A$36,$K$205^A78,IF(A78='Données projet'!$A$36,'Données projet'!$B$36,N77+M78-V77)))</f>
        <v>138.99999999999997</v>
      </c>
      <c r="O78" s="14">
        <f>N78*VLOOKUP('Données projet'!$B$9,Paramètres!$A$1:$I$89,3,0)*VLOOKUP('Données projet'!$B$9,Paramètres!$A$1:$I$89,5,0)</f>
        <v>149.61959999999996</v>
      </c>
      <c r="P78" s="14">
        <f t="shared" si="87"/>
        <v>38.492125584581245</v>
      </c>
      <c r="Q78" s="22">
        <f t="shared" si="54"/>
        <v>327.62792205981231</v>
      </c>
      <c r="R78" s="62">
        <f t="shared" si="55"/>
        <v>620.96125539314562</v>
      </c>
      <c r="S78" s="62">
        <f ca="1">AVERAGE(OFFSET($R$3,0,0,'Données projet'!$E$9+1,1))-AVERAGE(OFFSET($H$3,0,0,'Données projet'!$E$9+1,1))</f>
        <v>236.98575892380046</v>
      </c>
      <c r="T78" s="62">
        <f t="shared" si="88"/>
        <v>145.77678223659774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3.5471153846153847</v>
      </c>
      <c r="AI78" s="14">
        <f>IF('Données projet'!$A$62&gt;35,AI77+AH78-AQ77,IF(A78&lt;'Données projet'!$A$62,$AF$205^A78,IF(A78='Données projet'!$A$62,'Données projet'!$B$62,AI77+AH78-AQ77)))</f>
        <v>116.05480769230769</v>
      </c>
      <c r="AJ78" s="14">
        <f>AI78*VLOOKUP('Données projet'!$B$10,Paramètres!$A$1:$I$89,3,0)*VLOOKUP('Données projet'!$B$10,Paramètres!$A$1:$I$89,5,0)</f>
        <v>67.892062500000009</v>
      </c>
      <c r="AK78" s="14">
        <f t="shared" si="89"/>
        <v>19.149054506777464</v>
      </c>
      <c r="AL78" s="22">
        <f t="shared" si="58"/>
        <v>151.59661212013742</v>
      </c>
      <c r="AM78" s="62">
        <f t="shared" si="59"/>
        <v>444.92994545347074</v>
      </c>
      <c r="AN78" s="62">
        <f ca="1">AVERAGE(OFFSET($AM$3,0,0,'Données projet'!$E$10+1,1))-AVERAGE(OFFSET($H$3,0,0,'Données projet'!$E$10+1,1))</f>
        <v>140.04898296125504</v>
      </c>
      <c r="AO78" s="62">
        <f t="shared" si="90"/>
        <v>129.5395511270716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360.47692307692307</v>
      </c>
      <c r="BB78" s="13">
        <f>VLOOKUP(A78,'Données projet'!$A$87:$I$107,9,0)</f>
        <v>9.9551282051282044</v>
      </c>
      <c r="BC78" s="13">
        <f t="array" ref="BC78">INDEX(BB:BB,MIN(IF(ISNUMBER(BB78:BB274),ROW(BB78:BB274),"")))</f>
        <v>9.9551282051282044</v>
      </c>
      <c r="BD78" s="13">
        <f>IF('Données projet'!$A$88&gt;35,BD77+BC78-BL77,IF(A78&lt;'Données projet'!$A$88,$BA$205^A78,IF(A78='Données projet'!$A$88,'Données projet'!$B$88,BD77+BC78-BL77)))</f>
        <v>360.47692307692284</v>
      </c>
      <c r="BE78" s="14">
        <f>BD78*VLOOKUP('Données projet'!$B$11,Paramètres!$A$1:$I$89,3,0)*VLOOKUP('Données projet'!$B$11,Paramètres!$A$1:$I$89,5,0)</f>
        <v>168.70319999999987</v>
      </c>
      <c r="BF78" s="14">
        <f t="shared" si="91"/>
        <v>42.799454211954576</v>
      </c>
      <c r="BG78" s="22">
        <f t="shared" si="61"/>
        <v>368.36712275248732</v>
      </c>
      <c r="BH78" s="62">
        <f t="shared" si="62"/>
        <v>661.70045608582063</v>
      </c>
      <c r="BI78" s="62">
        <f ca="1">AVERAGE(OFFSET($BH$3,0,0,'Données projet'!$E$11+1,1))-AVERAGE(OFFSET($H$3,0,0,'Données projet'!$E$11+1,1))</f>
        <v>207.84100251878419</v>
      </c>
      <c r="BJ78" s="62">
        <f t="shared" si="92"/>
        <v>124.34917784241952</v>
      </c>
      <c r="BK78" s="16">
        <f>IF(ISNA(VLOOKUP(A78,'Données projet'!$A$87:$I$107,3,0)),0,VLOOKUP(A78,'Données projet'!$A$87:$I$107,3,0))</f>
        <v>3</v>
      </c>
      <c r="BL78" s="16">
        <f>IF(ISNA(VLOOKUP(A78,'Données projet'!$A$87:$I$107,4,0)),0,VLOOKUP(A78,'Données projet'!$A$87:$I$107,4,0))</f>
        <v>85.361538461538458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278.2</v>
      </c>
      <c r="BW78" s="13">
        <f>VLOOKUP(A78,'Données projet'!$A$113:$I$133,9,0)</f>
        <v>2.2600000000000025</v>
      </c>
      <c r="BX78" s="13">
        <f t="array" ref="BX78">INDEX(BW:BW,MIN(IF(ISNUMBER(BW78:BW274),ROW(BW78:BW274),"")))</f>
        <v>2.2600000000000025</v>
      </c>
      <c r="BY78" s="13">
        <f>IF('Données projet'!$A$114&gt;35,BY77+BX78-CG77,IF(A78&lt;'Données projet'!$A$114,$BV$205^A78,IF(A78='Données projet'!$A$114,'Données projet'!$B$114,BY77+BX78-CG77)))</f>
        <v>278.19999999999982</v>
      </c>
      <c r="BZ78" s="14">
        <f>BY78*VLOOKUP('Données projet'!$B$12,Paramètres!$A$1:$I$89,3,0)*VLOOKUP('Données projet'!$B$12,Paramètres!$A$1:$I$89,5,0)</f>
        <v>144.6639999999999</v>
      </c>
      <c r="CA78" s="14">
        <f t="shared" si="93"/>
        <v>37.363416018158652</v>
      </c>
      <c r="CB78" s="22">
        <f t="shared" si="64"/>
        <v>317.03108289829282</v>
      </c>
      <c r="CC78" s="62">
        <f t="shared" si="65"/>
        <v>610.36441623162614</v>
      </c>
      <c r="CD78" s="62">
        <f ca="1">AVERAGE(OFFSET($CC$3,0,0,'Données projet'!$E$12+1,1))-AVERAGE(OFFSET($H$3,0,0,'Données projet'!$E$12+1,1))</f>
        <v>211.05980622218578</v>
      </c>
      <c r="CE78" s="62">
        <f t="shared" si="94"/>
        <v>168.57746894604855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1.5783333333333318</v>
      </c>
      <c r="CT78" s="13">
        <f>IF('Données projet'!$A$140&gt;35,CT77+CS78-DB77,IF(A78&lt;'Données projet'!$A$140,$CQ$205^A78,IF(A78='Données projet'!$A$140,'Données projet'!$B$140,CT77+CS78-DB77)))</f>
        <v>92.254166666666606</v>
      </c>
      <c r="CU78" s="18">
        <f>CT78*VLOOKUP('Données projet'!$B$13,Paramètres!$A$1:$I$89,3,0)*VLOOKUP('Données projet'!$B$13,Paramètres!$A$1:$I$89,5,0)</f>
        <v>106.27679999999992</v>
      </c>
      <c r="CV78" s="14">
        <f t="shared" si="95"/>
        <v>28.45201941300353</v>
      </c>
      <c r="CW78" s="22">
        <f t="shared" si="67"/>
        <v>234.65269381098105</v>
      </c>
      <c r="CX78" s="62">
        <f t="shared" si="68"/>
        <v>527.98602714431433</v>
      </c>
      <c r="CY78" s="62">
        <f ca="1">AVERAGE(OFFSET($CX$3,0,0,'Données projet'!$E$13+1,1))-AVERAGE(OFFSET($H$3,0,0,'Données projet'!$E$13+1,1))</f>
        <v>191.79777926975839</v>
      </c>
      <c r="CZ78" s="62">
        <f t="shared" si="96"/>
        <v>156.66161375678712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4.4729999999999999</v>
      </c>
      <c r="DO78" s="13">
        <f>IF('Données projet'!$A$166&gt;35,DO77+DN78-DW77,IF(A78&lt;'Données projet'!$A$166,$DL$205^A78,IF(A78='Données projet'!$A$166,'Données projet'!$B$166,DO77+DN78-DW77)))</f>
        <v>155.90499999999997</v>
      </c>
      <c r="DP78" s="18">
        <f>DO78*VLOOKUP('Données projet'!$B$14,Paramètres!$A$1:$I$89,3,0)*VLOOKUP('Données projet'!$B$14,Paramètres!$A$1:$I$89,5,0)</f>
        <v>170.24825999999996</v>
      </c>
      <c r="DQ78" s="14">
        <f t="shared" si="97"/>
        <v>43.145620843595047</v>
      </c>
      <c r="DR78" s="22">
        <f t="shared" si="70"/>
        <v>371.66100913592794</v>
      </c>
      <c r="DS78" s="62">
        <f t="shared" si="71"/>
        <v>664.99434246926126</v>
      </c>
      <c r="DT78" s="62">
        <f ca="1">AVERAGE(OFFSET($DS$3,0,0,'Données projet'!$E$14+1,1))-AVERAGE(OFFSET($H$3,0,0,'Données projet'!$E$14+1,1))</f>
        <v>541.0854688453461</v>
      </c>
      <c r="DU78" s="62">
        <f t="shared" si="98"/>
        <v>171.04847168584473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11.727272727272727</v>
      </c>
      <c r="EJ78" s="13">
        <f>IF('Données projet'!$A$192&gt;35,EJ77+EI78-ER77,IF(A78&lt;'Données projet'!$A$192,$EG$205^A78,IF(A78='Données projet'!$A$192,'Données projet'!$B$192,EJ77+EI78-ER77)))</f>
        <v>330.81818181818198</v>
      </c>
      <c r="EK78" s="18">
        <f>EJ78*VLOOKUP('Données projet'!$B$15,Paramètres!$A$1:$I$89,3,0)*VLOOKUP('Données projet'!$B$15,Paramètres!$A$1:$I$89,5,0)</f>
        <v>197.82927272727287</v>
      </c>
      <c r="EL78" s="14">
        <f t="shared" si="99"/>
        <v>49.266804997888123</v>
      </c>
      <c r="EM78" s="22">
        <f t="shared" si="73"/>
        <v>430.35900203798877</v>
      </c>
      <c r="EN78" s="62">
        <f t="shared" si="74"/>
        <v>723.69233537132209</v>
      </c>
      <c r="EO78" s="62">
        <f ca="1">AVERAGE(OFFSET($EN$3,0,0,'Données projet'!$E$15+1,1))-AVERAGE(OFFSET($H$3,0,0,'Données projet'!$E$15+1,1))</f>
        <v>244.01698421598974</v>
      </c>
      <c r="EP78" s="62">
        <f t="shared" si="100"/>
        <v>156.96653202915024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1.0329203728489837</v>
      </c>
      <c r="EX78" s="23">
        <f>EXP(-LN(2)/2)*EX77+(1-EXP(-LN(2)/2))/(LN(2)/2)*ER78*EU78*VLOOKUP('Données projet'!$B$15,Paramètres!$A$1:$I$89,3,0)*0.475*44/12</f>
        <v>1.6788432847920919E-6</v>
      </c>
      <c r="EY78" s="24">
        <f t="shared" si="75"/>
        <v>1.0329220516922686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155</v>
      </c>
      <c r="FC78" s="13">
        <f>VLOOKUP(A78,'Données projet'!$A$217:$I$237,9,0)</f>
        <v>1.8</v>
      </c>
      <c r="FD78" s="13">
        <f t="array" ref="FD78">INDEX(FC:FC,MIN(IF(ISNUMBER(FC78:FC274),ROW(FC78:FC274),"")))</f>
        <v>1.8</v>
      </c>
      <c r="FE78" s="13">
        <f>IF('Données projet'!$A$218&gt;35,FE77+FD78-FM77,IF(A78&lt;'Données projet'!$A$218,$FB$205^A78,IF(A78='Données projet'!$A$218,'Données projet'!$B$218,FE77+FD78-FM77)))</f>
        <v>154.99999999999989</v>
      </c>
      <c r="FF78" s="18">
        <f>FE78*VLOOKUP('Données projet'!$B$16,Paramètres!$A$1:$I$89,3,0)*VLOOKUP('Données projet'!$B$16,Paramètres!$A$1:$I$89,5,0)</f>
        <v>135.4079999999999</v>
      </c>
      <c r="FG78" s="14">
        <f t="shared" si="101"/>
        <v>35.243009677478696</v>
      </c>
      <c r="FH78" s="22">
        <f t="shared" si="76"/>
        <v>297.21717518827523</v>
      </c>
      <c r="FI78" s="62">
        <f t="shared" si="77"/>
        <v>590.55050852160855</v>
      </c>
      <c r="FJ78" s="62">
        <f ca="1">AVERAGE(OFFSET($FI$3,0,0,'Données projet'!$E$16+1,1))-AVERAGE(OFFSET($H$3,0,0,'Données projet'!$E$16+1,1))</f>
        <v>175.08726167127026</v>
      </c>
      <c r="FK78" s="62">
        <f t="shared" si="102"/>
        <v>196.05343924817117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153</v>
      </c>
      <c r="FX78" s="13">
        <f>VLOOKUP(A78,'Données projet'!$A$243:$I$263,9,0)</f>
        <v>2.8</v>
      </c>
      <c r="FY78" s="13">
        <f t="array" ref="FY78">INDEX(FX:FX,MIN(IF(ISNUMBER(FX78:FX274),ROW(FX78:FX274),"")))</f>
        <v>2.8</v>
      </c>
      <c r="FZ78" s="13">
        <f>IF('Données projet'!$A$244&gt;35,FZ77+FY78-GH77,IF(A78&lt;'Données projet'!$A$244,$FW$205^A78,IF(A78='Données projet'!$A$244,'Données projet'!$B$244,FZ77+FY78-GH77)))</f>
        <v>153.00000000000009</v>
      </c>
      <c r="GA78" s="18">
        <f>FZ78*VLOOKUP('Données projet'!$B$17,Paramètres!$A$1:$I$89,3,0)*VLOOKUP('Données projet'!$B$17,Paramètres!$A$1:$I$89,5,0)</f>
        <v>100.24560000000005</v>
      </c>
      <c r="GB78" s="14">
        <f t="shared" si="103"/>
        <v>27.020500005754961</v>
      </c>
      <c r="GC78" s="22">
        <f t="shared" si="79"/>
        <v>221.65512417669001</v>
      </c>
      <c r="GD78" s="62">
        <f t="shared" si="80"/>
        <v>514.9884575100233</v>
      </c>
      <c r="GE78" s="62">
        <f ca="1">AVERAGE(OFFSET($GD$3,0,0,'Données projet'!$E$17+1,1))-AVERAGE(OFFSET($H$3,0,0,'Données projet'!$E$17+1,1))</f>
        <v>142.93037460866543</v>
      </c>
      <c r="GF78" s="62">
        <f t="shared" si="104"/>
        <v>146.18554498808049</v>
      </c>
      <c r="GG78" s="16">
        <f>IF(ISNA(VLOOKUP(A78,'Données projet'!$A$243:$I$263,3,0)),0,VLOOKUP(A78,'Données projet'!$A$243:$I$263,3,0))</f>
        <v>6</v>
      </c>
      <c r="GH78" s="16">
        <f>IF(ISNA(VLOOKUP(A78,'Données projet'!$A$243:$I$263,4,0)),0,VLOOKUP(A78,'Données projet'!$A$243:$I$263,4,0))</f>
        <v>23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139</v>
      </c>
      <c r="GS78" s="13">
        <f>VLOOKUP(A78,'Données projet'!$A$269:$I$289,9,0)</f>
        <v>3.4</v>
      </c>
      <c r="GT78" s="13">
        <f t="array" ref="GT78">INDEX(GS:GS,MIN(IF(ISNUMBER(GS78:GS274),ROW(GS78:GS274),"")))</f>
        <v>3.4</v>
      </c>
      <c r="GU78" s="13">
        <f>IF('Données projet'!$A$270&gt;35,GU77+GT78-HC77,IF(A78&lt;'Données projet'!$A$270,$GR$205^A78,IF(A78='Données projet'!$A$270,'Données projet'!$B$270,GU77+GT78-HC77)))</f>
        <v>138.99999999999997</v>
      </c>
      <c r="GV78" s="18">
        <f>GU78*VLOOKUP('Données projet'!$B$18,Paramètres!$A$1:$I$89,3,0)*VLOOKUP('Données projet'!$B$18,Paramètres!$A$1:$I$89,5,0)</f>
        <v>119.26199999999999</v>
      </c>
      <c r="GW78" s="14">
        <f t="shared" si="105"/>
        <v>31.502811162802828</v>
      </c>
      <c r="GX78" s="22">
        <f t="shared" si="82"/>
        <v>262.58204610854818</v>
      </c>
      <c r="GY78" s="62">
        <f t="shared" si="83"/>
        <v>555.91537944188144</v>
      </c>
      <c r="GZ78" s="62">
        <f ca="1">AVERAGE(OFFSET($GY$3,0,0,'Données projet'!$E$18+1,1))-AVERAGE(OFFSET($H$3,0,0,'Données projet'!$E$18+1,1))</f>
        <v>188.08607733149256</v>
      </c>
      <c r="HA78" s="62">
        <f t="shared" si="106"/>
        <v>119.95698016603842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22.723999999999979</v>
      </c>
      <c r="D79" s="12">
        <f t="shared" si="86"/>
        <v>7.2801783200166854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231.6112010667953</v>
      </c>
      <c r="H79" s="70">
        <f t="shared" si="56"/>
        <v>308.9239439073624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3.4</v>
      </c>
      <c r="N79" s="14">
        <f>IF('Données projet'!$A$36&gt;35,N78+M79-V78,IF(A79&lt;'Données projet'!$A$36,$K$205^A79,IF(A79='Données projet'!$A$36,'Données projet'!$B$36,N78+M79-V78)))</f>
        <v>142.39999999999998</v>
      </c>
      <c r="O79" s="14">
        <f>N79*VLOOKUP('Données projet'!$B$9,Paramètres!$A$1:$I$89,3,0)*VLOOKUP('Données projet'!$B$9,Paramètres!$A$1:$I$89,5,0)</f>
        <v>153.27935999999997</v>
      </c>
      <c r="P79" s="14">
        <f t="shared" si="87"/>
        <v>39.322891329788526</v>
      </c>
      <c r="Q79" s="22">
        <f t="shared" si="54"/>
        <v>335.44892106604829</v>
      </c>
      <c r="R79" s="62">
        <f t="shared" si="55"/>
        <v>628.7822543993816</v>
      </c>
      <c r="S79" s="62">
        <f ca="1">AVERAGE(OFFSET($R$3,0,0,'Données projet'!$E$9+1,1))-AVERAGE(OFFSET($H$3,0,0,'Données projet'!$E$9+1,1))</f>
        <v>236.98575892380046</v>
      </c>
      <c r="T79" s="62">
        <f t="shared" si="88"/>
        <v>145.77678223659774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3.5471153846153847</v>
      </c>
      <c r="AI79" s="14">
        <f>IF('Données projet'!$A$62&gt;35,AI78+AH79-AQ78,IF(A79&lt;'Données projet'!$A$62,$AF$205^A79,IF(A79='Données projet'!$A$62,'Données projet'!$B$62,AI78+AH79-AQ78)))</f>
        <v>119.60192307692307</v>
      </c>
      <c r="AJ79" s="14">
        <f>AI79*VLOOKUP('Données projet'!$B$10,Paramètres!$A$1:$I$89,3,0)*VLOOKUP('Données projet'!$B$10,Paramètres!$A$1:$I$89,5,0)</f>
        <v>69.967124999999996</v>
      </c>
      <c r="AK79" s="14">
        <f t="shared" si="89"/>
        <v>19.665293327030454</v>
      </c>
      <c r="AL79" s="22">
        <f t="shared" si="58"/>
        <v>156.10979525291137</v>
      </c>
      <c r="AM79" s="62">
        <f t="shared" si="59"/>
        <v>449.44312858624471</v>
      </c>
      <c r="AN79" s="62">
        <f ca="1">AVERAGE(OFFSET($AM$3,0,0,'Données projet'!$E$10+1,1))-AVERAGE(OFFSET($H$3,0,0,'Données projet'!$E$10+1,1))</f>
        <v>140.04898296125504</v>
      </c>
      <c r="AO79" s="62">
        <f t="shared" si="90"/>
        <v>129.5395511270716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8.9320512820512761</v>
      </c>
      <c r="BD79" s="13">
        <f>IF('Données projet'!$A$88&gt;35,BD78+BC79-BL78,IF(A79&lt;'Données projet'!$A$88,$BA$205^A79,IF(A79='Données projet'!$A$88,'Données projet'!$B$88,BD78+BC79-BL78)))</f>
        <v>284.04743589743566</v>
      </c>
      <c r="BE79" s="14">
        <f>BD79*VLOOKUP('Données projet'!$B$11,Paramètres!$A$1:$I$89,3,0)*VLOOKUP('Données projet'!$B$11,Paramètres!$A$1:$I$89,5,0)</f>
        <v>132.93419999999989</v>
      </c>
      <c r="BF79" s="14">
        <f t="shared" si="91"/>
        <v>34.67348355149219</v>
      </c>
      <c r="BG79" s="22">
        <f t="shared" si="61"/>
        <v>291.91671551884872</v>
      </c>
      <c r="BH79" s="62">
        <f t="shared" si="62"/>
        <v>585.25004885218209</v>
      </c>
      <c r="BI79" s="62">
        <f ca="1">AVERAGE(OFFSET($BH$3,0,0,'Données projet'!$E$11+1,1))-AVERAGE(OFFSET($H$3,0,0,'Données projet'!$E$11+1,1))</f>
        <v>207.84100251878419</v>
      </c>
      <c r="BJ79" s="62">
        <f t="shared" si="92"/>
        <v>124.34917784241952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2.0200000000000045</v>
      </c>
      <c r="BY79" s="13">
        <f>IF('Données projet'!$A$114&gt;35,BY78+BX79-CG78,IF(A79&lt;'Données projet'!$A$114,$BV$205^A79,IF(A79='Données projet'!$A$114,'Données projet'!$B$114,BY78+BX79-CG78)))</f>
        <v>280.2199999999998</v>
      </c>
      <c r="BZ79" s="14">
        <f>BY79*VLOOKUP('Données projet'!$B$12,Paramètres!$A$1:$I$89,3,0)*VLOOKUP('Données projet'!$B$12,Paramètres!$A$1:$I$89,5,0)</f>
        <v>145.7143999999999</v>
      </c>
      <c r="CA79" s="14">
        <f t="shared" si="93"/>
        <v>37.603030716193146</v>
      </c>
      <c r="CB79" s="22">
        <f t="shared" si="64"/>
        <v>319.27785849736955</v>
      </c>
      <c r="CC79" s="62">
        <f t="shared" si="65"/>
        <v>612.61119183070286</v>
      </c>
      <c r="CD79" s="62">
        <f ca="1">AVERAGE(OFFSET($CC$3,0,0,'Données projet'!$E$12+1,1))-AVERAGE(OFFSET($H$3,0,0,'Données projet'!$E$12+1,1))</f>
        <v>211.05980622218578</v>
      </c>
      <c r="CE79" s="62">
        <f t="shared" si="94"/>
        <v>168.57746894604855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1.5783333333333318</v>
      </c>
      <c r="CT79" s="13">
        <f>IF('Données projet'!$A$140&gt;35,CT78+CS79-DB78,IF(A79&lt;'Données projet'!$A$140,$CQ$205^A79,IF(A79='Données projet'!$A$140,'Données projet'!$B$140,CT78+CS79-DB78)))</f>
        <v>93.832499999999939</v>
      </c>
      <c r="CU79" s="18">
        <f>CT79*VLOOKUP('Données projet'!$B$13,Paramètres!$A$1:$I$89,3,0)*VLOOKUP('Données projet'!$B$13,Paramètres!$A$1:$I$89,5,0)</f>
        <v>108.09503999999993</v>
      </c>
      <c r="CV79" s="14">
        <f t="shared" si="95"/>
        <v>28.881705828313297</v>
      </c>
      <c r="CW79" s="22">
        <f t="shared" si="67"/>
        <v>238.56783231764553</v>
      </c>
      <c r="CX79" s="62">
        <f t="shared" si="68"/>
        <v>531.90116565097878</v>
      </c>
      <c r="CY79" s="62">
        <f ca="1">AVERAGE(OFFSET($CX$3,0,0,'Données projet'!$E$13+1,1))-AVERAGE(OFFSET($H$3,0,0,'Données projet'!$E$13+1,1))</f>
        <v>191.79777926975839</v>
      </c>
      <c r="CZ79" s="62">
        <f t="shared" si="96"/>
        <v>156.66161375678712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4.4729999999999999</v>
      </c>
      <c r="DO79" s="13">
        <f>IF('Données projet'!$A$166&gt;35,DO78+DN79-DW78,IF(A79&lt;'Données projet'!$A$166,$DL$205^A79,IF(A79='Données projet'!$A$166,'Données projet'!$B$166,DO78+DN79-DW78)))</f>
        <v>160.37799999999999</v>
      </c>
      <c r="DP79" s="18">
        <f>DO79*VLOOKUP('Données projet'!$B$14,Paramètres!$A$1:$I$89,3,0)*VLOOKUP('Données projet'!$B$14,Paramètres!$A$1:$I$89,5,0)</f>
        <v>175.13277599999998</v>
      </c>
      <c r="DQ79" s="14">
        <f t="shared" si="97"/>
        <v>44.237596954681386</v>
      </c>
      <c r="DR79" s="22">
        <f t="shared" si="70"/>
        <v>382.07006622940338</v>
      </c>
      <c r="DS79" s="62">
        <f t="shared" si="71"/>
        <v>675.40339956273669</v>
      </c>
      <c r="DT79" s="62">
        <f ca="1">AVERAGE(OFFSET($DS$3,0,0,'Données projet'!$E$14+1,1))-AVERAGE(OFFSET($H$3,0,0,'Données projet'!$E$14+1,1))</f>
        <v>541.0854688453461</v>
      </c>
      <c r="DU79" s="62">
        <f t="shared" si="98"/>
        <v>171.04847168584473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11.727272727272727</v>
      </c>
      <c r="EJ79" s="13">
        <f>IF('Données projet'!$A$192&gt;35,EJ78+EI79-ER78,IF(A79&lt;'Données projet'!$A$192,$EG$205^A79,IF(A79='Données projet'!$A$192,'Données projet'!$B$192,EJ78+EI79-ER78)))</f>
        <v>342.54545454545473</v>
      </c>
      <c r="EK79" s="18">
        <f>EJ79*VLOOKUP('Données projet'!$B$15,Paramètres!$A$1:$I$89,3,0)*VLOOKUP('Données projet'!$B$15,Paramètres!$A$1:$I$89,5,0)</f>
        <v>204.84218181818196</v>
      </c>
      <c r="EL79" s="14">
        <f t="shared" si="99"/>
        <v>50.806846581971655</v>
      </c>
      <c r="EM79" s="22">
        <f t="shared" si="73"/>
        <v>445.25539113026753</v>
      </c>
      <c r="EN79" s="62">
        <f t="shared" si="74"/>
        <v>738.58872446360078</v>
      </c>
      <c r="EO79" s="62">
        <f ca="1">AVERAGE(OFFSET($EN$3,0,0,'Données projet'!$E$15+1,1))-AVERAGE(OFFSET($H$3,0,0,'Données projet'!$E$15+1,1))</f>
        <v>244.01698421598974</v>
      </c>
      <c r="EP79" s="62">
        <f t="shared" si="100"/>
        <v>156.96653202915024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1.0046751109345067</v>
      </c>
      <c r="EX79" s="23">
        <f>EXP(-LN(2)/2)*EX78+(1-EXP(-LN(2)/2))/(LN(2)/2)*ER79*EU79*VLOOKUP('Données projet'!$B$15,Paramètres!$A$1:$I$89,3,0)*0.475*44/12</f>
        <v>1.1871214712259864E-6</v>
      </c>
      <c r="EY79" s="24">
        <f t="shared" si="75"/>
        <v>1.0046762980559778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1.8</v>
      </c>
      <c r="FE79" s="13">
        <f>IF('Données projet'!$A$218&gt;35,FE78+FD79-FM78,IF(A79&lt;'Données projet'!$A$218,$FB$205^A79,IF(A79='Données projet'!$A$218,'Données projet'!$B$218,FE78+FD79-FM78)))</f>
        <v>156.7999999999999</v>
      </c>
      <c r="FF79" s="18">
        <f>FE79*VLOOKUP('Données projet'!$B$16,Paramètres!$A$1:$I$89,3,0)*VLOOKUP('Données projet'!$B$16,Paramètres!$A$1:$I$89,5,0)</f>
        <v>136.98047999999991</v>
      </c>
      <c r="FG79" s="14">
        <f t="shared" si="101"/>
        <v>35.604400515895477</v>
      </c>
      <c r="FH79" s="22">
        <f t="shared" si="76"/>
        <v>300.5853335651845</v>
      </c>
      <c r="FI79" s="62">
        <f t="shared" si="77"/>
        <v>593.91866689851781</v>
      </c>
      <c r="FJ79" s="62">
        <f ca="1">AVERAGE(OFFSET($FI$3,0,0,'Données projet'!$E$16+1,1))-AVERAGE(OFFSET($H$3,0,0,'Données projet'!$E$16+1,1))</f>
        <v>175.08726167127026</v>
      </c>
      <c r="FK79" s="62">
        <f t="shared" si="102"/>
        <v>196.05343924817117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3</v>
      </c>
      <c r="FZ79" s="13">
        <f>IF('Données projet'!$A$244&gt;35,FZ78+FY79-GH78,IF(A79&lt;'Données projet'!$A$244,$FW$205^A79,IF(A79='Données projet'!$A$244,'Données projet'!$B$244,FZ78+FY79-GH78)))</f>
        <v>133.00000000000009</v>
      </c>
      <c r="GA79" s="18">
        <f>FZ79*VLOOKUP('Données projet'!$B$17,Paramètres!$A$1:$I$89,3,0)*VLOOKUP('Données projet'!$B$17,Paramètres!$A$1:$I$89,5,0)</f>
        <v>87.141600000000054</v>
      </c>
      <c r="GB79" s="14">
        <f t="shared" si="103"/>
        <v>23.874558158360966</v>
      </c>
      <c r="GC79" s="22">
        <f t="shared" si="79"/>
        <v>193.35314212581213</v>
      </c>
      <c r="GD79" s="62">
        <f t="shared" si="80"/>
        <v>486.68647545914541</v>
      </c>
      <c r="GE79" s="62">
        <f ca="1">AVERAGE(OFFSET($GD$3,0,0,'Données projet'!$E$17+1,1))-AVERAGE(OFFSET($H$3,0,0,'Données projet'!$E$17+1,1))</f>
        <v>142.93037460866543</v>
      </c>
      <c r="GF79" s="62">
        <f t="shared" si="104"/>
        <v>146.18554498808049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3.4</v>
      </c>
      <c r="GU79" s="13">
        <f>IF('Données projet'!$A$270&gt;35,GU78+GT79-HC78,IF(A79&lt;'Données projet'!$A$270,$GR$205^A79,IF(A79='Données projet'!$A$270,'Données projet'!$B$270,GU78+GT79-HC78)))</f>
        <v>142.39999999999998</v>
      </c>
      <c r="GV79" s="18">
        <f>GU79*VLOOKUP('Données projet'!$B$18,Paramètres!$A$1:$I$89,3,0)*VLOOKUP('Données projet'!$B$18,Paramètres!$A$1:$I$89,5,0)</f>
        <v>122.17919999999999</v>
      </c>
      <c r="GW79" s="14">
        <f t="shared" si="105"/>
        <v>32.182728314540348</v>
      </c>
      <c r="GX79" s="22">
        <f t="shared" si="82"/>
        <v>268.84702514782441</v>
      </c>
      <c r="GY79" s="62">
        <f t="shared" si="83"/>
        <v>562.18035848115778</v>
      </c>
      <c r="GZ79" s="62">
        <f ca="1">AVERAGE(OFFSET($GY$3,0,0,'Données projet'!$E$18+1,1))-AVERAGE(OFFSET($H$3,0,0,'Données projet'!$E$18+1,1))</f>
        <v>188.08607733149256</v>
      </c>
      <c r="HA79" s="62">
        <f t="shared" si="106"/>
        <v>119.95698016603842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23.022999999999978</v>
      </c>
      <c r="D80" s="12">
        <f t="shared" si="86"/>
        <v>7.3647554696702748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234.5721474851739</v>
      </c>
      <c r="H80" s="70">
        <f t="shared" si="56"/>
        <v>309.59200744300904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3.4</v>
      </c>
      <c r="N80" s="14">
        <f>IF('Données projet'!$A$36&gt;35,N79+M80-V79,IF(A80&lt;'Données projet'!$A$36,$K$205^A80,IF(A80='Données projet'!$A$36,'Données projet'!$B$36,N79+M80-V79)))</f>
        <v>145.79999999999998</v>
      </c>
      <c r="O80" s="14">
        <f>N80*VLOOKUP('Données projet'!$B$9,Paramètres!$A$1:$I$89,3,0)*VLOOKUP('Données projet'!$B$9,Paramètres!$A$1:$I$89,5,0)</f>
        <v>156.93911999999997</v>
      </c>
      <c r="P80" s="14">
        <f t="shared" si="87"/>
        <v>40.151351173540341</v>
      </c>
      <c r="Q80" s="22">
        <f t="shared" si="54"/>
        <v>343.26590396058276</v>
      </c>
      <c r="R80" s="62">
        <f t="shared" si="55"/>
        <v>636.59923729391608</v>
      </c>
      <c r="S80" s="62">
        <f ca="1">AVERAGE(OFFSET($R$3,0,0,'Données projet'!$E$9+1,1))-AVERAGE(OFFSET($H$3,0,0,'Données projet'!$E$9+1,1))</f>
        <v>236.98575892380046</v>
      </c>
      <c r="T80" s="62">
        <f t="shared" si="88"/>
        <v>145.77678223659774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3.5471153846153847</v>
      </c>
      <c r="AI80" s="14">
        <f>IF('Données projet'!$A$62&gt;35,AI79+AH80-AQ79,IF(A80&lt;'Données projet'!$A$62,$AF$205^A80,IF(A80='Données projet'!$A$62,'Données projet'!$B$62,AI79+AH80-AQ79)))</f>
        <v>123.14903846153845</v>
      </c>
      <c r="AJ80" s="14">
        <f>AI80*VLOOKUP('Données projet'!$B$10,Paramètres!$A$1:$I$89,3,0)*VLOOKUP('Données projet'!$B$10,Paramètres!$A$1:$I$89,5,0)</f>
        <v>72.042187499999997</v>
      </c>
      <c r="AK80" s="14">
        <f t="shared" si="89"/>
        <v>20.179752808447528</v>
      </c>
      <c r="AL80" s="22">
        <f t="shared" si="58"/>
        <v>160.6198793705461</v>
      </c>
      <c r="AM80" s="62">
        <f t="shared" si="59"/>
        <v>453.95321270387944</v>
      </c>
      <c r="AN80" s="62">
        <f ca="1">AVERAGE(OFFSET($AM$3,0,0,'Données projet'!$E$10+1,1))-AVERAGE(OFFSET($H$3,0,0,'Données projet'!$E$10+1,1))</f>
        <v>140.04898296125504</v>
      </c>
      <c r="AO80" s="62">
        <f t="shared" si="90"/>
        <v>129.5395511270716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8.9320512820512761</v>
      </c>
      <c r="BD80" s="13">
        <f>IF('Données projet'!$A$88&gt;35,BD79+BC80-BL79,IF(A80&lt;'Données projet'!$A$88,$BA$205^A80,IF(A80='Données projet'!$A$88,'Données projet'!$B$88,BD79+BC80-BL79)))</f>
        <v>292.97948717948691</v>
      </c>
      <c r="BE80" s="14">
        <f>BD80*VLOOKUP('Données projet'!$B$11,Paramètres!$A$1:$I$89,3,0)*VLOOKUP('Données projet'!$B$11,Paramètres!$A$1:$I$89,5,0)</f>
        <v>137.11439999999988</v>
      </c>
      <c r="BF80" s="14">
        <f t="shared" si="91"/>
        <v>35.635155920090774</v>
      </c>
      <c r="BG80" s="22">
        <f t="shared" si="61"/>
        <v>300.87214322749122</v>
      </c>
      <c r="BH80" s="62">
        <f t="shared" si="62"/>
        <v>594.20547656082454</v>
      </c>
      <c r="BI80" s="62">
        <f ca="1">AVERAGE(OFFSET($BH$3,0,0,'Données projet'!$E$11+1,1))-AVERAGE(OFFSET($H$3,0,0,'Données projet'!$E$11+1,1))</f>
        <v>207.84100251878419</v>
      </c>
      <c r="BJ80" s="62">
        <f t="shared" si="92"/>
        <v>124.34917784241952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2.0200000000000045</v>
      </c>
      <c r="BY80" s="13">
        <f>IF('Données projet'!$A$114&gt;35,BY79+BX80-CG79,IF(A80&lt;'Données projet'!$A$114,$BV$205^A80,IF(A80='Données projet'!$A$114,'Données projet'!$B$114,BY79+BX80-CG79)))</f>
        <v>282.23999999999978</v>
      </c>
      <c r="BZ80" s="14">
        <f>BY80*VLOOKUP('Données projet'!$B$12,Paramètres!$A$1:$I$89,3,0)*VLOOKUP('Données projet'!$B$12,Paramètres!$A$1:$I$89,5,0)</f>
        <v>146.76479999999989</v>
      </c>
      <c r="CA80" s="14">
        <f t="shared" si="93"/>
        <v>37.84244443995663</v>
      </c>
      <c r="CB80" s="22">
        <f t="shared" si="64"/>
        <v>321.52428406625762</v>
      </c>
      <c r="CC80" s="62">
        <f t="shared" si="65"/>
        <v>614.85761739959094</v>
      </c>
      <c r="CD80" s="62">
        <f ca="1">AVERAGE(OFFSET($CC$3,0,0,'Données projet'!$E$12+1,1))-AVERAGE(OFFSET($H$3,0,0,'Données projet'!$E$12+1,1))</f>
        <v>211.05980622218578</v>
      </c>
      <c r="CE80" s="62">
        <f t="shared" si="94"/>
        <v>168.57746894604855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1.5783333333333318</v>
      </c>
      <c r="CT80" s="13">
        <f>IF('Données projet'!$A$140&gt;35,CT79+CS80-DB79,IF(A80&lt;'Données projet'!$A$140,$CQ$205^A80,IF(A80='Données projet'!$A$140,'Données projet'!$B$140,CT79+CS80-DB79)))</f>
        <v>95.410833333333272</v>
      </c>
      <c r="CU80" s="18">
        <f>CT80*VLOOKUP('Données projet'!$B$13,Paramètres!$A$1:$I$89,3,0)*VLOOKUP('Données projet'!$B$13,Paramètres!$A$1:$I$89,5,0)</f>
        <v>109.91327999999992</v>
      </c>
      <c r="CV80" s="14">
        <f t="shared" si="95"/>
        <v>29.310551726420417</v>
      </c>
      <c r="CW80" s="22">
        <f t="shared" si="67"/>
        <v>242.48150692351541</v>
      </c>
      <c r="CX80" s="62">
        <f t="shared" si="68"/>
        <v>535.8148402568487</v>
      </c>
      <c r="CY80" s="62">
        <f ca="1">AVERAGE(OFFSET($CX$3,0,0,'Données projet'!$E$13+1,1))-AVERAGE(OFFSET($H$3,0,0,'Données projet'!$E$13+1,1))</f>
        <v>191.79777926975839</v>
      </c>
      <c r="CZ80" s="62">
        <f t="shared" si="96"/>
        <v>156.66161375678712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4.4729999999999999</v>
      </c>
      <c r="DO80" s="13">
        <f>IF('Données projet'!$A$166&gt;35,DO79+DN80-DW79,IF(A80&lt;'Données projet'!$A$166,$DL$205^A80,IF(A80='Données projet'!$A$166,'Données projet'!$B$166,DO79+DN80-DW79)))</f>
        <v>164.851</v>
      </c>
      <c r="DP80" s="18">
        <f>DO80*VLOOKUP('Données projet'!$B$14,Paramètres!$A$1:$I$89,3,0)*VLOOKUP('Données projet'!$B$14,Paramètres!$A$1:$I$89,5,0)</f>
        <v>180.017292</v>
      </c>
      <c r="DQ80" s="14">
        <f t="shared" si="97"/>
        <v>45.326033296468836</v>
      </c>
      <c r="DR80" s="22">
        <f t="shared" si="70"/>
        <v>392.47295822468323</v>
      </c>
      <c r="DS80" s="62">
        <f t="shared" si="71"/>
        <v>685.80629155801648</v>
      </c>
      <c r="DT80" s="62">
        <f ca="1">AVERAGE(OFFSET($DS$3,0,0,'Données projet'!$E$14+1,1))-AVERAGE(OFFSET($H$3,0,0,'Données projet'!$E$14+1,1))</f>
        <v>541.0854688453461</v>
      </c>
      <c r="DU80" s="62">
        <f t="shared" si="98"/>
        <v>171.04847168584473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11.727272727272727</v>
      </c>
      <c r="EJ80" s="13">
        <f>IF('Données projet'!$A$192&gt;35,EJ79+EI80-ER79,IF(A80&lt;'Données projet'!$A$192,$EG$205^A80,IF(A80='Données projet'!$A$192,'Données projet'!$B$192,EJ79+EI80-ER79)))</f>
        <v>354.27272727272748</v>
      </c>
      <c r="EK80" s="18">
        <f>EJ80*VLOOKUP('Données projet'!$B$15,Paramètres!$A$1:$I$89,3,0)*VLOOKUP('Données projet'!$B$15,Paramètres!$A$1:$I$89,5,0)</f>
        <v>211.85509090909102</v>
      </c>
      <c r="EL80" s="14">
        <f t="shared" si="99"/>
        <v>52.34076199915382</v>
      </c>
      <c r="EM80" s="22">
        <f t="shared" si="73"/>
        <v>460.1411104818597</v>
      </c>
      <c r="EN80" s="62">
        <f t="shared" si="74"/>
        <v>753.47444381519301</v>
      </c>
      <c r="EO80" s="62">
        <f ca="1">AVERAGE(OFFSET($EN$3,0,0,'Données projet'!$E$15+1,1))-AVERAGE(OFFSET($H$3,0,0,'Données projet'!$E$15+1,1))</f>
        <v>244.01698421598974</v>
      </c>
      <c r="EP80" s="62">
        <f t="shared" si="100"/>
        <v>156.96653202915024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0.97720221719243472</v>
      </c>
      <c r="EX80" s="23">
        <f>EXP(-LN(2)/2)*EX79+(1-EXP(-LN(2)/2))/(LN(2)/2)*ER80*EU80*VLOOKUP('Données projet'!$B$15,Paramètres!$A$1:$I$89,3,0)*0.475*44/12</f>
        <v>8.3942164239604593E-7</v>
      </c>
      <c r="EY80" s="24">
        <f t="shared" si="75"/>
        <v>0.97720305661407714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1.8</v>
      </c>
      <c r="FE80" s="13">
        <f>IF('Données projet'!$A$218&gt;35,FE79+FD80-FM79,IF(A80&lt;'Données projet'!$A$218,$FB$205^A80,IF(A80='Données projet'!$A$218,'Données projet'!$B$218,FE79+FD80-FM79)))</f>
        <v>158.59999999999991</v>
      </c>
      <c r="FF80" s="18">
        <f>FE80*VLOOKUP('Données projet'!$B$16,Paramètres!$A$1:$I$89,3,0)*VLOOKUP('Données projet'!$B$16,Paramètres!$A$1:$I$89,5,0)</f>
        <v>138.55295999999996</v>
      </c>
      <c r="FG80" s="14">
        <f t="shared" si="101"/>
        <v>35.965308766301796</v>
      </c>
      <c r="FH80" s="22">
        <f t="shared" si="76"/>
        <v>303.95265143464218</v>
      </c>
      <c r="FI80" s="62">
        <f t="shared" si="77"/>
        <v>597.28598476797549</v>
      </c>
      <c r="FJ80" s="62">
        <f ca="1">AVERAGE(OFFSET($FI$3,0,0,'Données projet'!$E$16+1,1))-AVERAGE(OFFSET($H$3,0,0,'Données projet'!$E$16+1,1))</f>
        <v>175.08726167127026</v>
      </c>
      <c r="FK80" s="62">
        <f t="shared" si="102"/>
        <v>196.05343924817117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3</v>
      </c>
      <c r="FZ80" s="13">
        <f>IF('Données projet'!$A$244&gt;35,FZ79+FY80-GH79,IF(A80&lt;'Données projet'!$A$244,$FW$205^A80,IF(A80='Données projet'!$A$244,'Données projet'!$B$244,FZ79+FY80-GH79)))</f>
        <v>136.00000000000009</v>
      </c>
      <c r="GA80" s="18">
        <f>FZ80*VLOOKUP('Données projet'!$B$17,Paramètres!$A$1:$I$89,3,0)*VLOOKUP('Données projet'!$B$17,Paramètres!$A$1:$I$89,5,0)</f>
        <v>89.107200000000049</v>
      </c>
      <c r="GB80" s="14">
        <f t="shared" si="103"/>
        <v>24.349778356363373</v>
      </c>
      <c r="GC80" s="22">
        <f t="shared" si="79"/>
        <v>197.60423730399964</v>
      </c>
      <c r="GD80" s="62">
        <f t="shared" si="80"/>
        <v>490.93757063733295</v>
      </c>
      <c r="GE80" s="62">
        <f ca="1">AVERAGE(OFFSET($GD$3,0,0,'Données projet'!$E$17+1,1))-AVERAGE(OFFSET($H$3,0,0,'Données projet'!$E$17+1,1))</f>
        <v>142.93037460866543</v>
      </c>
      <c r="GF80" s="62">
        <f t="shared" si="104"/>
        <v>146.18554498808049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3.4</v>
      </c>
      <c r="GU80" s="13">
        <f>IF('Données projet'!$A$270&gt;35,GU79+GT80-HC79,IF(A80&lt;'Données projet'!$A$270,$GR$205^A80,IF(A80='Données projet'!$A$270,'Données projet'!$B$270,GU79+GT80-HC79)))</f>
        <v>145.79999999999998</v>
      </c>
      <c r="GV80" s="18">
        <f>GU80*VLOOKUP('Données projet'!$B$18,Paramètres!$A$1:$I$89,3,0)*VLOOKUP('Données projet'!$B$18,Paramètres!$A$1:$I$89,5,0)</f>
        <v>125.0964</v>
      </c>
      <c r="GW80" s="14">
        <f t="shared" si="105"/>
        <v>32.860758265272217</v>
      </c>
      <c r="GX80" s="22">
        <f t="shared" si="82"/>
        <v>275.10871731201581</v>
      </c>
      <c r="GY80" s="62">
        <f t="shared" si="83"/>
        <v>568.44205064534913</v>
      </c>
      <c r="GZ80" s="62">
        <f ca="1">AVERAGE(OFFSET($GY$3,0,0,'Données projet'!$E$18+1,1))-AVERAGE(OFFSET($H$3,0,0,'Données projet'!$E$18+1,1))</f>
        <v>188.08607733149256</v>
      </c>
      <c r="HA80" s="62">
        <f t="shared" si="106"/>
        <v>119.95698016603842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23.321999999999978</v>
      </c>
      <c r="D81" s="12">
        <f t="shared" si="86"/>
        <v>7.4492048578267962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237.53210767445231</v>
      </c>
      <c r="H81" s="70">
        <f t="shared" si="56"/>
        <v>310.25984846071498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3.4</v>
      </c>
      <c r="N81" s="14">
        <f>IF('Données projet'!$A$36&gt;35,N80+M81-V80,IF(A81&lt;'Données projet'!$A$36,$K$205^A81,IF(A81='Données projet'!$A$36,'Données projet'!$B$36,N80+M81-V80)))</f>
        <v>149.19999999999999</v>
      </c>
      <c r="O81" s="14">
        <f>N81*VLOOKUP('Données projet'!$B$9,Paramètres!$A$1:$I$89,3,0)*VLOOKUP('Données projet'!$B$9,Paramètres!$A$1:$I$89,5,0)</f>
        <v>160.59887999999998</v>
      </c>
      <c r="P81" s="14">
        <f t="shared" si="87"/>
        <v>40.97756507730324</v>
      </c>
      <c r="Q81" s="22">
        <f t="shared" si="54"/>
        <v>351.07897517630312</v>
      </c>
      <c r="R81" s="62">
        <f t="shared" si="55"/>
        <v>644.41230850963643</v>
      </c>
      <c r="S81" s="62">
        <f ca="1">AVERAGE(OFFSET($R$3,0,0,'Données projet'!$E$9+1,1))-AVERAGE(OFFSET($H$3,0,0,'Données projet'!$E$9+1,1))</f>
        <v>236.98575892380046</v>
      </c>
      <c r="T81" s="62">
        <f t="shared" si="88"/>
        <v>145.77678223659774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3.5471153846153847</v>
      </c>
      <c r="AI81" s="14">
        <f>IF('Données projet'!$A$62&gt;35,AI80+AH81-AQ80,IF(A81&lt;'Données projet'!$A$62,$AF$205^A81,IF(A81='Données projet'!$A$62,'Données projet'!$B$62,AI80+AH81-AQ80)))</f>
        <v>126.69615384615383</v>
      </c>
      <c r="AJ81" s="14">
        <f>AI81*VLOOKUP('Données projet'!$B$10,Paramètres!$A$1:$I$89,3,0)*VLOOKUP('Données projet'!$B$10,Paramètres!$A$1:$I$89,5,0)</f>
        <v>74.117249999999999</v>
      </c>
      <c r="AK81" s="14">
        <f t="shared" si="89"/>
        <v>20.692490087928007</v>
      </c>
      <c r="AL81" s="22">
        <f t="shared" si="58"/>
        <v>165.12696398647461</v>
      </c>
      <c r="AM81" s="62">
        <f t="shared" si="59"/>
        <v>458.46029731980792</v>
      </c>
      <c r="AN81" s="62">
        <f ca="1">AVERAGE(OFFSET($AM$3,0,0,'Données projet'!$E$10+1,1))-AVERAGE(OFFSET($H$3,0,0,'Données projet'!$E$10+1,1))</f>
        <v>140.04898296125504</v>
      </c>
      <c r="AO81" s="62">
        <f t="shared" si="90"/>
        <v>129.5395511270716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8.9320512820512761</v>
      </c>
      <c r="BD81" s="13">
        <f>IF('Données projet'!$A$88&gt;35,BD80+BC81-BL80,IF(A81&lt;'Données projet'!$A$88,$BA$205^A81,IF(A81='Données projet'!$A$88,'Données projet'!$B$88,BD80+BC81-BL80)))</f>
        <v>301.91153846153816</v>
      </c>
      <c r="BE81" s="14">
        <f>BD81*VLOOKUP('Données projet'!$B$11,Paramètres!$A$1:$I$89,3,0)*VLOOKUP('Données projet'!$B$11,Paramètres!$A$1:$I$89,5,0)</f>
        <v>141.29459999999986</v>
      </c>
      <c r="BF81" s="14">
        <f t="shared" si="91"/>
        <v>36.593421110553088</v>
      </c>
      <c r="BG81" s="22">
        <f t="shared" si="61"/>
        <v>309.82163676754641</v>
      </c>
      <c r="BH81" s="62">
        <f t="shared" si="62"/>
        <v>603.15497010087972</v>
      </c>
      <c r="BI81" s="62">
        <f ca="1">AVERAGE(OFFSET($BH$3,0,0,'Données projet'!$E$11+1,1))-AVERAGE(OFFSET($H$3,0,0,'Données projet'!$E$11+1,1))</f>
        <v>207.84100251878419</v>
      </c>
      <c r="BJ81" s="62">
        <f t="shared" si="92"/>
        <v>124.34917784241952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2.0200000000000045</v>
      </c>
      <c r="BY81" s="13">
        <f>IF('Données projet'!$A$114&gt;35,BY80+BX81-CG80,IF(A81&lt;'Données projet'!$A$114,$BV$205^A81,IF(A81='Données projet'!$A$114,'Données projet'!$B$114,BY80+BX81-CG80)))</f>
        <v>284.25999999999976</v>
      </c>
      <c r="BZ81" s="14">
        <f>BY81*VLOOKUP('Données projet'!$B$12,Paramètres!$A$1:$I$89,3,0)*VLOOKUP('Données projet'!$B$12,Paramètres!$A$1:$I$89,5,0)</f>
        <v>147.81519999999989</v>
      </c>
      <c r="CA81" s="14">
        <f t="shared" si="93"/>
        <v>38.081658794614022</v>
      </c>
      <c r="CB81" s="22">
        <f t="shared" si="64"/>
        <v>323.77036240061921</v>
      </c>
      <c r="CC81" s="62">
        <f t="shared" si="65"/>
        <v>617.10369573395246</v>
      </c>
      <c r="CD81" s="62">
        <f ca="1">AVERAGE(OFFSET($CC$3,0,0,'Données projet'!$E$12+1,1))-AVERAGE(OFFSET($H$3,0,0,'Données projet'!$E$12+1,1))</f>
        <v>211.05980622218578</v>
      </c>
      <c r="CE81" s="62">
        <f t="shared" si="94"/>
        <v>168.57746894604855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1.5783333333333318</v>
      </c>
      <c r="CT81" s="13">
        <f>IF('Données projet'!$A$140&gt;35,CT80+CS81-DB80,IF(A81&lt;'Données projet'!$A$140,$CQ$205^A81,IF(A81='Données projet'!$A$140,'Données projet'!$B$140,CT80+CS81-DB80)))</f>
        <v>96.989166666666605</v>
      </c>
      <c r="CU81" s="18">
        <f>CT81*VLOOKUP('Données projet'!$B$13,Paramètres!$A$1:$I$89,3,0)*VLOOKUP('Données projet'!$B$13,Paramètres!$A$1:$I$89,5,0)</f>
        <v>111.73151999999993</v>
      </c>
      <c r="CV81" s="14">
        <f t="shared" si="95"/>
        <v>29.738572616522461</v>
      </c>
      <c r="CW81" s="22">
        <f t="shared" si="67"/>
        <v>246.39374464044309</v>
      </c>
      <c r="CX81" s="62">
        <f t="shared" si="68"/>
        <v>539.72707797377643</v>
      </c>
      <c r="CY81" s="62">
        <f ca="1">AVERAGE(OFFSET($CX$3,0,0,'Données projet'!$E$13+1,1))-AVERAGE(OFFSET($H$3,0,0,'Données projet'!$E$13+1,1))</f>
        <v>191.79777926975839</v>
      </c>
      <c r="CZ81" s="62">
        <f t="shared" si="96"/>
        <v>156.66161375678712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4.4729999999999999</v>
      </c>
      <c r="DO81" s="13">
        <f>IF('Données projet'!$A$166&gt;35,DO80+DN81-DW80,IF(A81&lt;'Données projet'!$A$166,$DL$205^A81,IF(A81='Données projet'!$A$166,'Données projet'!$B$166,DO80+DN81-DW80)))</f>
        <v>169.32400000000001</v>
      </c>
      <c r="DP81" s="18">
        <f>DO81*VLOOKUP('Données projet'!$B$14,Paramètres!$A$1:$I$89,3,0)*VLOOKUP('Données projet'!$B$14,Paramètres!$A$1:$I$89,5,0)</f>
        <v>184.90180799999999</v>
      </c>
      <c r="DQ81" s="14">
        <f t="shared" si="97"/>
        <v>46.411036952907232</v>
      </c>
      <c r="DR81" s="22">
        <f t="shared" si="70"/>
        <v>402.8698716263134</v>
      </c>
      <c r="DS81" s="62">
        <f t="shared" si="71"/>
        <v>696.20320495964665</v>
      </c>
      <c r="DT81" s="62">
        <f ca="1">AVERAGE(OFFSET($DS$3,0,0,'Données projet'!$E$14+1,1))-AVERAGE(OFFSET($H$3,0,0,'Données projet'!$E$14+1,1))</f>
        <v>541.0854688453461</v>
      </c>
      <c r="DU81" s="62">
        <f t="shared" si="98"/>
        <v>171.04847168584473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>
        <f>VLOOKUP(A81,'Données projet'!$A$191:$I$211,2,0)</f>
        <v>366</v>
      </c>
      <c r="EH81" s="13">
        <f>VLOOKUP(A81,'Données projet'!$A$191:$I$211,9,0)</f>
        <v>11.727272727272727</v>
      </c>
      <c r="EI81" s="13">
        <f t="array" ref="EI81">INDEX(EH:EH,MIN(IF(ISNUMBER(EH81:EH277),ROW(EH81:EH277),"")))</f>
        <v>11.727272727272727</v>
      </c>
      <c r="EJ81" s="13">
        <f>IF('Données projet'!$A$192&gt;35,EJ80+EI81-ER80,IF(A81&lt;'Données projet'!$A$192,$EG$205^A81,IF(A81='Données projet'!$A$192,'Données projet'!$B$192,EJ80+EI81-ER80)))</f>
        <v>366.00000000000023</v>
      </c>
      <c r="EK81" s="18">
        <f>EJ81*VLOOKUP('Données projet'!$B$15,Paramètres!$A$1:$I$89,3,0)*VLOOKUP('Données projet'!$B$15,Paramètres!$A$1:$I$89,5,0)</f>
        <v>218.86800000000014</v>
      </c>
      <c r="EL81" s="14">
        <f t="shared" si="99"/>
        <v>53.868777293257544</v>
      </c>
      <c r="EM81" s="22">
        <f t="shared" si="73"/>
        <v>475.01655378575714</v>
      </c>
      <c r="EN81" s="62">
        <f t="shared" si="74"/>
        <v>768.34988711909045</v>
      </c>
      <c r="EO81" s="62">
        <f ca="1">AVERAGE(OFFSET($EN$3,0,0,'Données projet'!$E$15+1,1))-AVERAGE(OFFSET($H$3,0,0,'Données projet'!$E$15+1,1))</f>
        <v>244.01698421598974</v>
      </c>
      <c r="EP81" s="62">
        <f t="shared" si="100"/>
        <v>156.96653202915024</v>
      </c>
      <c r="EQ81" s="16">
        <f>IF(ISNA(VLOOKUP(A81,'Données projet'!$A$191:$I$211,3,0)),0,VLOOKUP(A81,'Données projet'!$A$191:$I$211,3,0))</f>
        <v>6</v>
      </c>
      <c r="ER81" s="16">
        <f>IF(ISNA(VLOOKUP(A81,'Données projet'!$A$191:$I$211,4,0)),0,VLOOKUP(A81,'Données projet'!$A$191:$I$211,4,0))</f>
        <v>100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0.95048057117447637</v>
      </c>
      <c r="EX81" s="23">
        <f>EXP(-LN(2)/2)*EX80+(1-EXP(-LN(2)/2))/(LN(2)/2)*ER81*EU81*VLOOKUP('Données projet'!$B$15,Paramètres!$A$1:$I$89,3,0)*0.475*44/12</f>
        <v>5.9356073561299319E-7</v>
      </c>
      <c r="EY81" s="24">
        <f t="shared" si="75"/>
        <v>0.95048116473521194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1.8</v>
      </c>
      <c r="FE81" s="13">
        <f>IF('Données projet'!$A$218&gt;35,FE80+FD81-FM80,IF(A81&lt;'Données projet'!$A$218,$FB$205^A81,IF(A81='Données projet'!$A$218,'Données projet'!$B$218,FE80+FD81-FM80)))</f>
        <v>160.39999999999992</v>
      </c>
      <c r="FF81" s="18">
        <f>FE81*VLOOKUP('Données projet'!$B$16,Paramètres!$A$1:$I$89,3,0)*VLOOKUP('Données projet'!$B$16,Paramètres!$A$1:$I$89,5,0)</f>
        <v>140.12543999999997</v>
      </c>
      <c r="FG81" s="14">
        <f t="shared" si="101"/>
        <v>36.325740539490809</v>
      </c>
      <c r="FH81" s="22">
        <f t="shared" si="76"/>
        <v>307.31913943961314</v>
      </c>
      <c r="FI81" s="62">
        <f t="shared" si="77"/>
        <v>600.65247277294645</v>
      </c>
      <c r="FJ81" s="62">
        <f ca="1">AVERAGE(OFFSET($FI$3,0,0,'Données projet'!$E$16+1,1))-AVERAGE(OFFSET($H$3,0,0,'Données projet'!$E$16+1,1))</f>
        <v>175.08726167127026</v>
      </c>
      <c r="FK81" s="62">
        <f t="shared" si="102"/>
        <v>196.05343924817117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3</v>
      </c>
      <c r="FZ81" s="13">
        <f>IF('Données projet'!$A$244&gt;35,FZ80+FY81-GH80,IF(A81&lt;'Données projet'!$A$244,$FW$205^A81,IF(A81='Données projet'!$A$244,'Données projet'!$B$244,FZ80+FY81-GH80)))</f>
        <v>139.00000000000009</v>
      </c>
      <c r="GA81" s="18">
        <f>FZ81*VLOOKUP('Données projet'!$B$17,Paramètres!$A$1:$I$89,3,0)*VLOOKUP('Données projet'!$B$17,Paramètres!$A$1:$I$89,5,0)</f>
        <v>91.072800000000058</v>
      </c>
      <c r="GB81" s="14">
        <f t="shared" si="103"/>
        <v>24.82377981733238</v>
      </c>
      <c r="GC81" s="22">
        <f t="shared" si="79"/>
        <v>201.85320984852066</v>
      </c>
      <c r="GD81" s="62">
        <f t="shared" si="80"/>
        <v>495.18654318185395</v>
      </c>
      <c r="GE81" s="62">
        <f ca="1">AVERAGE(OFFSET($GD$3,0,0,'Données projet'!$E$17+1,1))-AVERAGE(OFFSET($H$3,0,0,'Données projet'!$E$17+1,1))</f>
        <v>142.93037460866543</v>
      </c>
      <c r="GF81" s="62">
        <f t="shared" si="104"/>
        <v>146.18554498808049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3.4</v>
      </c>
      <c r="GU81" s="13">
        <f>IF('Données projet'!$A$270&gt;35,GU80+GT81-HC80,IF(A81&lt;'Données projet'!$A$270,$GR$205^A81,IF(A81='Données projet'!$A$270,'Données projet'!$B$270,GU80+GT81-HC80)))</f>
        <v>149.19999999999999</v>
      </c>
      <c r="GV81" s="18">
        <f>GU81*VLOOKUP('Données projet'!$B$18,Paramètres!$A$1:$I$89,3,0)*VLOOKUP('Données projet'!$B$18,Paramètres!$A$1:$I$89,5,0)</f>
        <v>128.0136</v>
      </c>
      <c r="GW81" s="14">
        <f t="shared" si="105"/>
        <v>33.536950088795457</v>
      </c>
      <c r="GX81" s="22">
        <f t="shared" si="82"/>
        <v>281.36720807131877</v>
      </c>
      <c r="GY81" s="62">
        <f t="shared" si="83"/>
        <v>574.70054140465209</v>
      </c>
      <c r="GZ81" s="62">
        <f ca="1">AVERAGE(OFFSET($GY$3,0,0,'Données projet'!$E$18+1,1))-AVERAGE(OFFSET($H$3,0,0,'Données projet'!$E$18+1,1))</f>
        <v>188.08607733149256</v>
      </c>
      <c r="HA81" s="62">
        <f t="shared" si="106"/>
        <v>119.95698016603842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23.620999999999977</v>
      </c>
      <c r="D82" s="12">
        <f t="shared" si="86"/>
        <v>7.5335283118505751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240.49109574060074</v>
      </c>
      <c r="H82" s="70">
        <f t="shared" si="56"/>
        <v>310.92747014313971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3.4</v>
      </c>
      <c r="N82" s="14">
        <f>IF('Données projet'!$A$36&gt;35,N81+M82-V81,IF(A82&lt;'Données projet'!$A$36,$K$205^A82,IF(A82='Données projet'!$A$36,'Données projet'!$B$36,N81+M82-V81)))</f>
        <v>152.6</v>
      </c>
      <c r="O82" s="14">
        <f>N82*VLOOKUP('Données projet'!$B$9,Paramètres!$A$1:$I$89,3,0)*VLOOKUP('Données projet'!$B$9,Paramètres!$A$1:$I$89,5,0)</f>
        <v>164.25863999999999</v>
      </c>
      <c r="P82" s="14">
        <f t="shared" si="87"/>
        <v>41.80159011374478</v>
      </c>
      <c r="Q82" s="22">
        <f t="shared" si="54"/>
        <v>358.8882341147721</v>
      </c>
      <c r="R82" s="62">
        <f t="shared" si="55"/>
        <v>652.22156744810536</v>
      </c>
      <c r="S82" s="62">
        <f ca="1">AVERAGE(OFFSET($R$3,0,0,'Données projet'!$E$9+1,1))-AVERAGE(OFFSET($H$3,0,0,'Données projet'!$E$9+1,1))</f>
        <v>236.98575892380046</v>
      </c>
      <c r="T82" s="62">
        <f t="shared" si="88"/>
        <v>145.77678223659774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3.5471153846153847</v>
      </c>
      <c r="AI82" s="14">
        <f>IF('Données projet'!$A$62&gt;35,AI81+AH82-AQ81,IF(A82&lt;'Données projet'!$A$62,$AF$205^A82,IF(A82='Données projet'!$A$62,'Données projet'!$B$62,AI81+AH82-AQ81)))</f>
        <v>130.24326923076922</v>
      </c>
      <c r="AJ82" s="14">
        <f>AI82*VLOOKUP('Données projet'!$B$10,Paramètres!$A$1:$I$89,3,0)*VLOOKUP('Données projet'!$B$10,Paramètres!$A$1:$I$89,5,0)</f>
        <v>76.1923125</v>
      </c>
      <c r="AK82" s="14">
        <f t="shared" si="89"/>
        <v>21.203558921018757</v>
      </c>
      <c r="AL82" s="22">
        <f t="shared" si="58"/>
        <v>169.63114272494099</v>
      </c>
      <c r="AM82" s="62">
        <f t="shared" si="59"/>
        <v>462.96447605827427</v>
      </c>
      <c r="AN82" s="62">
        <f ca="1">AVERAGE(OFFSET($AM$3,0,0,'Données projet'!$E$10+1,1))-AVERAGE(OFFSET($H$3,0,0,'Données projet'!$E$10+1,1))</f>
        <v>140.04898296125504</v>
      </c>
      <c r="AO82" s="62">
        <f t="shared" si="90"/>
        <v>129.5395511270716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8.9320512820512761</v>
      </c>
      <c r="BD82" s="13">
        <f>IF('Données projet'!$A$88&gt;35,BD81+BC82-BL81,IF(A82&lt;'Données projet'!$A$88,$BA$205^A82,IF(A82='Données projet'!$A$88,'Données projet'!$B$88,BD81+BC82-BL81)))</f>
        <v>310.8435897435894</v>
      </c>
      <c r="BE82" s="14">
        <f>BD82*VLOOKUP('Données projet'!$B$11,Paramètres!$A$1:$I$89,3,0)*VLOOKUP('Données projet'!$B$11,Paramètres!$A$1:$I$89,5,0)</f>
        <v>145.47479999999985</v>
      </c>
      <c r="BF82" s="14">
        <f t="shared" si="91"/>
        <v>37.548391497194409</v>
      </c>
      <c r="BG82" s="22">
        <f t="shared" si="61"/>
        <v>318.76539185761334</v>
      </c>
      <c r="BH82" s="62">
        <f t="shared" si="62"/>
        <v>612.09872519094665</v>
      </c>
      <c r="BI82" s="62">
        <f ca="1">AVERAGE(OFFSET($BH$3,0,0,'Données projet'!$E$11+1,1))-AVERAGE(OFFSET($H$3,0,0,'Données projet'!$E$11+1,1))</f>
        <v>207.84100251878419</v>
      </c>
      <c r="BJ82" s="62">
        <f t="shared" si="92"/>
        <v>124.34917784241952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2.0200000000000045</v>
      </c>
      <c r="BY82" s="13">
        <f>IF('Données projet'!$A$114&gt;35,BY81+BX82-CG81,IF(A82&lt;'Données projet'!$A$114,$BV$205^A82,IF(A82='Données projet'!$A$114,'Données projet'!$B$114,BY81+BX82-CG81)))</f>
        <v>286.27999999999975</v>
      </c>
      <c r="BZ82" s="14">
        <f>BY82*VLOOKUP('Données projet'!$B$12,Paramètres!$A$1:$I$89,3,0)*VLOOKUP('Données projet'!$B$12,Paramètres!$A$1:$I$89,5,0)</f>
        <v>148.86559999999989</v>
      </c>
      <c r="CA82" s="14">
        <f t="shared" si="93"/>
        <v>38.320675361198653</v>
      </c>
      <c r="CB82" s="22">
        <f t="shared" si="64"/>
        <v>326.01609625408747</v>
      </c>
      <c r="CC82" s="62">
        <f t="shared" si="65"/>
        <v>619.34942958742079</v>
      </c>
      <c r="CD82" s="62">
        <f ca="1">AVERAGE(OFFSET($CC$3,0,0,'Données projet'!$E$12+1,1))-AVERAGE(OFFSET($H$3,0,0,'Données projet'!$E$12+1,1))</f>
        <v>211.05980622218578</v>
      </c>
      <c r="CE82" s="62">
        <f t="shared" si="94"/>
        <v>168.57746894604855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1.5783333333333318</v>
      </c>
      <c r="CT82" s="13">
        <f>IF('Données projet'!$A$140&gt;35,CT81+CS82-DB81,IF(A82&lt;'Données projet'!$A$140,$CQ$205^A82,IF(A82='Données projet'!$A$140,'Données projet'!$B$140,CT81+CS82-DB81)))</f>
        <v>98.567499999999939</v>
      </c>
      <c r="CU82" s="18">
        <f>CT82*VLOOKUP('Données projet'!$B$13,Paramètres!$A$1:$I$89,3,0)*VLOOKUP('Données projet'!$B$13,Paramètres!$A$1:$I$89,5,0)</f>
        <v>113.54975999999992</v>
      </c>
      <c r="CV82" s="14">
        <f t="shared" si="95"/>
        <v>30.165783474102916</v>
      </c>
      <c r="CW82" s="22">
        <f t="shared" si="67"/>
        <v>250.30457155072909</v>
      </c>
      <c r="CX82" s="62">
        <f t="shared" si="68"/>
        <v>543.63790488406244</v>
      </c>
      <c r="CY82" s="62">
        <f ca="1">AVERAGE(OFFSET($CX$3,0,0,'Données projet'!$E$13+1,1))-AVERAGE(OFFSET($H$3,0,0,'Données projet'!$E$13+1,1))</f>
        <v>191.79777926975839</v>
      </c>
      <c r="CZ82" s="62">
        <f t="shared" si="96"/>
        <v>156.66161375678712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4.4729999999999999</v>
      </c>
      <c r="DO82" s="13">
        <f>IF('Données projet'!$A$166&gt;35,DO81+DN82-DW81,IF(A82&lt;'Données projet'!$A$166,$DL$205^A82,IF(A82='Données projet'!$A$166,'Données projet'!$B$166,DO81+DN82-DW81)))</f>
        <v>173.79700000000003</v>
      </c>
      <c r="DP82" s="18">
        <f>DO82*VLOOKUP('Données projet'!$B$14,Paramètres!$A$1:$I$89,3,0)*VLOOKUP('Données projet'!$B$14,Paramètres!$A$1:$I$89,5,0)</f>
        <v>189.78632400000004</v>
      </c>
      <c r="DQ82" s="14">
        <f t="shared" si="97"/>
        <v>47.492709028134868</v>
      </c>
      <c r="DR82" s="22">
        <f t="shared" si="70"/>
        <v>413.26098252400158</v>
      </c>
      <c r="DS82" s="62">
        <f t="shared" si="71"/>
        <v>706.59431585733489</v>
      </c>
      <c r="DT82" s="62">
        <f ca="1">AVERAGE(OFFSET($DS$3,0,0,'Données projet'!$E$14+1,1))-AVERAGE(OFFSET($H$3,0,0,'Données projet'!$E$14+1,1))</f>
        <v>541.0854688453461</v>
      </c>
      <c r="DU82" s="62">
        <f t="shared" si="98"/>
        <v>171.04847168584473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9.8461538461538467</v>
      </c>
      <c r="EJ82" s="13">
        <f>IF('Données projet'!$A$192&gt;35,EJ81+EI82-ER81,IF(A82&lt;'Données projet'!$A$192,$EG$205^A82,IF(A82='Données projet'!$A$192,'Données projet'!$B$192,EJ81+EI82-ER81)))</f>
        <v>275.8461538461541</v>
      </c>
      <c r="EK82" s="18">
        <f>EJ82*VLOOKUP('Données projet'!$B$15,Paramètres!$A$1:$I$89,3,0)*VLOOKUP('Données projet'!$B$15,Paramètres!$A$1:$I$89,5,0)</f>
        <v>164.95600000000016</v>
      </c>
      <c r="EL82" s="14">
        <f t="shared" si="99"/>
        <v>41.958362715874756</v>
      </c>
      <c r="EM82" s="22">
        <f t="shared" si="73"/>
        <v>360.37584839681546</v>
      </c>
      <c r="EN82" s="62">
        <f t="shared" si="74"/>
        <v>653.70918173014877</v>
      </c>
      <c r="EO82" s="62">
        <f ca="1">AVERAGE(OFFSET($EN$3,0,0,'Données projet'!$E$15+1,1))-AVERAGE(OFFSET($H$3,0,0,'Données projet'!$E$15+1,1))</f>
        <v>244.01698421598974</v>
      </c>
      <c r="EP82" s="62">
        <f t="shared" si="100"/>
        <v>156.96653202915024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0.92448962997210948</v>
      </c>
      <c r="EX82" s="23">
        <f>EXP(-LN(2)/2)*EX81+(1-EXP(-LN(2)/2))/(LN(2)/2)*ER82*EU82*VLOOKUP('Données projet'!$B$15,Paramètres!$A$1:$I$89,3,0)*0.475*44/12</f>
        <v>4.1971082119802297E-7</v>
      </c>
      <c r="EY82" s="24">
        <f t="shared" si="75"/>
        <v>0.92449004968293069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1.8</v>
      </c>
      <c r="FE82" s="13">
        <f>IF('Données projet'!$A$218&gt;35,FE81+FD82-FM81,IF(A82&lt;'Données projet'!$A$218,$FB$205^A82,IF(A82='Données projet'!$A$218,'Données projet'!$B$218,FE81+FD82-FM81)))</f>
        <v>162.19999999999993</v>
      </c>
      <c r="FF82" s="18">
        <f>FE82*VLOOKUP('Données projet'!$B$16,Paramètres!$A$1:$I$89,3,0)*VLOOKUP('Données projet'!$B$16,Paramètres!$A$1:$I$89,5,0)</f>
        <v>141.69791999999995</v>
      </c>
      <c r="FG82" s="14">
        <f t="shared" si="101"/>
        <v>36.685701801209362</v>
      </c>
      <c r="FH82" s="22">
        <f t="shared" si="76"/>
        <v>310.68480797043952</v>
      </c>
      <c r="FI82" s="62">
        <f t="shared" si="77"/>
        <v>604.01814130377284</v>
      </c>
      <c r="FJ82" s="62">
        <f ca="1">AVERAGE(OFFSET($FI$3,0,0,'Données projet'!$E$16+1,1))-AVERAGE(OFFSET($H$3,0,0,'Données projet'!$E$16+1,1))</f>
        <v>175.08726167127026</v>
      </c>
      <c r="FK82" s="62">
        <f t="shared" si="102"/>
        <v>196.05343924817117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3</v>
      </c>
      <c r="FZ82" s="13">
        <f>IF('Données projet'!$A$244&gt;35,FZ81+FY82-GH81,IF(A82&lt;'Données projet'!$A$244,$FW$205^A82,IF(A82='Données projet'!$A$244,'Données projet'!$B$244,FZ81+FY82-GH81)))</f>
        <v>142.00000000000009</v>
      </c>
      <c r="GA82" s="18">
        <f>FZ82*VLOOKUP('Données projet'!$B$17,Paramètres!$A$1:$I$89,3,0)*VLOOKUP('Données projet'!$B$17,Paramètres!$A$1:$I$89,5,0)</f>
        <v>93.038400000000053</v>
      </c>
      <c r="GB82" s="14">
        <f t="shared" si="103"/>
        <v>25.296591874437105</v>
      </c>
      <c r="GC82" s="22">
        <f t="shared" si="79"/>
        <v>206.10011084797804</v>
      </c>
      <c r="GD82" s="62">
        <f t="shared" si="80"/>
        <v>499.43344418131136</v>
      </c>
      <c r="GE82" s="62">
        <f ca="1">AVERAGE(OFFSET($GD$3,0,0,'Données projet'!$E$17+1,1))-AVERAGE(OFFSET($H$3,0,0,'Données projet'!$E$17+1,1))</f>
        <v>142.93037460866543</v>
      </c>
      <c r="GF82" s="62">
        <f t="shared" si="104"/>
        <v>146.18554498808049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3.4</v>
      </c>
      <c r="GU82" s="13">
        <f>IF('Données projet'!$A$270&gt;35,GU81+GT82-HC81,IF(A82&lt;'Données projet'!$A$270,$GR$205^A82,IF(A82='Données projet'!$A$270,'Données projet'!$B$270,GU81+GT82-HC81)))</f>
        <v>152.6</v>
      </c>
      <c r="GV82" s="18">
        <f>GU82*VLOOKUP('Données projet'!$B$18,Paramètres!$A$1:$I$89,3,0)*VLOOKUP('Données projet'!$B$18,Paramètres!$A$1:$I$89,5,0)</f>
        <v>130.9308</v>
      </c>
      <c r="GW82" s="14">
        <f t="shared" si="105"/>
        <v>34.211350494649842</v>
      </c>
      <c r="GX82" s="22">
        <f t="shared" si="82"/>
        <v>287.62257877818178</v>
      </c>
      <c r="GY82" s="62">
        <f t="shared" si="83"/>
        <v>580.95591211151509</v>
      </c>
      <c r="GZ82" s="62">
        <f ca="1">AVERAGE(OFFSET($GY$3,0,0,'Données projet'!$E$18+1,1))-AVERAGE(OFFSET($H$3,0,0,'Données projet'!$E$18+1,1))</f>
        <v>188.08607733149256</v>
      </c>
      <c r="HA82" s="62">
        <f t="shared" si="106"/>
        <v>119.95698016603842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23.919999999999977</v>
      </c>
      <c r="D83" s="12">
        <f t="shared" si="86"/>
        <v>7.617727610183219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243.44912541194049</v>
      </c>
      <c r="H83" s="70">
        <f t="shared" si="56"/>
        <v>311.59487558773577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156</v>
      </c>
      <c r="L83" s="13">
        <f>VLOOKUP(A83,'Données projet'!$A$35:$I$55,9,0)</f>
        <v>3.4</v>
      </c>
      <c r="M83" s="13">
        <f t="array" ref="M83">INDEX(L:L,MIN(IF(ISNUMBER(L83:L279),ROW(L83:L279),"")))</f>
        <v>3.4</v>
      </c>
      <c r="N83" s="14">
        <f>IF('Données projet'!$A$36&gt;35,N82+M83-V82,IF(A83&lt;'Données projet'!$A$36,$K$205^A83,IF(A83='Données projet'!$A$36,'Données projet'!$B$36,N82+M83-V82)))</f>
        <v>156</v>
      </c>
      <c r="O83" s="14">
        <f>N83*VLOOKUP('Données projet'!$B$9,Paramètres!$A$1:$I$89,3,0)*VLOOKUP('Données projet'!$B$9,Paramètres!$A$1:$I$89,5,0)</f>
        <v>167.91839999999999</v>
      </c>
      <c r="P83" s="14">
        <f t="shared" si="87"/>
        <v>42.623480667123864</v>
      </c>
      <c r="Q83" s="22">
        <f t="shared" si="54"/>
        <v>366.69377549524069</v>
      </c>
      <c r="R83" s="62">
        <f t="shared" si="55"/>
        <v>660.027108828574</v>
      </c>
      <c r="S83" s="62">
        <f ca="1">AVERAGE(OFFSET($R$3,0,0,'Données projet'!$E$9+1,1))-AVERAGE(OFFSET($H$3,0,0,'Données projet'!$E$9+1,1))</f>
        <v>236.98575892380046</v>
      </c>
      <c r="T83" s="62">
        <f t="shared" si="88"/>
        <v>145.77678223659774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19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3.5471153846153847</v>
      </c>
      <c r="AI83" s="14">
        <f>IF('Données projet'!$A$62&gt;35,AI82+AH83-AQ82,IF(A83&lt;'Données projet'!$A$62,$AF$205^A83,IF(A83='Données projet'!$A$62,'Données projet'!$B$62,AI82+AH83-AQ82)))</f>
        <v>133.7903846153846</v>
      </c>
      <c r="AJ83" s="14">
        <f>AI83*VLOOKUP('Données projet'!$B$10,Paramètres!$A$1:$I$89,3,0)*VLOOKUP('Données projet'!$B$10,Paramètres!$A$1:$I$89,5,0)</f>
        <v>78.267374999999987</v>
      </c>
      <c r="AK83" s="14">
        <f t="shared" si="89"/>
        <v>21.713009968591095</v>
      </c>
      <c r="AL83" s="22">
        <f t="shared" si="58"/>
        <v>174.13250382029614</v>
      </c>
      <c r="AM83" s="62">
        <f t="shared" si="59"/>
        <v>467.46583715362942</v>
      </c>
      <c r="AN83" s="62">
        <f ca="1">AVERAGE(OFFSET($AM$3,0,0,'Données projet'!$E$10+1,1))-AVERAGE(OFFSET($H$3,0,0,'Données projet'!$E$10+1,1))</f>
        <v>140.04898296125504</v>
      </c>
      <c r="AO83" s="62">
        <f t="shared" si="90"/>
        <v>129.5395511270716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8.9320512820512761</v>
      </c>
      <c r="BD83" s="13">
        <f>IF('Données projet'!$A$88&gt;35,BD82+BC83-BL82,IF(A83&lt;'Données projet'!$A$88,$BA$205^A83,IF(A83='Données projet'!$A$88,'Données projet'!$B$88,BD82+BC83-BL82)))</f>
        <v>319.77564102564065</v>
      </c>
      <c r="BE83" s="14">
        <f>BD83*VLOOKUP('Données projet'!$B$11,Paramètres!$A$1:$I$89,3,0)*VLOOKUP('Données projet'!$B$11,Paramètres!$A$1:$I$89,5,0)</f>
        <v>149.65499999999983</v>
      </c>
      <c r="BF83" s="14">
        <f t="shared" si="91"/>
        <v>38.500172628917376</v>
      </c>
      <c r="BG83" s="22">
        <f t="shared" si="61"/>
        <v>327.70359232869743</v>
      </c>
      <c r="BH83" s="62">
        <f t="shared" si="62"/>
        <v>621.03692566203074</v>
      </c>
      <c r="BI83" s="62">
        <f ca="1">AVERAGE(OFFSET($BH$3,0,0,'Données projet'!$E$11+1,1))-AVERAGE(OFFSET($H$3,0,0,'Données projet'!$E$11+1,1))</f>
        <v>207.84100251878419</v>
      </c>
      <c r="BJ83" s="62">
        <f t="shared" si="92"/>
        <v>124.34917784241952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288.3</v>
      </c>
      <c r="BW83" s="13">
        <f>VLOOKUP(A83,'Données projet'!$A$113:$I$133,9,0)</f>
        <v>2.0200000000000045</v>
      </c>
      <c r="BX83" s="13">
        <f t="array" ref="BX83">INDEX(BW:BW,MIN(IF(ISNUMBER(BW83:BW279),ROW(BW83:BW279),"")))</f>
        <v>2.0200000000000045</v>
      </c>
      <c r="BY83" s="13">
        <f>IF('Données projet'!$A$114&gt;35,BY82+BX83-CG82,IF(A83&lt;'Données projet'!$A$114,$BV$205^A83,IF(A83='Données projet'!$A$114,'Données projet'!$B$114,BY82+BX83-CG82)))</f>
        <v>288.29999999999973</v>
      </c>
      <c r="BZ83" s="14">
        <f>BY83*VLOOKUP('Données projet'!$B$12,Paramètres!$A$1:$I$89,3,0)*VLOOKUP('Données projet'!$B$12,Paramètres!$A$1:$I$89,5,0)</f>
        <v>149.91599999999985</v>
      </c>
      <c r="CA83" s="14">
        <f t="shared" si="93"/>
        <v>38.559495697142879</v>
      </c>
      <c r="CB83" s="22">
        <f t="shared" si="64"/>
        <v>328.26148833919024</v>
      </c>
      <c r="CC83" s="62">
        <f t="shared" si="65"/>
        <v>621.59482167252349</v>
      </c>
      <c r="CD83" s="62">
        <f ca="1">AVERAGE(OFFSET($CC$3,0,0,'Données projet'!$E$12+1,1))-AVERAGE(OFFSET($H$3,0,0,'Données projet'!$E$12+1,1))</f>
        <v>211.05980622218578</v>
      </c>
      <c r="CE83" s="62">
        <f t="shared" si="94"/>
        <v>168.57746894604855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100.14583333333333</v>
      </c>
      <c r="CR83" s="13">
        <f>VLOOKUP(A83,'Données projet'!$A$139:$I$159,9,0)</f>
        <v>1.5783333333333318</v>
      </c>
      <c r="CS83" s="13">
        <f t="array" ref="CS83">INDEX(CR:CR,MIN(IF(ISNUMBER(CR83:CR279),ROW(CR83:CR279),"")))</f>
        <v>1.5783333333333318</v>
      </c>
      <c r="CT83" s="13">
        <f>IF('Données projet'!$A$140&gt;35,CT82+CS83-DB82,IF(A83&lt;'Données projet'!$A$140,$CQ$205^A83,IF(A83='Données projet'!$A$140,'Données projet'!$B$140,CT82+CS83-DB82)))</f>
        <v>100.14583333333327</v>
      </c>
      <c r="CU83" s="18">
        <f>CT83*VLOOKUP('Données projet'!$B$13,Paramètres!$A$1:$I$89,3,0)*VLOOKUP('Données projet'!$B$13,Paramètres!$A$1:$I$89,5,0)</f>
        <v>115.36799999999992</v>
      </c>
      <c r="CV83" s="14">
        <f t="shared" si="95"/>
        <v>30.592198767544506</v>
      </c>
      <c r="CW83" s="22">
        <f t="shared" si="67"/>
        <v>254.21401285347324</v>
      </c>
      <c r="CX83" s="62">
        <f t="shared" si="68"/>
        <v>547.54734618680652</v>
      </c>
      <c r="CY83" s="62">
        <f ca="1">AVERAGE(OFFSET($CX$3,0,0,'Données projet'!$E$13+1,1))-AVERAGE(OFFSET($H$3,0,0,'Données projet'!$E$13+1,1))</f>
        <v>191.79777926975839</v>
      </c>
      <c r="CZ83" s="62">
        <f t="shared" si="96"/>
        <v>156.66161375678712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9.1666666666666679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4.4729999999999999</v>
      </c>
      <c r="DO83" s="13">
        <f>IF('Données projet'!$A$166&gt;35,DO82+DN83-DW82,IF(A83&lt;'Données projet'!$A$166,$DL$205^A83,IF(A83='Données projet'!$A$166,'Données projet'!$B$166,DO82+DN83-DW82)))</f>
        <v>178.27000000000004</v>
      </c>
      <c r="DP83" s="18">
        <f>DO83*VLOOKUP('Données projet'!$B$14,Paramètres!$A$1:$I$89,3,0)*VLOOKUP('Données projet'!$B$14,Paramètres!$A$1:$I$89,5,0)</f>
        <v>194.67084000000003</v>
      </c>
      <c r="DQ83" s="14">
        <f t="shared" si="97"/>
        <v>48.571145125594285</v>
      </c>
      <c r="DR83" s="22">
        <f t="shared" si="70"/>
        <v>423.64645742707671</v>
      </c>
      <c r="DS83" s="62">
        <f t="shared" si="71"/>
        <v>716.97979076040997</v>
      </c>
      <c r="DT83" s="62">
        <f ca="1">AVERAGE(OFFSET($DS$3,0,0,'Données projet'!$E$14+1,1))-AVERAGE(OFFSET($H$3,0,0,'Données projet'!$E$14+1,1))</f>
        <v>541.0854688453461</v>
      </c>
      <c r="DU83" s="62">
        <f t="shared" si="98"/>
        <v>171.04847168584473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9.8461538461538467</v>
      </c>
      <c r="EJ83" s="13">
        <f>IF('Données projet'!$A$192&gt;35,EJ82+EI83-ER82,IF(A83&lt;'Données projet'!$A$192,$EG$205^A83,IF(A83='Données projet'!$A$192,'Données projet'!$B$192,EJ82+EI83-ER82)))</f>
        <v>285.69230769230796</v>
      </c>
      <c r="EK83" s="18">
        <f>EJ83*VLOOKUP('Données projet'!$B$15,Paramètres!$A$1:$I$89,3,0)*VLOOKUP('Données projet'!$B$15,Paramètres!$A$1:$I$89,5,0)</f>
        <v>170.84400000000016</v>
      </c>
      <c r="EL83" s="14">
        <f t="shared" si="99"/>
        <v>43.278996990911551</v>
      </c>
      <c r="EM83" s="22">
        <f t="shared" si="73"/>
        <v>372.93088642583785</v>
      </c>
      <c r="EN83" s="62">
        <f t="shared" si="74"/>
        <v>666.26421975917117</v>
      </c>
      <c r="EO83" s="62">
        <f ca="1">AVERAGE(OFFSET($EN$3,0,0,'Données projet'!$E$15+1,1))-AVERAGE(OFFSET($H$3,0,0,'Données projet'!$E$15+1,1))</f>
        <v>244.01698421598974</v>
      </c>
      <c r="EP83" s="62">
        <f t="shared" si="100"/>
        <v>156.96653202915024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0.89920941242372543</v>
      </c>
      <c r="EX83" s="23">
        <f>EXP(-LN(2)/2)*EX82+(1-EXP(-LN(2)/2))/(LN(2)/2)*ER83*EU83*VLOOKUP('Données projet'!$B$15,Paramètres!$A$1:$I$89,3,0)*0.475*44/12</f>
        <v>2.9678036780649659E-7</v>
      </c>
      <c r="EY83" s="24">
        <f t="shared" si="75"/>
        <v>0.89920970920409327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164</v>
      </c>
      <c r="FC83" s="13">
        <f>VLOOKUP(A83,'Données projet'!$A$217:$I$237,9,0)</f>
        <v>1.8</v>
      </c>
      <c r="FD83" s="13">
        <f t="array" ref="FD83">INDEX(FC:FC,MIN(IF(ISNUMBER(FC83:FC279),ROW(FC83:FC279),"")))</f>
        <v>1.8</v>
      </c>
      <c r="FE83" s="13">
        <f>IF('Données projet'!$A$218&gt;35,FE82+FD83-FM82,IF(A83&lt;'Données projet'!$A$218,$FB$205^A83,IF(A83='Données projet'!$A$218,'Données projet'!$B$218,FE82+FD83-FM82)))</f>
        <v>163.99999999999994</v>
      </c>
      <c r="FF83" s="18">
        <f>FE83*VLOOKUP('Données projet'!$B$16,Paramètres!$A$1:$I$89,3,0)*VLOOKUP('Données projet'!$B$16,Paramètres!$A$1:$I$89,5,0)</f>
        <v>143.27039999999997</v>
      </c>
      <c r="FG83" s="14">
        <f t="shared" si="101"/>
        <v>37.045198377171303</v>
      </c>
      <c r="FH83" s="22">
        <f t="shared" si="76"/>
        <v>314.04966717357325</v>
      </c>
      <c r="FI83" s="62">
        <f t="shared" si="77"/>
        <v>607.38300050690657</v>
      </c>
      <c r="FJ83" s="62">
        <f ca="1">AVERAGE(OFFSET($FI$3,0,0,'Données projet'!$E$16+1,1))-AVERAGE(OFFSET($H$3,0,0,'Données projet'!$E$16+1,1))</f>
        <v>175.08726167127026</v>
      </c>
      <c r="FK83" s="62">
        <f t="shared" si="102"/>
        <v>196.05343924817117</v>
      </c>
      <c r="FL83" s="16">
        <f>IF(ISNA(VLOOKUP(A83,'Données projet'!$A$217:$I$237,3,0)),0,VLOOKUP(A83,'Données projet'!$A$217:$I$237,3,0))</f>
        <v>6</v>
      </c>
      <c r="FM83" s="16">
        <f>IF(ISNA(VLOOKUP(A83,'Données projet'!$A$217:$I$237,4,0)),0,VLOOKUP(A83,'Données projet'!$A$217:$I$237,4,0))</f>
        <v>164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145</v>
      </c>
      <c r="FX83" s="13">
        <f>VLOOKUP(A83,'Données projet'!$A$243:$I$263,9,0)</f>
        <v>3</v>
      </c>
      <c r="FY83" s="13">
        <f t="array" ref="FY83">INDEX(FX:FX,MIN(IF(ISNUMBER(FX83:FX279),ROW(FX83:FX279),"")))</f>
        <v>3</v>
      </c>
      <c r="FZ83" s="13">
        <f>IF('Données projet'!$A$244&gt;35,FZ82+FY83-GH82,IF(A83&lt;'Données projet'!$A$244,$FW$205^A83,IF(A83='Données projet'!$A$244,'Données projet'!$B$244,FZ82+FY83-GH82)))</f>
        <v>145.00000000000009</v>
      </c>
      <c r="GA83" s="18">
        <f>FZ83*VLOOKUP('Données projet'!$B$17,Paramètres!$A$1:$I$89,3,0)*VLOOKUP('Données projet'!$B$17,Paramètres!$A$1:$I$89,5,0)</f>
        <v>95.004000000000062</v>
      </c>
      <c r="GB83" s="14">
        <f t="shared" si="103"/>
        <v>25.768242550600785</v>
      </c>
      <c r="GC83" s="22">
        <f t="shared" si="79"/>
        <v>210.34498910896312</v>
      </c>
      <c r="GD83" s="62">
        <f t="shared" si="80"/>
        <v>503.67832244229646</v>
      </c>
      <c r="GE83" s="62">
        <f ca="1">AVERAGE(OFFSET($GD$3,0,0,'Données projet'!$E$17+1,1))-AVERAGE(OFFSET($H$3,0,0,'Données projet'!$E$17+1,1))</f>
        <v>142.93037460866543</v>
      </c>
      <c r="GF83" s="62">
        <f t="shared" si="104"/>
        <v>146.18554498808049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156</v>
      </c>
      <c r="GS83" s="13">
        <f>VLOOKUP(A83,'Données projet'!$A$269:$I$289,9,0)</f>
        <v>3.4</v>
      </c>
      <c r="GT83" s="13">
        <f t="array" ref="GT83">INDEX(GS:GS,MIN(IF(ISNUMBER(GS83:GS279),ROW(GS83:GS279),"")))</f>
        <v>3.4</v>
      </c>
      <c r="GU83" s="13">
        <f>IF('Données projet'!$A$270&gt;35,GU82+GT83-HC82,IF(A83&lt;'Données projet'!$A$270,$GR$205^A83,IF(A83='Données projet'!$A$270,'Données projet'!$B$270,GU82+GT83-HC82)))</f>
        <v>156</v>
      </c>
      <c r="GV83" s="18">
        <f>GU83*VLOOKUP('Données projet'!$B$18,Paramètres!$A$1:$I$89,3,0)*VLOOKUP('Données projet'!$B$18,Paramètres!$A$1:$I$89,5,0)</f>
        <v>133.84800000000001</v>
      </c>
      <c r="GW83" s="14">
        <f t="shared" si="105"/>
        <v>34.884003992121691</v>
      </c>
      <c r="GX83" s="22">
        <f t="shared" si="82"/>
        <v>293.87490695294525</v>
      </c>
      <c r="GY83" s="62">
        <f t="shared" si="83"/>
        <v>587.20824028627862</v>
      </c>
      <c r="GZ83" s="62">
        <f ca="1">AVERAGE(OFFSET($GY$3,0,0,'Données projet'!$E$18+1,1))-AVERAGE(OFFSET($H$3,0,0,'Données projet'!$E$18+1,1))</f>
        <v>188.08607733149256</v>
      </c>
      <c r="HA83" s="62">
        <f t="shared" si="106"/>
        <v>119.95698016603842</v>
      </c>
      <c r="HB83" s="16">
        <f>IF(ISNA(VLOOKUP(A83,'Données projet'!$A$269:$I$289,3,0)),0,VLOOKUP(A83,'Données projet'!$A$269:$I$289,3,0))</f>
        <v>6</v>
      </c>
      <c r="HC83" s="16">
        <f>IF(ISNA(VLOOKUP(A83,'Données projet'!$A$269:$I$289,4,0)),0,VLOOKUP(A83,'Données projet'!$A$269:$I$289,4,0))</f>
        <v>19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24.218999999999976</v>
      </c>
      <c r="D84" s="12">
        <f t="shared" si="86"/>
        <v>7.7018044842482336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246.40621005384583</v>
      </c>
      <c r="H84" s="70">
        <f t="shared" si="56"/>
        <v>312.26206781006567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</v>
      </c>
      <c r="N84" s="14">
        <f>IF('Données projet'!$A$36&gt;35,N83+M84-V83,IF(A84&lt;'Données projet'!$A$36,$K$205^A84,IF(A84='Données projet'!$A$36,'Données projet'!$B$36,N83+M84-V83)))</f>
        <v>140</v>
      </c>
      <c r="O84" s="14">
        <f>N84*VLOOKUP('Données projet'!$B$9,Paramètres!$A$1:$I$89,3,0)*VLOOKUP('Données projet'!$B$9,Paramètres!$A$1:$I$89,5,0)</f>
        <v>150.696</v>
      </c>
      <c r="P84" s="14">
        <f t="shared" si="87"/>
        <v>38.736711478840633</v>
      </c>
      <c r="Q84" s="22">
        <f t="shared" si="54"/>
        <v>329.92863915898073</v>
      </c>
      <c r="R84" s="62">
        <f t="shared" si="55"/>
        <v>623.26197249231404</v>
      </c>
      <c r="S84" s="62">
        <f ca="1">AVERAGE(OFFSET($R$3,0,0,'Données projet'!$E$9+1,1))-AVERAGE(OFFSET($H$3,0,0,'Données projet'!$E$9+1,1))</f>
        <v>236.98575892380046</v>
      </c>
      <c r="T84" s="62">
        <f t="shared" si="88"/>
        <v>145.77678223659774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3.5471153846153847</v>
      </c>
      <c r="AI84" s="14">
        <f>IF('Données projet'!$A$62&gt;35,AI83+AH84-AQ83,IF(A84&lt;'Données projet'!$A$62,$AF$205^A84,IF(A84='Données projet'!$A$62,'Données projet'!$B$62,AI83+AH84-AQ83)))</f>
        <v>137.33749999999998</v>
      </c>
      <c r="AJ84" s="14">
        <f>AI84*VLOOKUP('Données projet'!$B$10,Paramètres!$A$1:$I$89,3,0)*VLOOKUP('Données projet'!$B$10,Paramètres!$A$1:$I$89,5,0)</f>
        <v>80.342437499999988</v>
      </c>
      <c r="AK84" s="14">
        <f t="shared" si="89"/>
        <v>22.220891052260587</v>
      </c>
      <c r="AL84" s="22">
        <f t="shared" si="58"/>
        <v>178.63113056185384</v>
      </c>
      <c r="AM84" s="62">
        <f t="shared" si="59"/>
        <v>471.96446389518712</v>
      </c>
      <c r="AN84" s="62">
        <f ca="1">AVERAGE(OFFSET($AM$3,0,0,'Données projet'!$E$10+1,1))-AVERAGE(OFFSET($H$3,0,0,'Données projet'!$E$10+1,1))</f>
        <v>140.04898296125504</v>
      </c>
      <c r="AO84" s="62">
        <f t="shared" si="90"/>
        <v>129.5395511270716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>
        <f>VLOOKUP(A84,'Données projet'!$A$87:$I$107,2,0)</f>
        <v>328.7076923076923</v>
      </c>
      <c r="BB84" s="13">
        <f>VLOOKUP(A84,'Données projet'!$A$87:$I$107,9,0)</f>
        <v>8.9320512820512761</v>
      </c>
      <c r="BC84" s="13">
        <f t="array" ref="BC84">INDEX(BB:BB,MIN(IF(ISNUMBER(BB84:BB280),ROW(BB84:BB280),"")))</f>
        <v>8.9320512820512761</v>
      </c>
      <c r="BD84" s="13">
        <f>IF('Données projet'!$A$88&gt;35,BD83+BC84-BL83,IF(A84&lt;'Données projet'!$A$88,$BA$205^A84,IF(A84='Données projet'!$A$88,'Données projet'!$B$88,BD83+BC84-BL83)))</f>
        <v>328.7076923076919</v>
      </c>
      <c r="BE84" s="14">
        <f>BD84*VLOOKUP('Données projet'!$B$11,Paramètres!$A$1:$I$89,3,0)*VLOOKUP('Données projet'!$B$11,Paramètres!$A$1:$I$89,5,0)</f>
        <v>153.83519999999982</v>
      </c>
      <c r="BF84" s="14">
        <f t="shared" si="91"/>
        <v>39.44886382269889</v>
      </c>
      <c r="BG84" s="22">
        <f t="shared" si="61"/>
        <v>336.63641115786692</v>
      </c>
      <c r="BH84" s="62">
        <f t="shared" si="62"/>
        <v>629.96974449120023</v>
      </c>
      <c r="BI84" s="62">
        <f ca="1">AVERAGE(OFFSET($BH$3,0,0,'Données projet'!$E$11+1,1))-AVERAGE(OFFSET($H$3,0,0,'Données projet'!$E$11+1,1))</f>
        <v>207.84100251878419</v>
      </c>
      <c r="BJ84" s="62">
        <f t="shared" si="92"/>
        <v>124.34917784241952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1.7799999999999954</v>
      </c>
      <c r="BY84" s="13">
        <f>IF('Données projet'!$A$114&gt;35,BY83+BX84-CG83,IF(A84&lt;'Données projet'!$A$114,$BV$205^A84,IF(A84='Données projet'!$A$114,'Données projet'!$B$114,BY83+BX84-CG83)))</f>
        <v>290.0799999999997</v>
      </c>
      <c r="BZ84" s="14">
        <f>BY84*VLOOKUP('Données projet'!$B$12,Paramètres!$A$1:$I$89,3,0)*VLOOKUP('Données projet'!$B$12,Paramètres!$A$1:$I$89,5,0)</f>
        <v>150.84159999999986</v>
      </c>
      <c r="CA84" s="14">
        <f t="shared" si="93"/>
        <v>38.769779917742092</v>
      </c>
      <c r="CB84" s="22">
        <f t="shared" si="64"/>
        <v>330.23982002340057</v>
      </c>
      <c r="CC84" s="62">
        <f t="shared" si="65"/>
        <v>623.57315335673388</v>
      </c>
      <c r="CD84" s="62">
        <f ca="1">AVERAGE(OFFSET($CC$3,0,0,'Données projet'!$E$12+1,1))-AVERAGE(OFFSET($H$3,0,0,'Données projet'!$E$12+1,1))</f>
        <v>211.05980622218578</v>
      </c>
      <c r="CE84" s="62">
        <f t="shared" si="94"/>
        <v>168.57746894604855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1.5429166666666674</v>
      </c>
      <c r="CT84" s="13">
        <f>IF('Données projet'!$A$140&gt;35,CT83+CS84-DB83,IF(A84&lt;'Données projet'!$A$140,$CQ$205^A84,IF(A84='Données projet'!$A$140,'Données projet'!$B$140,CT83+CS84-DB83)))</f>
        <v>92.522083333333271</v>
      </c>
      <c r="CU84" s="18">
        <f>CT84*VLOOKUP('Données projet'!$B$13,Paramètres!$A$1:$I$89,3,0)*VLOOKUP('Données projet'!$B$13,Paramètres!$A$1:$I$89,5,0)</f>
        <v>106.58543999999992</v>
      </c>
      <c r="CV84" s="14">
        <f t="shared" si="95"/>
        <v>28.525017119169313</v>
      </c>
      <c r="CW84" s="22">
        <f t="shared" si="67"/>
        <v>235.31737948255306</v>
      </c>
      <c r="CX84" s="62">
        <f t="shared" si="68"/>
        <v>528.65071281588644</v>
      </c>
      <c r="CY84" s="62">
        <f ca="1">AVERAGE(OFFSET($CX$3,0,0,'Données projet'!$E$13+1,1))-AVERAGE(OFFSET($H$3,0,0,'Données projet'!$E$13+1,1))</f>
        <v>191.79777926975839</v>
      </c>
      <c r="CZ84" s="62">
        <f t="shared" si="96"/>
        <v>156.66161375678712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4.4729999999999999</v>
      </c>
      <c r="DO84" s="13">
        <f>IF('Données projet'!$A$166&gt;35,DO83+DN84-DW83,IF(A84&lt;'Données projet'!$A$166,$DL$205^A84,IF(A84='Données projet'!$A$166,'Données projet'!$B$166,DO83+DN84-DW83)))</f>
        <v>182.74300000000005</v>
      </c>
      <c r="DP84" s="18">
        <f>DO84*VLOOKUP('Données projet'!$B$14,Paramètres!$A$1:$I$89,3,0)*VLOOKUP('Données projet'!$B$14,Paramètres!$A$1:$I$89,5,0)</f>
        <v>199.55535600000005</v>
      </c>
      <c r="DQ84" s="14">
        <f t="shared" si="97"/>
        <v>49.646435777708653</v>
      </c>
      <c r="DR84" s="22">
        <f t="shared" si="70"/>
        <v>434.02645401284263</v>
      </c>
      <c r="DS84" s="62">
        <f t="shared" si="71"/>
        <v>727.35978734617595</v>
      </c>
      <c r="DT84" s="62">
        <f ca="1">AVERAGE(OFFSET($DS$3,0,0,'Données projet'!$E$14+1,1))-AVERAGE(OFFSET($H$3,0,0,'Données projet'!$E$14+1,1))</f>
        <v>541.0854688453461</v>
      </c>
      <c r="DU84" s="62">
        <f t="shared" si="98"/>
        <v>171.04847168584473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9.8461538461538467</v>
      </c>
      <c r="EJ84" s="13">
        <f>IF('Données projet'!$A$192&gt;35,EJ83+EI84-ER83,IF(A84&lt;'Données projet'!$A$192,$EG$205^A84,IF(A84='Données projet'!$A$192,'Données projet'!$B$192,EJ83+EI84-ER83)))</f>
        <v>295.53846153846183</v>
      </c>
      <c r="EK84" s="18">
        <f>EJ84*VLOOKUP('Données projet'!$B$15,Paramètres!$A$1:$I$89,3,0)*VLOOKUP('Données projet'!$B$15,Paramètres!$A$1:$I$89,5,0)</f>
        <v>176.7320000000002</v>
      </c>
      <c r="EL84" s="14">
        <f t="shared" si="99"/>
        <v>44.594342874150655</v>
      </c>
      <c r="EM84" s="22">
        <f t="shared" si="73"/>
        <v>385.47671383914604</v>
      </c>
      <c r="EN84" s="62">
        <f t="shared" si="74"/>
        <v>678.81004717247936</v>
      </c>
      <c r="EO84" s="62">
        <f ca="1">AVERAGE(OFFSET($EN$3,0,0,'Données projet'!$E$15+1,1))-AVERAGE(OFFSET($H$3,0,0,'Données projet'!$E$15+1,1))</f>
        <v>244.01698421598974</v>
      </c>
      <c r="EP84" s="62">
        <f t="shared" si="100"/>
        <v>156.96653202915024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0.87462048375363088</v>
      </c>
      <c r="EX84" s="23">
        <f>EXP(-LN(2)/2)*EX83+(1-EXP(-LN(2)/2))/(LN(2)/2)*ER84*EU84*VLOOKUP('Données projet'!$B$15,Paramètres!$A$1:$I$89,3,0)*0.475*44/12</f>
        <v>2.0985541059901148E-7</v>
      </c>
      <c r="EY84" s="24">
        <f t="shared" si="75"/>
        <v>0.87462069360904149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-5.6843418860808015E-14</v>
      </c>
      <c r="FF84" s="18">
        <f>FE84*VLOOKUP('Données projet'!$B$16,Paramètres!$A$1:$I$89,3,0)*VLOOKUP('Données projet'!$B$16,Paramètres!$A$1:$I$89,5,0)</f>
        <v>-4.9658410716801891E-14</v>
      </c>
      <c r="FG84" s="14" t="e">
        <f t="shared" si="101"/>
        <v>#NUM!</v>
      </c>
      <c r="FH84" s="22" t="e">
        <f t="shared" si="76"/>
        <v>#NUM!</v>
      </c>
      <c r="FI84" s="62" t="e">
        <f t="shared" si="77"/>
        <v>#NUM!</v>
      </c>
      <c r="FJ84" s="62">
        <f ca="1">AVERAGE(OFFSET($FI$3,0,0,'Données projet'!$E$16+1,1))-AVERAGE(OFFSET($H$3,0,0,'Données projet'!$E$16+1,1))</f>
        <v>175.08726167127026</v>
      </c>
      <c r="FK84" s="62">
        <f t="shared" si="102"/>
        <v>196.05343924817117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2.4</v>
      </c>
      <c r="FZ84" s="13">
        <f>IF('Données projet'!$A$244&gt;35,FZ83+FY84-GH83,IF(A84&lt;'Données projet'!$A$244,$FW$205^A84,IF(A84='Données projet'!$A$244,'Données projet'!$B$244,FZ83+FY84-GH83)))</f>
        <v>147.40000000000009</v>
      </c>
      <c r="GA84" s="18">
        <f>FZ84*VLOOKUP('Données projet'!$B$17,Paramètres!$A$1:$I$89,3,0)*VLOOKUP('Données projet'!$B$17,Paramètres!$A$1:$I$89,5,0)</f>
        <v>96.57648000000006</v>
      </c>
      <c r="GB84" s="14">
        <f t="shared" si="103"/>
        <v>26.144744944071853</v>
      </c>
      <c r="GC84" s="22">
        <f t="shared" si="79"/>
        <v>213.7394667775919</v>
      </c>
      <c r="GD84" s="62">
        <f t="shared" si="80"/>
        <v>507.07280011092519</v>
      </c>
      <c r="GE84" s="62">
        <f ca="1">AVERAGE(OFFSET($GD$3,0,0,'Données projet'!$E$17+1,1))-AVERAGE(OFFSET($H$3,0,0,'Données projet'!$E$17+1,1))</f>
        <v>142.93037460866543</v>
      </c>
      <c r="GF84" s="62">
        <f t="shared" si="104"/>
        <v>146.18554498808049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3</v>
      </c>
      <c r="GU84" s="13">
        <f>IF('Données projet'!$A$270&gt;35,GU83+GT84-HC83,IF(A84&lt;'Données projet'!$A$270,$GR$205^A84,IF(A84='Données projet'!$A$270,'Données projet'!$B$270,GU83+GT84-HC83)))</f>
        <v>140</v>
      </c>
      <c r="GV84" s="18">
        <f>GU84*VLOOKUP('Données projet'!$B$18,Paramètres!$A$1:$I$89,3,0)*VLOOKUP('Données projet'!$B$18,Paramètres!$A$1:$I$89,5,0)</f>
        <v>120.12</v>
      </c>
      <c r="GW84" s="14">
        <f t="shared" si="105"/>
        <v>31.702985695201871</v>
      </c>
      <c r="GX84" s="22">
        <f t="shared" si="82"/>
        <v>264.42503341914329</v>
      </c>
      <c r="GY84" s="62">
        <f t="shared" si="83"/>
        <v>557.7583667524766</v>
      </c>
      <c r="GZ84" s="62">
        <f ca="1">AVERAGE(OFFSET($GY$3,0,0,'Données projet'!$E$18+1,1))-AVERAGE(OFFSET($H$3,0,0,'Données projet'!$E$18+1,1))</f>
        <v>188.08607733149256</v>
      </c>
      <c r="HA84" s="62">
        <f t="shared" si="106"/>
        <v>119.95698016603842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24.517999999999976</v>
      </c>
      <c r="D85" s="12">
        <f t="shared" si="86"/>
        <v>7.7857606202588796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249.3623626827</v>
      </c>
      <c r="H85" s="70">
        <f t="shared" si="56"/>
        <v>312.92904974695085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</v>
      </c>
      <c r="N85" s="14">
        <f>IF('Données projet'!$A$36&gt;35,N84+M85-V84,IF(A85&lt;'Données projet'!$A$36,$K$205^A85,IF(A85='Données projet'!$A$36,'Données projet'!$B$36,N84+M85-V84)))</f>
        <v>143</v>
      </c>
      <c r="O85" s="14">
        <f>N85*VLOOKUP('Données projet'!$B$9,Paramètres!$A$1:$I$89,3,0)*VLOOKUP('Données projet'!$B$9,Paramètres!$A$1:$I$89,5,0)</f>
        <v>153.92519999999999</v>
      </c>
      <c r="P85" s="14">
        <f t="shared" si="87"/>
        <v>39.469255934857685</v>
      </c>
      <c r="Q85" s="22">
        <f t="shared" si="54"/>
        <v>336.82867741987707</v>
      </c>
      <c r="R85" s="62">
        <f t="shared" si="55"/>
        <v>630.16201075321032</v>
      </c>
      <c r="S85" s="62">
        <f ca="1">AVERAGE(OFFSET($R$3,0,0,'Données projet'!$E$9+1,1))-AVERAGE(OFFSET($H$3,0,0,'Données projet'!$E$9+1,1))</f>
        <v>236.98575892380046</v>
      </c>
      <c r="T85" s="62">
        <f t="shared" si="88"/>
        <v>145.77678223659774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>
        <f>VLOOKUP(A85,'Données projet'!$A$61:$I$81,2,0)</f>
        <v>140.88461538461539</v>
      </c>
      <c r="AG85" s="13">
        <f>VLOOKUP(A85,'Données projet'!$A$61:$I$81,9,0)</f>
        <v>3.5471153846153847</v>
      </c>
      <c r="AH85" s="13">
        <f t="array" ref="AH85">INDEX(AG:AG,MIN(IF(ISNUMBER(AG85:AG281),ROW(AG85:AG281),"")))</f>
        <v>3.5471153846153847</v>
      </c>
      <c r="AI85" s="14">
        <f>IF('Données projet'!$A$62&gt;35,AI84+AH85-AQ84,IF(A85&lt;'Données projet'!$A$62,$AF$205^A85,IF(A85='Données projet'!$A$62,'Données projet'!$B$62,AI84+AH85-AQ84)))</f>
        <v>140.88461538461536</v>
      </c>
      <c r="AJ85" s="14">
        <f>AI85*VLOOKUP('Données projet'!$B$10,Paramètres!$A$1:$I$89,3,0)*VLOOKUP('Données projet'!$B$10,Paramètres!$A$1:$I$89,5,0)</f>
        <v>82.41749999999999</v>
      </c>
      <c r="AK85" s="14">
        <f t="shared" si="89"/>
        <v>22.727247382676751</v>
      </c>
      <c r="AL85" s="22">
        <f t="shared" si="58"/>
        <v>183.12710169149531</v>
      </c>
      <c r="AM85" s="62">
        <f t="shared" si="59"/>
        <v>476.4604350248286</v>
      </c>
      <c r="AN85" s="62">
        <f ca="1">AVERAGE(OFFSET($AM$3,0,0,'Données projet'!$E$10+1,1))-AVERAGE(OFFSET($H$3,0,0,'Données projet'!$E$10+1,1))</f>
        <v>140.04898296125504</v>
      </c>
      <c r="AO85" s="62">
        <f t="shared" si="90"/>
        <v>129.5395511270716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9.0717948717948698</v>
      </c>
      <c r="BD85" s="13">
        <f>IF('Données projet'!$A$88&gt;35,BD84+BC85-BL84,IF(A85&lt;'Données projet'!$A$88,$BA$205^A85,IF(A85='Données projet'!$A$88,'Données projet'!$B$88,BD84+BC85-BL84)))</f>
        <v>337.77948717948675</v>
      </c>
      <c r="BE85" s="14">
        <f>BD85*VLOOKUP('Données projet'!$B$11,Paramètres!$A$1:$I$89,3,0)*VLOOKUP('Données projet'!$B$11,Paramètres!$A$1:$I$89,5,0)</f>
        <v>158.08079999999978</v>
      </c>
      <c r="BF85" s="14">
        <f t="shared" si="91"/>
        <v>40.409330933945405</v>
      </c>
      <c r="BG85" s="22">
        <f t="shared" si="61"/>
        <v>345.70364470995446</v>
      </c>
      <c r="BH85" s="62">
        <f t="shared" si="62"/>
        <v>639.03697804328772</v>
      </c>
      <c r="BI85" s="62">
        <f ca="1">AVERAGE(OFFSET($BH$3,0,0,'Données projet'!$E$11+1,1))-AVERAGE(OFFSET($H$3,0,0,'Données projet'!$E$11+1,1))</f>
        <v>207.84100251878419</v>
      </c>
      <c r="BJ85" s="62">
        <f t="shared" si="92"/>
        <v>124.34917784241952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1.7799999999999954</v>
      </c>
      <c r="BY85" s="13">
        <f>IF('Données projet'!$A$114&gt;35,BY84+BX85-CG84,IF(A85&lt;'Données projet'!$A$114,$BV$205^A85,IF(A85='Données projet'!$A$114,'Données projet'!$B$114,BY84+BX85-CG84)))</f>
        <v>291.85999999999967</v>
      </c>
      <c r="BZ85" s="14">
        <f>BY85*VLOOKUP('Données projet'!$B$12,Paramètres!$A$1:$I$89,3,0)*VLOOKUP('Données projet'!$B$12,Paramètres!$A$1:$I$89,5,0)</f>
        <v>151.76719999999983</v>
      </c>
      <c r="CA85" s="14">
        <f t="shared" si="93"/>
        <v>38.979913993756242</v>
      </c>
      <c r="CB85" s="22">
        <f t="shared" si="64"/>
        <v>332.21789020579178</v>
      </c>
      <c r="CC85" s="62">
        <f t="shared" si="65"/>
        <v>625.55122353912509</v>
      </c>
      <c r="CD85" s="62">
        <f ca="1">AVERAGE(OFFSET($CC$3,0,0,'Données projet'!$E$12+1,1))-AVERAGE(OFFSET($H$3,0,0,'Données projet'!$E$12+1,1))</f>
        <v>211.05980622218578</v>
      </c>
      <c r="CE85" s="62">
        <f t="shared" si="94"/>
        <v>168.57746894604855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1.5429166666666674</v>
      </c>
      <c r="CT85" s="13">
        <f>IF('Données projet'!$A$140&gt;35,CT84+CS85-DB84,IF(A85&lt;'Données projet'!$A$140,$CQ$205^A85,IF(A85='Données projet'!$A$140,'Données projet'!$B$140,CT84+CS85-DB84)))</f>
        <v>94.064999999999941</v>
      </c>
      <c r="CU85" s="18">
        <f>CT85*VLOOKUP('Données projet'!$B$13,Paramètres!$A$1:$I$89,3,0)*VLOOKUP('Données projet'!$B$13,Paramètres!$A$1:$I$89,5,0)</f>
        <v>108.36287999999992</v>
      </c>
      <c r="CV85" s="14">
        <f t="shared" si="95"/>
        <v>28.944930362905506</v>
      </c>
      <c r="CW85" s="22">
        <f t="shared" si="67"/>
        <v>239.14443638206026</v>
      </c>
      <c r="CX85" s="62">
        <f t="shared" si="68"/>
        <v>532.47776971539361</v>
      </c>
      <c r="CY85" s="62">
        <f ca="1">AVERAGE(OFFSET($CX$3,0,0,'Données projet'!$E$13+1,1))-AVERAGE(OFFSET($H$3,0,0,'Données projet'!$E$13+1,1))</f>
        <v>191.79777926975839</v>
      </c>
      <c r="CZ85" s="62">
        <f t="shared" si="96"/>
        <v>156.66161375678712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4.4729999999999999</v>
      </c>
      <c r="DO85" s="13">
        <f>IF('Données projet'!$A$166&gt;35,DO84+DN85-DW84,IF(A85&lt;'Données projet'!$A$166,$DL$205^A85,IF(A85='Données projet'!$A$166,'Données projet'!$B$166,DO84+DN85-DW84)))</f>
        <v>187.21600000000007</v>
      </c>
      <c r="DP85" s="18">
        <f>DO85*VLOOKUP('Données projet'!$B$14,Paramètres!$A$1:$I$89,3,0)*VLOOKUP('Données projet'!$B$14,Paramètres!$A$1:$I$89,5,0)</f>
        <v>204.43987200000009</v>
      </c>
      <c r="DQ85" s="14">
        <f t="shared" si="97"/>
        <v>50.718666832304443</v>
      </c>
      <c r="DR85" s="22">
        <f t="shared" si="70"/>
        <v>444.40112179959709</v>
      </c>
      <c r="DS85" s="62">
        <f t="shared" si="71"/>
        <v>737.73445513293041</v>
      </c>
      <c r="DT85" s="62">
        <f ca="1">AVERAGE(OFFSET($DS$3,0,0,'Données projet'!$E$14+1,1))-AVERAGE(OFFSET($H$3,0,0,'Données projet'!$E$14+1,1))</f>
        <v>541.0854688453461</v>
      </c>
      <c r="DU85" s="62">
        <f t="shared" si="98"/>
        <v>171.04847168584473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9.8461538461538467</v>
      </c>
      <c r="EJ85" s="13">
        <f>IF('Données projet'!$A$192&gt;35,EJ84+EI85-ER84,IF(A85&lt;'Données projet'!$A$192,$EG$205^A85,IF(A85='Données projet'!$A$192,'Données projet'!$B$192,EJ84+EI85-ER84)))</f>
        <v>305.3846153846157</v>
      </c>
      <c r="EK85" s="18">
        <f>EJ85*VLOOKUP('Données projet'!$B$15,Paramètres!$A$1:$I$89,3,0)*VLOOKUP('Données projet'!$B$15,Paramètres!$A$1:$I$89,5,0)</f>
        <v>182.62000000000018</v>
      </c>
      <c r="EL85" s="14">
        <f t="shared" si="99"/>
        <v>45.90459675472578</v>
      </c>
      <c r="EM85" s="22">
        <f t="shared" si="73"/>
        <v>398.01367268114768</v>
      </c>
      <c r="EN85" s="62">
        <f t="shared" si="74"/>
        <v>691.34700601448094</v>
      </c>
      <c r="EO85" s="62">
        <f ca="1">AVERAGE(OFFSET($EN$3,0,0,'Données projet'!$E$15+1,1))-AVERAGE(OFFSET($H$3,0,0,'Données projet'!$E$15+1,1))</f>
        <v>244.01698421598974</v>
      </c>
      <c r="EP85" s="62">
        <f t="shared" si="100"/>
        <v>156.96653202915024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0.85070394063109556</v>
      </c>
      <c r="EX85" s="23">
        <f>EXP(-LN(2)/2)*EX84+(1-EXP(-LN(2)/2))/(LN(2)/2)*ER85*EU85*VLOOKUP('Données projet'!$B$15,Paramètres!$A$1:$I$89,3,0)*0.475*44/12</f>
        <v>1.483901839032483E-7</v>
      </c>
      <c r="EY85" s="24">
        <f t="shared" si="75"/>
        <v>0.85070408902127947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-5.6843418860808015E-14</v>
      </c>
      <c r="FF85" s="18">
        <f>FE85*VLOOKUP('Données projet'!$B$16,Paramètres!$A$1:$I$89,3,0)*VLOOKUP('Données projet'!$B$16,Paramètres!$A$1:$I$89,5,0)</f>
        <v>-4.9658410716801891E-14</v>
      </c>
      <c r="FG85" s="14" t="e">
        <f t="shared" si="101"/>
        <v>#NUM!</v>
      </c>
      <c r="FH85" s="22" t="e">
        <f t="shared" si="76"/>
        <v>#NUM!</v>
      </c>
      <c r="FI85" s="62" t="e">
        <f t="shared" si="77"/>
        <v>#NUM!</v>
      </c>
      <c r="FJ85" s="62">
        <f ca="1">AVERAGE(OFFSET($FI$3,0,0,'Données projet'!$E$16+1,1))-AVERAGE(OFFSET($H$3,0,0,'Données projet'!$E$16+1,1))</f>
        <v>175.08726167127026</v>
      </c>
      <c r="FK85" s="62">
        <f t="shared" si="102"/>
        <v>196.05343924817117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2.4</v>
      </c>
      <c r="FZ85" s="13">
        <f>IF('Données projet'!$A$244&gt;35,FZ84+FY85-GH84,IF(A85&lt;'Données projet'!$A$244,$FW$205^A85,IF(A85='Données projet'!$A$244,'Données projet'!$B$244,FZ84+FY85-GH84)))</f>
        <v>149.8000000000001</v>
      </c>
      <c r="GA85" s="18">
        <f>FZ85*VLOOKUP('Données projet'!$B$17,Paramètres!$A$1:$I$89,3,0)*VLOOKUP('Données projet'!$B$17,Paramètres!$A$1:$I$89,5,0)</f>
        <v>98.148960000000059</v>
      </c>
      <c r="GB85" s="14">
        <f t="shared" si="103"/>
        <v>26.520534413460897</v>
      </c>
      <c r="GC85" s="22">
        <f t="shared" si="79"/>
        <v>217.13270277011114</v>
      </c>
      <c r="GD85" s="62">
        <f t="shared" si="80"/>
        <v>510.46603610344448</v>
      </c>
      <c r="GE85" s="62">
        <f ca="1">AVERAGE(OFFSET($GD$3,0,0,'Données projet'!$E$17+1,1))-AVERAGE(OFFSET($H$3,0,0,'Données projet'!$E$17+1,1))</f>
        <v>142.93037460866543</v>
      </c>
      <c r="GF85" s="62">
        <f t="shared" si="104"/>
        <v>146.18554498808049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3</v>
      </c>
      <c r="GU85" s="13">
        <f>IF('Données projet'!$A$270&gt;35,GU84+GT85-HC84,IF(A85&lt;'Données projet'!$A$270,$GR$205^A85,IF(A85='Données projet'!$A$270,'Données projet'!$B$270,GU84+GT85-HC84)))</f>
        <v>143</v>
      </c>
      <c r="GV85" s="18">
        <f>GU85*VLOOKUP('Données projet'!$B$18,Paramètres!$A$1:$I$89,3,0)*VLOOKUP('Données projet'!$B$18,Paramètres!$A$1:$I$89,5,0)</f>
        <v>122.69400000000002</v>
      </c>
      <c r="GW85" s="14">
        <f t="shared" si="105"/>
        <v>32.302516360650685</v>
      </c>
      <c r="GX85" s="22">
        <f t="shared" si="82"/>
        <v>269.95226599479992</v>
      </c>
      <c r="GY85" s="62">
        <f t="shared" si="83"/>
        <v>563.28559932813323</v>
      </c>
      <c r="GZ85" s="62">
        <f ca="1">AVERAGE(OFFSET($GY$3,0,0,'Données projet'!$E$18+1,1))-AVERAGE(OFFSET($H$3,0,0,'Données projet'!$E$18+1,1))</f>
        <v>188.08607733149256</v>
      </c>
      <c r="HA85" s="62">
        <f t="shared" si="106"/>
        <v>119.95698016603842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24.816999999999975</v>
      </c>
      <c r="D86" s="12">
        <f t="shared" si="86"/>
        <v>7.8695976609353187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252.31759597914962</v>
      </c>
      <c r="H86" s="70">
        <f t="shared" si="56"/>
        <v>313.59582425946229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</v>
      </c>
      <c r="N86" s="14">
        <f>IF('Données projet'!$A$36&gt;35,N85+M86-V85,IF(A86&lt;'Données projet'!$A$36,$K$205^A86,IF(A86='Données projet'!$A$36,'Données projet'!$B$36,N85+M86-V85)))</f>
        <v>146</v>
      </c>
      <c r="O86" s="14">
        <f>N86*VLOOKUP('Données projet'!$B$9,Paramètres!$A$1:$I$89,3,0)*VLOOKUP('Données projet'!$B$9,Paramètres!$A$1:$I$89,5,0)</f>
        <v>157.15440000000001</v>
      </c>
      <c r="P86" s="14">
        <f t="shared" si="87"/>
        <v>40.200013591870956</v>
      </c>
      <c r="Q86" s="22">
        <f t="shared" si="54"/>
        <v>343.72560367250861</v>
      </c>
      <c r="R86" s="62">
        <f t="shared" si="55"/>
        <v>637.05893700584193</v>
      </c>
      <c r="S86" s="62">
        <f ca="1">AVERAGE(OFFSET($R$3,0,0,'Données projet'!$E$9+1,1))-AVERAGE(OFFSET($H$3,0,0,'Données projet'!$E$9+1,1))</f>
        <v>236.98575892380046</v>
      </c>
      <c r="T86" s="62">
        <f t="shared" si="88"/>
        <v>145.77678223659774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3.6835164835164806</v>
      </c>
      <c r="AI86" s="14">
        <f>IF('Données projet'!$A$62&gt;35,AI85+AH86-AQ85,IF(A86&lt;'Données projet'!$A$62,$AF$205^A86,IF(A86='Données projet'!$A$62,'Données projet'!$B$62,AI85+AH86-AQ85)))</f>
        <v>144.56813186813184</v>
      </c>
      <c r="AJ86" s="14">
        <f>AI86*VLOOKUP('Données projet'!$B$10,Paramètres!$A$1:$I$89,3,0)*VLOOKUP('Données projet'!$B$10,Paramètres!$A$1:$I$89,5,0)</f>
        <v>84.572357142857129</v>
      </c>
      <c r="AK86" s="14">
        <f t="shared" si="89"/>
        <v>23.25150721803028</v>
      </c>
      <c r="AL86" s="22">
        <f t="shared" si="58"/>
        <v>187.79323042854557</v>
      </c>
      <c r="AM86" s="62">
        <f t="shared" si="59"/>
        <v>481.12656376187886</v>
      </c>
      <c r="AN86" s="62">
        <f ca="1">AVERAGE(OFFSET($AM$3,0,0,'Données projet'!$E$10+1,1))-AVERAGE(OFFSET($H$3,0,0,'Données projet'!$E$10+1,1))</f>
        <v>140.04898296125504</v>
      </c>
      <c r="AO86" s="62">
        <f t="shared" si="90"/>
        <v>129.5395511270716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9.0717948717948698</v>
      </c>
      <c r="BD86" s="13">
        <f>IF('Données projet'!$A$88&gt;35,BD85+BC86-BL85,IF(A86&lt;'Données projet'!$A$88,$BA$205^A86,IF(A86='Données projet'!$A$88,'Données projet'!$B$88,BD85+BC86-BL85)))</f>
        <v>346.8512820512816</v>
      </c>
      <c r="BE86" s="14">
        <f>BD86*VLOOKUP('Données projet'!$B$11,Paramètres!$A$1:$I$89,3,0)*VLOOKUP('Données projet'!$B$11,Paramètres!$A$1:$I$89,5,0)</f>
        <v>162.32639999999978</v>
      </c>
      <c r="BF86" s="14">
        <f t="shared" si="91"/>
        <v>41.366799766899412</v>
      </c>
      <c r="BG86" s="22">
        <f t="shared" si="61"/>
        <v>354.76565626068276</v>
      </c>
      <c r="BH86" s="62">
        <f t="shared" si="62"/>
        <v>648.09898959401607</v>
      </c>
      <c r="BI86" s="62">
        <f ca="1">AVERAGE(OFFSET($BH$3,0,0,'Données projet'!$E$11+1,1))-AVERAGE(OFFSET($H$3,0,0,'Données projet'!$E$11+1,1))</f>
        <v>207.84100251878419</v>
      </c>
      <c r="BJ86" s="62">
        <f t="shared" si="92"/>
        <v>124.34917784241952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1.7799999999999954</v>
      </c>
      <c r="BY86" s="13">
        <f>IF('Données projet'!$A$114&gt;35,BY85+BX86-CG85,IF(A86&lt;'Données projet'!$A$114,$BV$205^A86,IF(A86='Données projet'!$A$114,'Données projet'!$B$114,BY85+BX86-CG85)))</f>
        <v>293.63999999999965</v>
      </c>
      <c r="BZ86" s="14">
        <f>BY86*VLOOKUP('Données projet'!$B$12,Paramètres!$A$1:$I$89,3,0)*VLOOKUP('Données projet'!$B$12,Paramètres!$A$1:$I$89,5,0)</f>
        <v>152.69279999999983</v>
      </c>
      <c r="CA86" s="14">
        <f t="shared" si="93"/>
        <v>39.189898947127119</v>
      </c>
      <c r="CB86" s="22">
        <f t="shared" si="64"/>
        <v>334.19570066624607</v>
      </c>
      <c r="CC86" s="62">
        <f t="shared" si="65"/>
        <v>627.52903399957938</v>
      </c>
      <c r="CD86" s="62">
        <f ca="1">AVERAGE(OFFSET($CC$3,0,0,'Données projet'!$E$12+1,1))-AVERAGE(OFFSET($H$3,0,0,'Données projet'!$E$12+1,1))</f>
        <v>211.05980622218578</v>
      </c>
      <c r="CE86" s="62">
        <f t="shared" si="94"/>
        <v>168.57746894604855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1.5429166666666674</v>
      </c>
      <c r="CT86" s="13">
        <f>IF('Données projet'!$A$140&gt;35,CT85+CS86-DB85,IF(A86&lt;'Données projet'!$A$140,$CQ$205^A86,IF(A86='Données projet'!$A$140,'Données projet'!$B$140,CT85+CS86-DB85)))</f>
        <v>95.607916666666611</v>
      </c>
      <c r="CU86" s="18">
        <f>CT86*VLOOKUP('Données projet'!$B$13,Paramètres!$A$1:$I$89,3,0)*VLOOKUP('Données projet'!$B$13,Paramètres!$A$1:$I$89,5,0)</f>
        <v>110.14031999999993</v>
      </c>
      <c r="CV86" s="14">
        <f t="shared" si="95"/>
        <v>29.364042605701115</v>
      </c>
      <c r="CW86" s="22">
        <f t="shared" si="67"/>
        <v>242.97009820492926</v>
      </c>
      <c r="CX86" s="62">
        <f t="shared" si="68"/>
        <v>536.30343153826254</v>
      </c>
      <c r="CY86" s="62">
        <f ca="1">AVERAGE(OFFSET($CX$3,0,0,'Données projet'!$E$13+1,1))-AVERAGE(OFFSET($H$3,0,0,'Données projet'!$E$13+1,1))</f>
        <v>191.79777926975839</v>
      </c>
      <c r="CZ86" s="62">
        <f t="shared" si="96"/>
        <v>156.66161375678712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4.4729999999999999</v>
      </c>
      <c r="DO86" s="13">
        <f>IF('Données projet'!$A$166&gt;35,DO85+DN86-DW85,IF(A86&lt;'Données projet'!$A$166,$DL$205^A86,IF(A86='Données projet'!$A$166,'Données projet'!$B$166,DO85+DN86-DW85)))</f>
        <v>191.68900000000008</v>
      </c>
      <c r="DP86" s="18">
        <f>DO86*VLOOKUP('Données projet'!$B$14,Paramètres!$A$1:$I$89,3,0)*VLOOKUP('Données projet'!$B$14,Paramètres!$A$1:$I$89,5,0)</f>
        <v>209.32438800000008</v>
      </c>
      <c r="DQ86" s="14">
        <f t="shared" si="97"/>
        <v>51.787919801064334</v>
      </c>
      <c r="DR86" s="22">
        <f t="shared" si="70"/>
        <v>454.77060275352051</v>
      </c>
      <c r="DS86" s="62">
        <f t="shared" si="71"/>
        <v>748.10393608685376</v>
      </c>
      <c r="DT86" s="62">
        <f ca="1">AVERAGE(OFFSET($DS$3,0,0,'Données projet'!$E$14+1,1))-AVERAGE(OFFSET($H$3,0,0,'Données projet'!$E$14+1,1))</f>
        <v>541.0854688453461</v>
      </c>
      <c r="DU86" s="62">
        <f t="shared" si="98"/>
        <v>171.04847168584473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9.8461538461538467</v>
      </c>
      <c r="EJ86" s="13">
        <f>IF('Données projet'!$A$192&gt;35,EJ85+EI86-ER85,IF(A86&lt;'Données projet'!$A$192,$EG$205^A86,IF(A86='Données projet'!$A$192,'Données projet'!$B$192,EJ85+EI86-ER85)))</f>
        <v>315.23076923076957</v>
      </c>
      <c r="EK86" s="18">
        <f>EJ86*VLOOKUP('Données projet'!$B$15,Paramètres!$A$1:$I$89,3,0)*VLOOKUP('Données projet'!$B$15,Paramètres!$A$1:$I$89,5,0)</f>
        <v>188.50800000000021</v>
      </c>
      <c r="EL86" s="14">
        <f t="shared" si="99"/>
        <v>47.209941638921379</v>
      </c>
      <c r="EM86" s="22">
        <f t="shared" si="73"/>
        <v>410.54208168778837</v>
      </c>
      <c r="EN86" s="62">
        <f t="shared" si="74"/>
        <v>703.87541502112163</v>
      </c>
      <c r="EO86" s="62">
        <f ca="1">AVERAGE(OFFSET($EN$3,0,0,'Données projet'!$E$15+1,1))-AVERAGE(OFFSET($H$3,0,0,'Données projet'!$E$15+1,1))</f>
        <v>244.01698421598974</v>
      </c>
      <c r="EP86" s="62">
        <f t="shared" si="100"/>
        <v>156.96653202915024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0.82744139663796235</v>
      </c>
      <c r="EX86" s="23">
        <f>EXP(-LN(2)/2)*EX85+(1-EXP(-LN(2)/2))/(LN(2)/2)*ER86*EU86*VLOOKUP('Données projet'!$B$15,Paramètres!$A$1:$I$89,3,0)*0.475*44/12</f>
        <v>1.0492770529950574E-7</v>
      </c>
      <c r="EY86" s="24">
        <f t="shared" si="75"/>
        <v>0.82744150156566765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-5.6843418860808015E-14</v>
      </c>
      <c r="FF86" s="18">
        <f>FE86*VLOOKUP('Données projet'!$B$16,Paramètres!$A$1:$I$89,3,0)*VLOOKUP('Données projet'!$B$16,Paramètres!$A$1:$I$89,5,0)</f>
        <v>-4.9658410716801891E-14</v>
      </c>
      <c r="FG86" s="14" t="e">
        <f t="shared" si="101"/>
        <v>#NUM!</v>
      </c>
      <c r="FH86" s="22" t="e">
        <f t="shared" si="76"/>
        <v>#NUM!</v>
      </c>
      <c r="FI86" s="62" t="e">
        <f t="shared" si="77"/>
        <v>#NUM!</v>
      </c>
      <c r="FJ86" s="62">
        <f ca="1">AVERAGE(OFFSET($FI$3,0,0,'Données projet'!$E$16+1,1))-AVERAGE(OFFSET($H$3,0,0,'Données projet'!$E$16+1,1))</f>
        <v>175.08726167127026</v>
      </c>
      <c r="FK86" s="62">
        <f t="shared" si="102"/>
        <v>196.05343924817117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2.4</v>
      </c>
      <c r="FZ86" s="13">
        <f>IF('Données projet'!$A$244&gt;35,FZ85+FY86-GH85,IF(A86&lt;'Données projet'!$A$244,$FW$205^A86,IF(A86='Données projet'!$A$244,'Données projet'!$B$244,FZ85+FY86-GH85)))</f>
        <v>152.2000000000001</v>
      </c>
      <c r="GA86" s="18">
        <f>FZ86*VLOOKUP('Données projet'!$B$17,Paramètres!$A$1:$I$89,3,0)*VLOOKUP('Données projet'!$B$17,Paramètres!$A$1:$I$89,5,0)</f>
        <v>99.721440000000072</v>
      </c>
      <c r="GB86" s="14">
        <f t="shared" si="103"/>
        <v>26.89562369952041</v>
      </c>
      <c r="GC86" s="22">
        <f t="shared" si="79"/>
        <v>220.5247192766648</v>
      </c>
      <c r="GD86" s="62">
        <f t="shared" si="80"/>
        <v>513.85805260999814</v>
      </c>
      <c r="GE86" s="62">
        <f ca="1">AVERAGE(OFFSET($GD$3,0,0,'Données projet'!$E$17+1,1))-AVERAGE(OFFSET($H$3,0,0,'Données projet'!$E$17+1,1))</f>
        <v>142.93037460866543</v>
      </c>
      <c r="GF86" s="62">
        <f t="shared" si="104"/>
        <v>146.18554498808049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3</v>
      </c>
      <c r="GU86" s="13">
        <f>IF('Données projet'!$A$270&gt;35,GU85+GT86-HC85,IF(A86&lt;'Données projet'!$A$270,$GR$205^A86,IF(A86='Données projet'!$A$270,'Données projet'!$B$270,GU85+GT86-HC85)))</f>
        <v>146</v>
      </c>
      <c r="GV86" s="18">
        <f>GU86*VLOOKUP('Données projet'!$B$18,Paramètres!$A$1:$I$89,3,0)*VLOOKUP('Données projet'!$B$18,Paramètres!$A$1:$I$89,5,0)</f>
        <v>125.26800000000003</v>
      </c>
      <c r="GW86" s="14">
        <f t="shared" si="105"/>
        <v>32.9005846700787</v>
      </c>
      <c r="GX86" s="22">
        <f t="shared" si="82"/>
        <v>275.47695163372049</v>
      </c>
      <c r="GY86" s="62">
        <f t="shared" si="83"/>
        <v>568.8102849670538</v>
      </c>
      <c r="GZ86" s="62">
        <f ca="1">AVERAGE(OFFSET($GY$3,0,0,'Données projet'!$E$18+1,1))-AVERAGE(OFFSET($H$3,0,0,'Données projet'!$E$18+1,1))</f>
        <v>188.08607733149256</v>
      </c>
      <c r="HA86" s="62">
        <f t="shared" si="106"/>
        <v>119.95698016603842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25.115999999999975</v>
      </c>
      <c r="D87" s="12">
        <f t="shared" si="86"/>
        <v>7.9533172071366955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255.27192230070412</v>
      </c>
      <c r="H87" s="70">
        <f t="shared" si="56"/>
        <v>314.26239413576303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</v>
      </c>
      <c r="N87" s="14">
        <f>IF('Données projet'!$A$36&gt;35,N86+M87-V86,IF(A87&lt;'Données projet'!$A$36,$K$205^A87,IF(A87='Données projet'!$A$36,'Données projet'!$B$36,N86+M87-V86)))</f>
        <v>149</v>
      </c>
      <c r="O87" s="14">
        <f>N87*VLOOKUP('Données projet'!$B$9,Paramètres!$A$1:$I$89,3,0)*VLOOKUP('Données projet'!$B$9,Paramètres!$A$1:$I$89,5,0)</f>
        <v>160.38359999999997</v>
      </c>
      <c r="P87" s="14">
        <f t="shared" si="87"/>
        <v>40.929025395397851</v>
      </c>
      <c r="Q87" s="22">
        <f t="shared" si="54"/>
        <v>350.61948923031787</v>
      </c>
      <c r="R87" s="62">
        <f t="shared" si="55"/>
        <v>643.95282256365113</v>
      </c>
      <c r="S87" s="62">
        <f ca="1">AVERAGE(OFFSET($R$3,0,0,'Données projet'!$E$9+1,1))-AVERAGE(OFFSET($H$3,0,0,'Données projet'!$E$9+1,1))</f>
        <v>236.98575892380046</v>
      </c>
      <c r="T87" s="62">
        <f t="shared" si="88"/>
        <v>145.77678223659774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3.6835164835164806</v>
      </c>
      <c r="AI87" s="14">
        <f>IF('Données projet'!$A$62&gt;35,AI86+AH87-AQ86,IF(A87&lt;'Données projet'!$A$62,$AF$205^A87,IF(A87='Données projet'!$A$62,'Données projet'!$B$62,AI86+AH87-AQ86)))</f>
        <v>148.25164835164833</v>
      </c>
      <c r="AJ87" s="14">
        <f>AI87*VLOOKUP('Données projet'!$B$10,Paramètres!$A$1:$I$89,3,0)*VLOOKUP('Données projet'!$B$10,Paramètres!$A$1:$I$89,5,0)</f>
        <v>86.727214285714282</v>
      </c>
      <c r="AK87" s="14">
        <f t="shared" si="89"/>
        <v>23.774214325255532</v>
      </c>
      <c r="AL87" s="22">
        <f t="shared" si="58"/>
        <v>192.45665483077241</v>
      </c>
      <c r="AM87" s="62">
        <f t="shared" si="59"/>
        <v>485.78998816410569</v>
      </c>
      <c r="AN87" s="62">
        <f ca="1">AVERAGE(OFFSET($AM$3,0,0,'Données projet'!$E$10+1,1))-AVERAGE(OFFSET($H$3,0,0,'Données projet'!$E$10+1,1))</f>
        <v>140.04898296125504</v>
      </c>
      <c r="AO87" s="62">
        <f t="shared" si="90"/>
        <v>129.5395511270716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9.0717948717948698</v>
      </c>
      <c r="BD87" s="13">
        <f>IF('Données projet'!$A$88&gt;35,BD86+BC87-BL86,IF(A87&lt;'Données projet'!$A$88,$BA$205^A87,IF(A87='Données projet'!$A$88,'Données projet'!$B$88,BD86+BC87-BL86)))</f>
        <v>355.92307692307645</v>
      </c>
      <c r="BE87" s="14">
        <f>BD87*VLOOKUP('Données projet'!$B$11,Paramètres!$A$1:$I$89,3,0)*VLOOKUP('Données projet'!$B$11,Paramètres!$A$1:$I$89,5,0)</f>
        <v>166.57199999999978</v>
      </c>
      <c r="BF87" s="14">
        <f t="shared" si="91"/>
        <v>42.321357755693079</v>
      </c>
      <c r="BG87" s="22">
        <f t="shared" si="61"/>
        <v>363.82259809116505</v>
      </c>
      <c r="BH87" s="62">
        <f t="shared" si="62"/>
        <v>657.15593142449836</v>
      </c>
      <c r="BI87" s="62">
        <f ca="1">AVERAGE(OFFSET($BH$3,0,0,'Données projet'!$E$11+1,1))-AVERAGE(OFFSET($H$3,0,0,'Données projet'!$E$11+1,1))</f>
        <v>207.84100251878419</v>
      </c>
      <c r="BJ87" s="62">
        <f t="shared" si="92"/>
        <v>124.34917784241952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1.7799999999999954</v>
      </c>
      <c r="BY87" s="13">
        <f>IF('Données projet'!$A$114&gt;35,BY86+BX87-CG86,IF(A87&lt;'Données projet'!$A$114,$BV$205^A87,IF(A87='Données projet'!$A$114,'Données projet'!$B$114,BY86+BX87-CG86)))</f>
        <v>295.41999999999962</v>
      </c>
      <c r="BZ87" s="14">
        <f>BY87*VLOOKUP('Données projet'!$B$12,Paramètres!$A$1:$I$89,3,0)*VLOOKUP('Données projet'!$B$12,Paramètres!$A$1:$I$89,5,0)</f>
        <v>153.61839999999981</v>
      </c>
      <c r="CA87" s="14">
        <f t="shared" si="93"/>
        <v>39.399735786690194</v>
      </c>
      <c r="CB87" s="22">
        <f t="shared" si="64"/>
        <v>336.17325316181842</v>
      </c>
      <c r="CC87" s="62">
        <f t="shared" si="65"/>
        <v>629.50658649515174</v>
      </c>
      <c r="CD87" s="62">
        <f ca="1">AVERAGE(OFFSET($CC$3,0,0,'Données projet'!$E$12+1,1))-AVERAGE(OFFSET($H$3,0,0,'Données projet'!$E$12+1,1))</f>
        <v>211.05980622218578</v>
      </c>
      <c r="CE87" s="62">
        <f t="shared" si="94"/>
        <v>168.57746894604855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1.5429166666666674</v>
      </c>
      <c r="CT87" s="13">
        <f>IF('Données projet'!$A$140&gt;35,CT86+CS87-DB86,IF(A87&lt;'Données projet'!$A$140,$CQ$205^A87,IF(A87='Données projet'!$A$140,'Données projet'!$B$140,CT86+CS87-DB86)))</f>
        <v>97.150833333333281</v>
      </c>
      <c r="CU87" s="18">
        <f>CT87*VLOOKUP('Données projet'!$B$13,Paramètres!$A$1:$I$89,3,0)*VLOOKUP('Données projet'!$B$13,Paramètres!$A$1:$I$89,5,0)</f>
        <v>111.91775999999994</v>
      </c>
      <c r="CV87" s="14">
        <f t="shared" si="95"/>
        <v>29.782368266438901</v>
      </c>
      <c r="CW87" s="22">
        <f t="shared" si="67"/>
        <v>246.79439006404766</v>
      </c>
      <c r="CX87" s="62">
        <f t="shared" si="68"/>
        <v>540.12772339738103</v>
      </c>
      <c r="CY87" s="62">
        <f ca="1">AVERAGE(OFFSET($CX$3,0,0,'Données projet'!$E$13+1,1))-AVERAGE(OFFSET($H$3,0,0,'Données projet'!$E$13+1,1))</f>
        <v>191.79777926975839</v>
      </c>
      <c r="CZ87" s="62">
        <f t="shared" si="96"/>
        <v>156.66161375678712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4.4729999999999999</v>
      </c>
      <c r="DO87" s="13">
        <f>IF('Données projet'!$A$166&gt;35,DO86+DN87-DW86,IF(A87&lt;'Données projet'!$A$166,$DL$205^A87,IF(A87='Données projet'!$A$166,'Données projet'!$B$166,DO86+DN87-DW86)))</f>
        <v>196.16200000000009</v>
      </c>
      <c r="DP87" s="18">
        <f>DO87*VLOOKUP('Données projet'!$B$14,Paramètres!$A$1:$I$89,3,0)*VLOOKUP('Données projet'!$B$14,Paramètres!$A$1:$I$89,5,0)</f>
        <v>214.2089040000001</v>
      </c>
      <c r="DQ87" s="14">
        <f t="shared" si="97"/>
        <v>52.854272174539446</v>
      </c>
      <c r="DR87" s="22">
        <f t="shared" si="70"/>
        <v>465.13503183732297</v>
      </c>
      <c r="DS87" s="62">
        <f t="shared" si="71"/>
        <v>758.46836517065628</v>
      </c>
      <c r="DT87" s="62">
        <f ca="1">AVERAGE(OFFSET($DS$3,0,0,'Données projet'!$E$14+1,1))-AVERAGE(OFFSET($H$3,0,0,'Données projet'!$E$14+1,1))</f>
        <v>541.0854688453461</v>
      </c>
      <c r="DU87" s="62">
        <f t="shared" si="98"/>
        <v>171.04847168584473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9.8461538461538467</v>
      </c>
      <c r="EJ87" s="13">
        <f>IF('Données projet'!$A$192&gt;35,EJ86+EI87-ER86,IF(A87&lt;'Données projet'!$A$192,$EG$205^A87,IF(A87='Données projet'!$A$192,'Données projet'!$B$192,EJ86+EI87-ER86)))</f>
        <v>325.07692307692344</v>
      </c>
      <c r="EK87" s="18">
        <f>EJ87*VLOOKUP('Données projet'!$B$15,Paramètres!$A$1:$I$89,3,0)*VLOOKUP('Données projet'!$B$15,Paramètres!$A$1:$I$89,5,0)</f>
        <v>194.39600000000024</v>
      </c>
      <c r="EL87" s="14">
        <f t="shared" si="99"/>
        <v>48.510548451355611</v>
      </c>
      <c r="EM87" s="22">
        <f t="shared" si="73"/>
        <v>423.06223855277807</v>
      </c>
      <c r="EN87" s="62">
        <f t="shared" si="74"/>
        <v>716.39557188611138</v>
      </c>
      <c r="EO87" s="62">
        <f ca="1">AVERAGE(OFFSET($EN$3,0,0,'Données projet'!$E$15+1,1))-AVERAGE(OFFSET($H$3,0,0,'Données projet'!$E$15+1,1))</f>
        <v>244.01698421598974</v>
      </c>
      <c r="EP87" s="62">
        <f t="shared" si="100"/>
        <v>156.96653202915024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0.80481496813364539</v>
      </c>
      <c r="EX87" s="23">
        <f>EXP(-LN(2)/2)*EX86+(1-EXP(-LN(2)/2))/(LN(2)/2)*ER87*EU87*VLOOKUP('Données projet'!$B$15,Paramètres!$A$1:$I$89,3,0)*0.475*44/12</f>
        <v>7.4195091951624148E-8</v>
      </c>
      <c r="EY87" s="24">
        <f t="shared" si="75"/>
        <v>0.80481504232873735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-5.6843418860808015E-14</v>
      </c>
      <c r="FF87" s="18">
        <f>FE87*VLOOKUP('Données projet'!$B$16,Paramètres!$A$1:$I$89,3,0)*VLOOKUP('Données projet'!$B$16,Paramètres!$A$1:$I$89,5,0)</f>
        <v>-4.9658410716801891E-14</v>
      </c>
      <c r="FG87" s="14" t="e">
        <f t="shared" si="101"/>
        <v>#NUM!</v>
      </c>
      <c r="FH87" s="22" t="e">
        <f t="shared" si="76"/>
        <v>#NUM!</v>
      </c>
      <c r="FI87" s="62" t="e">
        <f t="shared" si="77"/>
        <v>#NUM!</v>
      </c>
      <c r="FJ87" s="62">
        <f ca="1">AVERAGE(OFFSET($FI$3,0,0,'Données projet'!$E$16+1,1))-AVERAGE(OFFSET($H$3,0,0,'Données projet'!$E$16+1,1))</f>
        <v>175.08726167127026</v>
      </c>
      <c r="FK87" s="62">
        <f t="shared" si="102"/>
        <v>196.05343924817117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2.4</v>
      </c>
      <c r="FZ87" s="13">
        <f>IF('Données projet'!$A$244&gt;35,FZ86+FY87-GH86,IF(A87&lt;'Données projet'!$A$244,$FW$205^A87,IF(A87='Données projet'!$A$244,'Données projet'!$B$244,FZ86+FY87-GH86)))</f>
        <v>154.60000000000011</v>
      </c>
      <c r="GA87" s="18">
        <f>FZ87*VLOOKUP('Données projet'!$B$17,Paramètres!$A$1:$I$89,3,0)*VLOOKUP('Données projet'!$B$17,Paramètres!$A$1:$I$89,5,0)</f>
        <v>101.29392000000007</v>
      </c>
      <c r="GB87" s="14">
        <f t="shared" si="103"/>
        <v>27.270025118144023</v>
      </c>
      <c r="GC87" s="22">
        <f t="shared" si="79"/>
        <v>223.91553774743429</v>
      </c>
      <c r="GD87" s="62">
        <f t="shared" si="80"/>
        <v>517.24887108076757</v>
      </c>
      <c r="GE87" s="62">
        <f ca="1">AVERAGE(OFFSET($GD$3,0,0,'Données projet'!$E$17+1,1))-AVERAGE(OFFSET($H$3,0,0,'Données projet'!$E$17+1,1))</f>
        <v>142.93037460866543</v>
      </c>
      <c r="GF87" s="62">
        <f t="shared" si="104"/>
        <v>146.18554498808049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3</v>
      </c>
      <c r="GU87" s="13">
        <f>IF('Données projet'!$A$270&gt;35,GU86+GT87-HC86,IF(A87&lt;'Données projet'!$A$270,$GR$205^A87,IF(A87='Données projet'!$A$270,'Données projet'!$B$270,GU86+GT87-HC86)))</f>
        <v>149</v>
      </c>
      <c r="GV87" s="18">
        <f>GU87*VLOOKUP('Données projet'!$B$18,Paramètres!$A$1:$I$89,3,0)*VLOOKUP('Données projet'!$B$18,Paramètres!$A$1:$I$89,5,0)</f>
        <v>127.84200000000001</v>
      </c>
      <c r="GW87" s="14">
        <f t="shared" si="105"/>
        <v>33.497224134207507</v>
      </c>
      <c r="GX87" s="22">
        <f t="shared" si="82"/>
        <v>280.99914870041141</v>
      </c>
      <c r="GY87" s="62">
        <f t="shared" si="83"/>
        <v>574.33248203374478</v>
      </c>
      <c r="GZ87" s="62">
        <f ca="1">AVERAGE(OFFSET($GY$3,0,0,'Données projet'!$E$18+1,1))-AVERAGE(OFFSET($H$3,0,0,'Données projet'!$E$18+1,1))</f>
        <v>188.08607733149256</v>
      </c>
      <c r="HA87" s="62">
        <f t="shared" si="106"/>
        <v>119.95698016603842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25.414999999999974</v>
      </c>
      <c r="D88" s="12">
        <f t="shared" si="86"/>
        <v>8.036920819413206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258.22535369371582</v>
      </c>
      <c r="H88" s="70">
        <f t="shared" si="56"/>
        <v>314.92876209381132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152</v>
      </c>
      <c r="L88" s="13">
        <f>VLOOKUP(A88,'Données projet'!$A$35:$I$55,9,0)</f>
        <v>3</v>
      </c>
      <c r="M88" s="13">
        <f t="array" ref="M88">INDEX(L:L,MIN(IF(ISNUMBER(L88:L284),ROW(L88:L284),"")))</f>
        <v>3</v>
      </c>
      <c r="N88" s="14">
        <f>IF('Données projet'!$A$36&gt;35,N87+M88-V87,IF(A88&lt;'Données projet'!$A$36,$K$205^A88,IF(A88='Données projet'!$A$36,'Données projet'!$B$36,N87+M88-V87)))</f>
        <v>152</v>
      </c>
      <c r="O88" s="14">
        <f>N88*VLOOKUP('Données projet'!$B$9,Paramètres!$A$1:$I$89,3,0)*VLOOKUP('Données projet'!$B$9,Paramètres!$A$1:$I$89,5,0)</f>
        <v>163.61279999999999</v>
      </c>
      <c r="P88" s="14">
        <f t="shared" si="87"/>
        <v>41.656330547871804</v>
      </c>
      <c r="Q88" s="22">
        <f t="shared" si="54"/>
        <v>357.51040237087665</v>
      </c>
      <c r="R88" s="62">
        <f t="shared" si="55"/>
        <v>650.84373570420996</v>
      </c>
      <c r="S88" s="62">
        <f ca="1">AVERAGE(OFFSET($R$3,0,0,'Données projet'!$E$9+1,1))-AVERAGE(OFFSET($H$3,0,0,'Données projet'!$E$9+1,1))</f>
        <v>236.98575892380046</v>
      </c>
      <c r="T88" s="62">
        <f t="shared" si="88"/>
        <v>145.77678223659774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3.6835164835164806</v>
      </c>
      <c r="AI88" s="14">
        <f>IF('Données projet'!$A$62&gt;35,AI87+AH88-AQ87,IF(A88&lt;'Données projet'!$A$62,$AF$205^A88,IF(A88='Données projet'!$A$62,'Données projet'!$B$62,AI87+AH88-AQ87)))</f>
        <v>151.93516483516481</v>
      </c>
      <c r="AJ88" s="14">
        <f>AI88*VLOOKUP('Données projet'!$B$10,Paramètres!$A$1:$I$89,3,0)*VLOOKUP('Données projet'!$B$10,Paramètres!$A$1:$I$89,5,0)</f>
        <v>88.882071428571422</v>
      </c>
      <c r="AK88" s="14">
        <f t="shared" si="89"/>
        <v>24.295411721427023</v>
      </c>
      <c r="AL88" s="22">
        <f t="shared" si="58"/>
        <v>197.11744981958063</v>
      </c>
      <c r="AM88" s="62">
        <f t="shared" si="59"/>
        <v>490.45078315291391</v>
      </c>
      <c r="AN88" s="62">
        <f ca="1">AVERAGE(OFFSET($AM$3,0,0,'Données projet'!$E$10+1,1))-AVERAGE(OFFSET($H$3,0,0,'Données projet'!$E$10+1,1))</f>
        <v>140.04898296125504</v>
      </c>
      <c r="AO88" s="62">
        <f t="shared" si="90"/>
        <v>129.5395511270716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9.0717948717948698</v>
      </c>
      <c r="BD88" s="13">
        <f>IF('Données projet'!$A$88&gt;35,BD87+BC88-BL87,IF(A88&lt;'Données projet'!$A$88,$BA$205^A88,IF(A88='Données projet'!$A$88,'Données projet'!$B$88,BD87+BC88-BL87)))</f>
        <v>364.9948717948713</v>
      </c>
      <c r="BE88" s="14">
        <f>BD88*VLOOKUP('Données projet'!$B$11,Paramètres!$A$1:$I$89,3,0)*VLOOKUP('Données projet'!$B$11,Paramètres!$A$1:$I$89,5,0)</f>
        <v>170.81759999999977</v>
      </c>
      <c r="BF88" s="14">
        <f t="shared" si="91"/>
        <v>43.273087623453243</v>
      </c>
      <c r="BG88" s="22">
        <f t="shared" si="61"/>
        <v>372.87461427751396</v>
      </c>
      <c r="BH88" s="62">
        <f t="shared" si="62"/>
        <v>666.20794761084721</v>
      </c>
      <c r="BI88" s="62">
        <f ca="1">AVERAGE(OFFSET($BH$3,0,0,'Données projet'!$E$11+1,1))-AVERAGE(OFFSET($H$3,0,0,'Données projet'!$E$11+1,1))</f>
        <v>207.84100251878419</v>
      </c>
      <c r="BJ88" s="62">
        <f t="shared" si="92"/>
        <v>124.34917784241952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297.2</v>
      </c>
      <c r="BW88" s="13">
        <f>VLOOKUP(A88,'Données projet'!$A$113:$I$133,9,0)</f>
        <v>1.7799999999999954</v>
      </c>
      <c r="BX88" s="13">
        <f t="array" ref="BX88">INDEX(BW:BW,MIN(IF(ISNUMBER(BW88:BW284),ROW(BW88:BW284),"")))</f>
        <v>1.7799999999999954</v>
      </c>
      <c r="BY88" s="13">
        <f>IF('Données projet'!$A$114&gt;35,BY87+BX88-CG87,IF(A88&lt;'Données projet'!$A$114,$BV$205^A88,IF(A88='Données projet'!$A$114,'Données projet'!$B$114,BY87+BX88-CG87)))</f>
        <v>297.19999999999959</v>
      </c>
      <c r="BZ88" s="14">
        <f>BY88*VLOOKUP('Données projet'!$B$12,Paramètres!$A$1:$I$89,3,0)*VLOOKUP('Données projet'!$B$12,Paramètres!$A$1:$I$89,5,0)</f>
        <v>154.54399999999978</v>
      </c>
      <c r="CA88" s="14">
        <f t="shared" si="93"/>
        <v>39.60942550842055</v>
      </c>
      <c r="CB88" s="22">
        <f t="shared" si="64"/>
        <v>338.15054942716534</v>
      </c>
      <c r="CC88" s="62">
        <f t="shared" si="65"/>
        <v>631.48388276049866</v>
      </c>
      <c r="CD88" s="62">
        <f ca="1">AVERAGE(OFFSET($CC$3,0,0,'Données projet'!$E$12+1,1))-AVERAGE(OFFSET($H$3,0,0,'Données projet'!$E$12+1,1))</f>
        <v>211.05980622218578</v>
      </c>
      <c r="CE88" s="62">
        <f t="shared" si="94"/>
        <v>168.57746894604855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1.5429166666666674</v>
      </c>
      <c r="CT88" s="13">
        <f>IF('Données projet'!$A$140&gt;35,CT87+CS88-DB87,IF(A88&lt;'Données projet'!$A$140,$CQ$205^A88,IF(A88='Données projet'!$A$140,'Données projet'!$B$140,CT87+CS88-DB87)))</f>
        <v>98.693749999999952</v>
      </c>
      <c r="CU88" s="18">
        <f>CT88*VLOOKUP('Données projet'!$B$13,Paramètres!$A$1:$I$89,3,0)*VLOOKUP('Données projet'!$B$13,Paramètres!$A$1:$I$89,5,0)</f>
        <v>113.69519999999994</v>
      </c>
      <c r="CV88" s="14">
        <f t="shared" si="95"/>
        <v>30.199921279741705</v>
      </c>
      <c r="CW88" s="22">
        <f t="shared" si="67"/>
        <v>250.61733622888337</v>
      </c>
      <c r="CX88" s="62">
        <f t="shared" si="68"/>
        <v>543.95066956221672</v>
      </c>
      <c r="CY88" s="62">
        <f ca="1">AVERAGE(OFFSET($CX$3,0,0,'Données projet'!$E$13+1,1))-AVERAGE(OFFSET($H$3,0,0,'Données projet'!$E$13+1,1))</f>
        <v>191.79777926975839</v>
      </c>
      <c r="CZ88" s="62">
        <f t="shared" si="96"/>
        <v>156.66161375678712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4.4729999999999999</v>
      </c>
      <c r="DO88" s="13">
        <f>IF('Données projet'!$A$166&gt;35,DO87+DN88-DW87,IF(A88&lt;'Données projet'!$A$166,$DL$205^A88,IF(A88='Données projet'!$A$166,'Données projet'!$B$166,DO87+DN88-DW87)))</f>
        <v>200.6350000000001</v>
      </c>
      <c r="DP88" s="18">
        <f>DO88*VLOOKUP('Données projet'!$B$14,Paramètres!$A$1:$I$89,3,0)*VLOOKUP('Données projet'!$B$14,Paramètres!$A$1:$I$89,5,0)</f>
        <v>219.09342000000009</v>
      </c>
      <c r="DQ88" s="14">
        <f t="shared" si="97"/>
        <v>53.917797707619663</v>
      </c>
      <c r="DR88" s="22">
        <f t="shared" si="70"/>
        <v>475.49453750743777</v>
      </c>
      <c r="DS88" s="62">
        <f t="shared" si="71"/>
        <v>768.82787084077108</v>
      </c>
      <c r="DT88" s="62">
        <f ca="1">AVERAGE(OFFSET($DS$3,0,0,'Données projet'!$E$14+1,1))-AVERAGE(OFFSET($H$3,0,0,'Données projet'!$E$14+1,1))</f>
        <v>541.0854688453461</v>
      </c>
      <c r="DU88" s="62">
        <f t="shared" si="98"/>
        <v>171.04847168584473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9.8461538461538467</v>
      </c>
      <c r="EJ88" s="13">
        <f>IF('Données projet'!$A$192&gt;35,EJ87+EI88-ER87,IF(A88&lt;'Données projet'!$A$192,$EG$205^A88,IF(A88='Données projet'!$A$192,'Données projet'!$B$192,EJ87+EI88-ER87)))</f>
        <v>334.9230769230773</v>
      </c>
      <c r="EK88" s="18">
        <f>EJ88*VLOOKUP('Données projet'!$B$15,Paramètres!$A$1:$I$89,3,0)*VLOOKUP('Données projet'!$B$15,Paramètres!$A$1:$I$89,5,0)</f>
        <v>200.28400000000025</v>
      </c>
      <c r="EL88" s="14">
        <f t="shared" si="99"/>
        <v>49.806577174089412</v>
      </c>
      <c r="EM88" s="22">
        <f t="shared" si="73"/>
        <v>435.5744219115395</v>
      </c>
      <c r="EN88" s="62">
        <f t="shared" si="74"/>
        <v>728.90775524487276</v>
      </c>
      <c r="EO88" s="62">
        <f ca="1">AVERAGE(OFFSET($EN$3,0,0,'Données projet'!$E$15+1,1))-AVERAGE(OFFSET($H$3,0,0,'Données projet'!$E$15+1,1))</f>
        <v>244.01698421598974</v>
      </c>
      <c r="EP88" s="62">
        <f t="shared" si="100"/>
        <v>156.96653202915024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0.78280726050665106</v>
      </c>
      <c r="EX88" s="23">
        <f>EXP(-LN(2)/2)*EX87+(1-EXP(-LN(2)/2))/(LN(2)/2)*ER88*EU88*VLOOKUP('Données projet'!$B$15,Paramètres!$A$1:$I$89,3,0)*0.475*44/12</f>
        <v>5.2463852649752871E-8</v>
      </c>
      <c r="EY88" s="24">
        <f t="shared" si="75"/>
        <v>0.78280731297050365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-5.6843418860808015E-14</v>
      </c>
      <c r="FF88" s="18">
        <f>FE88*VLOOKUP('Données projet'!$B$16,Paramètres!$A$1:$I$89,3,0)*VLOOKUP('Données projet'!$B$16,Paramètres!$A$1:$I$89,5,0)</f>
        <v>-4.9658410716801891E-14</v>
      </c>
      <c r="FG88" s="14" t="e">
        <f t="shared" si="101"/>
        <v>#NUM!</v>
      </c>
      <c r="FH88" s="22" t="e">
        <f t="shared" si="76"/>
        <v>#NUM!</v>
      </c>
      <c r="FI88" s="62" t="e">
        <f t="shared" si="77"/>
        <v>#NUM!</v>
      </c>
      <c r="FJ88" s="62">
        <f ca="1">AVERAGE(OFFSET($FI$3,0,0,'Données projet'!$E$16+1,1))-AVERAGE(OFFSET($H$3,0,0,'Données projet'!$E$16+1,1))</f>
        <v>175.08726167127026</v>
      </c>
      <c r="FK88" s="62">
        <f t="shared" si="102"/>
        <v>196.05343924817117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>
        <f>VLOOKUP(A88,'Données projet'!$A$243:$I$263,2,0)</f>
        <v>157</v>
      </c>
      <c r="FX88" s="13">
        <f>VLOOKUP(A88,'Données projet'!$A$243:$I$263,9,0)</f>
        <v>2.4</v>
      </c>
      <c r="FY88" s="13">
        <f t="array" ref="FY88">INDEX(FX:FX,MIN(IF(ISNUMBER(FX88:FX284),ROW(FX88:FX284),"")))</f>
        <v>2.4</v>
      </c>
      <c r="FZ88" s="13">
        <f>IF('Données projet'!$A$244&gt;35,FZ87+FY88-GH87,IF(A88&lt;'Données projet'!$A$244,$FW$205^A88,IF(A88='Données projet'!$A$244,'Données projet'!$B$244,FZ87+FY88-GH87)))</f>
        <v>157.00000000000011</v>
      </c>
      <c r="GA88" s="18">
        <f>FZ88*VLOOKUP('Données projet'!$B$17,Paramètres!$A$1:$I$89,3,0)*VLOOKUP('Données projet'!$B$17,Paramètres!$A$1:$I$89,5,0)</f>
        <v>102.86640000000007</v>
      </c>
      <c r="GB88" s="14">
        <f t="shared" si="103"/>
        <v>27.643750580905362</v>
      </c>
      <c r="GC88" s="22">
        <f t="shared" si="79"/>
        <v>227.30517892841024</v>
      </c>
      <c r="GD88" s="62">
        <f t="shared" si="80"/>
        <v>520.63851226174359</v>
      </c>
      <c r="GE88" s="62">
        <f ca="1">AVERAGE(OFFSET($GD$3,0,0,'Données projet'!$E$17+1,1))-AVERAGE(OFFSET($H$3,0,0,'Données projet'!$E$17+1,1))</f>
        <v>142.93037460866543</v>
      </c>
      <c r="GF88" s="62">
        <f t="shared" si="104"/>
        <v>146.18554498808049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>
        <f>VLOOKUP(A88,'Données projet'!$A$269:$I$289,2,0)</f>
        <v>152</v>
      </c>
      <c r="GS88" s="13">
        <f>VLOOKUP(A88,'Données projet'!$A$269:$I$289,9,0)</f>
        <v>3</v>
      </c>
      <c r="GT88" s="13">
        <f t="array" ref="GT88">INDEX(GS:GS,MIN(IF(ISNUMBER(GS88:GS284),ROW(GS88:GS284),"")))</f>
        <v>3</v>
      </c>
      <c r="GU88" s="13">
        <f>IF('Données projet'!$A$270&gt;35,GU87+GT88-HC87,IF(A88&lt;'Données projet'!$A$270,$GR$205^A88,IF(A88='Données projet'!$A$270,'Données projet'!$B$270,GU87+GT88-HC87)))</f>
        <v>152</v>
      </c>
      <c r="GV88" s="18">
        <f>GU88*VLOOKUP('Données projet'!$B$18,Paramètres!$A$1:$I$89,3,0)*VLOOKUP('Données projet'!$B$18,Paramètres!$A$1:$I$89,5,0)</f>
        <v>130.41600000000003</v>
      </c>
      <c r="GW88" s="14">
        <f t="shared" si="105"/>
        <v>34.092466837179941</v>
      </c>
      <c r="GX88" s="22">
        <f t="shared" si="82"/>
        <v>286.51891307475512</v>
      </c>
      <c r="GY88" s="62">
        <f t="shared" si="83"/>
        <v>579.85224640808838</v>
      </c>
      <c r="GZ88" s="62">
        <f ca="1">AVERAGE(OFFSET($GY$3,0,0,'Données projet'!$E$18+1,1))-AVERAGE(OFFSET($H$3,0,0,'Données projet'!$E$18+1,1))</f>
        <v>188.08607733149256</v>
      </c>
      <c r="HA88" s="62">
        <f t="shared" si="106"/>
        <v>119.95698016603842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25.713999999999974</v>
      </c>
      <c r="D89" s="12">
        <f t="shared" si="86"/>
        <v>8.1204100194831188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261.17790190478178</v>
      </c>
      <c r="H89" s="70">
        <f t="shared" si="56"/>
        <v>315.59493078393308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3.2</v>
      </c>
      <c r="N89" s="14">
        <f>IF('Données projet'!$A$36&gt;35,N88+M89-V88,IF(A89&lt;'Données projet'!$A$36,$K$205^A89,IF(A89='Données projet'!$A$36,'Données projet'!$B$36,N88+M89-V88)))</f>
        <v>155.19999999999999</v>
      </c>
      <c r="O89" s="14">
        <f>N89*VLOOKUP('Données projet'!$B$9,Paramètres!$A$1:$I$89,3,0)*VLOOKUP('Données projet'!$B$9,Paramètres!$A$1:$I$89,5,0)</f>
        <v>167.05727999999996</v>
      </c>
      <c r="P89" s="14">
        <f t="shared" si="87"/>
        <v>42.430283899339855</v>
      </c>
      <c r="Q89" s="22">
        <f t="shared" si="54"/>
        <v>364.85750712468354</v>
      </c>
      <c r="R89" s="62">
        <f t="shared" si="55"/>
        <v>658.19084045801685</v>
      </c>
      <c r="S89" s="62">
        <f ca="1">AVERAGE(OFFSET($R$3,0,0,'Données projet'!$E$9+1,1))-AVERAGE(OFFSET($H$3,0,0,'Données projet'!$E$9+1,1))</f>
        <v>236.98575892380046</v>
      </c>
      <c r="T89" s="62">
        <f t="shared" si="88"/>
        <v>145.77678223659774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3.6835164835164806</v>
      </c>
      <c r="AI89" s="14">
        <f>IF('Données projet'!$A$62&gt;35,AI88+AH89-AQ88,IF(A89&lt;'Données projet'!$A$62,$AF$205^A89,IF(A89='Données projet'!$A$62,'Données projet'!$B$62,AI88+AH89-AQ88)))</f>
        <v>155.6186813186813</v>
      </c>
      <c r="AJ89" s="14">
        <f>AI89*VLOOKUP('Données projet'!$B$10,Paramètres!$A$1:$I$89,3,0)*VLOOKUP('Données projet'!$B$10,Paramètres!$A$1:$I$89,5,0)</f>
        <v>91.036928571428561</v>
      </c>
      <c r="AK89" s="14">
        <f t="shared" si="89"/>
        <v>24.815140218873672</v>
      </c>
      <c r="AL89" s="22">
        <f t="shared" si="58"/>
        <v>201.77568647644307</v>
      </c>
      <c r="AM89" s="62">
        <f t="shared" si="59"/>
        <v>495.10901980977638</v>
      </c>
      <c r="AN89" s="62">
        <f ca="1">AVERAGE(OFFSET($AM$3,0,0,'Données projet'!$E$10+1,1))-AVERAGE(OFFSET($H$3,0,0,'Données projet'!$E$10+1,1))</f>
        <v>140.04898296125504</v>
      </c>
      <c r="AO89" s="62">
        <f t="shared" si="90"/>
        <v>129.5395511270716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9.0717948717948698</v>
      </c>
      <c r="BD89" s="13">
        <f>IF('Données projet'!$A$88&gt;35,BD88+BC89-BL88,IF(A89&lt;'Données projet'!$A$88,$BA$205^A89,IF(A89='Données projet'!$A$88,'Données projet'!$B$88,BD88+BC89-BL88)))</f>
        <v>374.06666666666615</v>
      </c>
      <c r="BE89" s="14">
        <f>BD89*VLOOKUP('Données projet'!$B$11,Paramètres!$A$1:$I$89,3,0)*VLOOKUP('Données projet'!$B$11,Paramètres!$A$1:$I$89,5,0)</f>
        <v>175.06319999999977</v>
      </c>
      <c r="BF89" s="14">
        <f t="shared" si="91"/>
        <v>44.222067746824685</v>
      </c>
      <c r="BG89" s="22">
        <f t="shared" si="61"/>
        <v>381.92184132571924</v>
      </c>
      <c r="BH89" s="62">
        <f t="shared" si="62"/>
        <v>675.2551746590525</v>
      </c>
      <c r="BI89" s="62">
        <f ca="1">AVERAGE(OFFSET($BH$3,0,0,'Données projet'!$E$11+1,1))-AVERAGE(OFFSET($H$3,0,0,'Données projet'!$E$11+1,1))</f>
        <v>207.84100251878419</v>
      </c>
      <c r="BJ89" s="62">
        <f t="shared" si="92"/>
        <v>124.34917784241952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1.5399999999999978</v>
      </c>
      <c r="BY89" s="13">
        <f>IF('Données projet'!$A$114&gt;35,BY88+BX89-CG88,IF(A89&lt;'Données projet'!$A$114,$BV$205^A89,IF(A89='Données projet'!$A$114,'Données projet'!$B$114,BY88+BX89-CG88)))</f>
        <v>298.73999999999961</v>
      </c>
      <c r="BZ89" s="14">
        <f>BY89*VLOOKUP('Données projet'!$B$12,Paramètres!$A$1:$I$89,3,0)*VLOOKUP('Données projet'!$B$12,Paramètres!$A$1:$I$89,5,0)</f>
        <v>155.34479999999982</v>
      </c>
      <c r="CA89" s="14">
        <f t="shared" si="93"/>
        <v>39.790724515827861</v>
      </c>
      <c r="CB89" s="22">
        <f t="shared" si="64"/>
        <v>339.86103853173319</v>
      </c>
      <c r="CC89" s="62">
        <f t="shared" si="65"/>
        <v>633.1943718650665</v>
      </c>
      <c r="CD89" s="62">
        <f ca="1">AVERAGE(OFFSET($CC$3,0,0,'Données projet'!$E$12+1,1))-AVERAGE(OFFSET($H$3,0,0,'Données projet'!$E$12+1,1))</f>
        <v>211.05980622218578</v>
      </c>
      <c r="CE89" s="62">
        <f t="shared" si="94"/>
        <v>168.57746894604855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1.5429166666666674</v>
      </c>
      <c r="CT89" s="13">
        <f>IF('Données projet'!$A$140&gt;35,CT88+CS89-DB88,IF(A89&lt;'Données projet'!$A$140,$CQ$205^A89,IF(A89='Données projet'!$A$140,'Données projet'!$B$140,CT88+CS89-DB88)))</f>
        <v>100.23666666666662</v>
      </c>
      <c r="CU89" s="18">
        <f>CT89*VLOOKUP('Données projet'!$B$13,Paramètres!$A$1:$I$89,3,0)*VLOOKUP('Données projet'!$B$13,Paramètres!$A$1:$I$89,5,0)</f>
        <v>115.47263999999994</v>
      </c>
      <c r="CV89" s="14">
        <f t="shared" si="95"/>
        <v>30.616715119547948</v>
      </c>
      <c r="CW89" s="22">
        <f t="shared" si="67"/>
        <v>254.43896016654585</v>
      </c>
      <c r="CX89" s="62">
        <f t="shared" si="68"/>
        <v>547.7722934998792</v>
      </c>
      <c r="CY89" s="62">
        <f ca="1">AVERAGE(OFFSET($CX$3,0,0,'Données projet'!$E$13+1,1))-AVERAGE(OFFSET($H$3,0,0,'Données projet'!$E$13+1,1))</f>
        <v>191.79777926975839</v>
      </c>
      <c r="CZ89" s="62">
        <f t="shared" si="96"/>
        <v>156.66161375678712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4.4729999999999999</v>
      </c>
      <c r="DO89" s="13">
        <f>IF('Données projet'!$A$166&gt;35,DO88+DN89-DW88,IF(A89&lt;'Données projet'!$A$166,$DL$205^A89,IF(A89='Données projet'!$A$166,'Données projet'!$B$166,DO88+DN89-DW88)))</f>
        <v>205.10800000000012</v>
      </c>
      <c r="DP89" s="18">
        <f>DO89*VLOOKUP('Données projet'!$B$14,Paramètres!$A$1:$I$89,3,0)*VLOOKUP('Données projet'!$B$14,Paramètres!$A$1:$I$89,5,0)</f>
        <v>223.97793600000011</v>
      </c>
      <c r="DQ89" s="14">
        <f t="shared" si="97"/>
        <v>54.97856667882801</v>
      </c>
      <c r="DR89" s="22">
        <f t="shared" si="70"/>
        <v>485.84924216562564</v>
      </c>
      <c r="DS89" s="62">
        <f t="shared" si="71"/>
        <v>779.18257549895895</v>
      </c>
      <c r="DT89" s="62">
        <f ca="1">AVERAGE(OFFSET($DS$3,0,0,'Données projet'!$E$14+1,1))-AVERAGE(OFFSET($H$3,0,0,'Données projet'!$E$14+1,1))</f>
        <v>541.0854688453461</v>
      </c>
      <c r="DU89" s="62">
        <f t="shared" si="98"/>
        <v>171.04847168584473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9.8461538461538467</v>
      </c>
      <c r="EJ89" s="13">
        <f>IF('Données projet'!$A$192&gt;35,EJ88+EI89-ER88,IF(A89&lt;'Données projet'!$A$192,$EG$205^A89,IF(A89='Données projet'!$A$192,'Données projet'!$B$192,EJ88+EI89-ER88)))</f>
        <v>344.76923076923117</v>
      </c>
      <c r="EK89" s="18">
        <f>EJ89*VLOOKUP('Données projet'!$B$15,Paramètres!$A$1:$I$89,3,0)*VLOOKUP('Données projet'!$B$15,Paramètres!$A$1:$I$89,5,0)</f>
        <v>206.17200000000028</v>
      </c>
      <c r="EL89" s="14">
        <f t="shared" si="99"/>
        <v>51.098177848020335</v>
      </c>
      <c r="EM89" s="22">
        <f t="shared" si="73"/>
        <v>448.07889308530258</v>
      </c>
      <c r="EN89" s="62">
        <f t="shared" si="74"/>
        <v>741.4122264186359</v>
      </c>
      <c r="EO89" s="62">
        <f ca="1">AVERAGE(OFFSET($EN$3,0,0,'Données projet'!$E$15+1,1))-AVERAGE(OFFSET($H$3,0,0,'Données projet'!$E$15+1,1))</f>
        <v>244.01698421598974</v>
      </c>
      <c r="EP89" s="62">
        <f t="shared" si="100"/>
        <v>156.96653202915024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0.76140135480205196</v>
      </c>
      <c r="EX89" s="23">
        <f>EXP(-LN(2)/2)*EX88+(1-EXP(-LN(2)/2))/(LN(2)/2)*ER89*EU89*VLOOKUP('Données projet'!$B$15,Paramètres!$A$1:$I$89,3,0)*0.475*44/12</f>
        <v>3.7097545975812074E-8</v>
      </c>
      <c r="EY89" s="24">
        <f t="shared" si="75"/>
        <v>0.76140139189959788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-5.6843418860808015E-14</v>
      </c>
      <c r="FF89" s="18">
        <f>FE89*VLOOKUP('Données projet'!$B$16,Paramètres!$A$1:$I$89,3,0)*VLOOKUP('Données projet'!$B$16,Paramètres!$A$1:$I$89,5,0)</f>
        <v>-4.9658410716801891E-14</v>
      </c>
      <c r="FG89" s="14" t="e">
        <f t="shared" si="101"/>
        <v>#NUM!</v>
      </c>
      <c r="FH89" s="22" t="e">
        <f t="shared" si="76"/>
        <v>#NUM!</v>
      </c>
      <c r="FI89" s="62" t="e">
        <f t="shared" si="77"/>
        <v>#NUM!</v>
      </c>
      <c r="FJ89" s="62">
        <f ca="1">AVERAGE(OFFSET($FI$3,0,0,'Données projet'!$E$16+1,1))-AVERAGE(OFFSET($H$3,0,0,'Données projet'!$E$16+1,1))</f>
        <v>175.08726167127026</v>
      </c>
      <c r="FK89" s="62">
        <f t="shared" si="102"/>
        <v>196.05343924817117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2.6</v>
      </c>
      <c r="FZ89" s="13">
        <f>IF('Données projet'!$A$244&gt;35,FZ88+FY89-GH88,IF(A89&lt;'Données projet'!$A$244,$FW$205^A89,IF(A89='Données projet'!$A$244,'Données projet'!$B$244,FZ88+FY89-GH88)))</f>
        <v>159.60000000000011</v>
      </c>
      <c r="GA89" s="18">
        <f>FZ89*VLOOKUP('Données projet'!$B$17,Paramètres!$A$1:$I$89,3,0)*VLOOKUP('Données projet'!$B$17,Paramètres!$A$1:$I$89,5,0)</f>
        <v>104.56992000000007</v>
      </c>
      <c r="GB89" s="14">
        <f t="shared" si="103"/>
        <v>28.047870394522572</v>
      </c>
      <c r="GC89" s="22">
        <f t="shared" si="79"/>
        <v>230.97598493712692</v>
      </c>
      <c r="GD89" s="62">
        <f t="shared" si="80"/>
        <v>524.30931827046027</v>
      </c>
      <c r="GE89" s="62">
        <f ca="1">AVERAGE(OFFSET($GD$3,0,0,'Données projet'!$E$17+1,1))-AVERAGE(OFFSET($H$3,0,0,'Données projet'!$E$17+1,1))</f>
        <v>142.93037460866543</v>
      </c>
      <c r="GF89" s="62">
        <f t="shared" si="104"/>
        <v>146.18554498808049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3.2</v>
      </c>
      <c r="GU89" s="13">
        <f>IF('Données projet'!$A$270&gt;35,GU88+GT89-HC88,IF(A89&lt;'Données projet'!$A$270,$GR$205^A89,IF(A89='Données projet'!$A$270,'Données projet'!$B$270,GU88+GT89-HC88)))</f>
        <v>155.19999999999999</v>
      </c>
      <c r="GV89" s="18">
        <f>GU89*VLOOKUP('Données projet'!$B$18,Paramètres!$A$1:$I$89,3,0)*VLOOKUP('Données projet'!$B$18,Paramètres!$A$1:$I$89,5,0)</f>
        <v>133.16159999999999</v>
      </c>
      <c r="GW89" s="14">
        <f t="shared" si="105"/>
        <v>34.725887463082756</v>
      </c>
      <c r="GX89" s="22">
        <f t="shared" si="82"/>
        <v>292.40404066486911</v>
      </c>
      <c r="GY89" s="62">
        <f t="shared" si="83"/>
        <v>585.73737399820243</v>
      </c>
      <c r="GZ89" s="62">
        <f ca="1">AVERAGE(OFFSET($GY$3,0,0,'Données projet'!$E$18+1,1))-AVERAGE(OFFSET($H$3,0,0,'Données projet'!$E$18+1,1))</f>
        <v>188.08607733149256</v>
      </c>
      <c r="HA89" s="62">
        <f t="shared" si="106"/>
        <v>119.95698016603842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26.012999999999973</v>
      </c>
      <c r="D90" s="12">
        <f t="shared" si="86"/>
        <v>8.2037862916390996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264.12957839159986</v>
      </c>
      <c r="H90" s="70">
        <f t="shared" si="56"/>
        <v>316.26090279127141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3.2</v>
      </c>
      <c r="N90" s="14">
        <f>IF('Données projet'!$A$36&gt;35,N89+M90-V89,IF(A90&lt;'Données projet'!$A$36,$K$205^A90,IF(A90='Données projet'!$A$36,'Données projet'!$B$36,N89+M90-V89)))</f>
        <v>158.39999999999998</v>
      </c>
      <c r="O90" s="14">
        <f>N90*VLOOKUP('Données projet'!$B$9,Paramètres!$A$1:$I$89,3,0)*VLOOKUP('Données projet'!$B$9,Paramètres!$A$1:$I$89,5,0)</f>
        <v>170.50175999999996</v>
      </c>
      <c r="P90" s="14">
        <f t="shared" si="87"/>
        <v>43.202381851006599</v>
      </c>
      <c r="Q90" s="22">
        <f t="shared" si="54"/>
        <v>372.20138039050306</v>
      </c>
      <c r="R90" s="62">
        <f t="shared" si="55"/>
        <v>665.53471372383638</v>
      </c>
      <c r="S90" s="62">
        <f ca="1">AVERAGE(OFFSET($R$3,0,0,'Données projet'!$E$9+1,1))-AVERAGE(OFFSET($H$3,0,0,'Données projet'!$E$9+1,1))</f>
        <v>236.98575892380046</v>
      </c>
      <c r="T90" s="62">
        <f t="shared" si="88"/>
        <v>145.77678223659774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3.6835164835164806</v>
      </c>
      <c r="AI90" s="14">
        <f>IF('Données projet'!$A$62&gt;35,AI89+AH90-AQ89,IF(A90&lt;'Données projet'!$A$62,$AF$205^A90,IF(A90='Données projet'!$A$62,'Données projet'!$B$62,AI89+AH90-AQ89)))</f>
        <v>159.30219780219778</v>
      </c>
      <c r="AJ90" s="14">
        <f>AI90*VLOOKUP('Données projet'!$B$10,Paramètres!$A$1:$I$89,3,0)*VLOOKUP('Données projet'!$B$10,Paramètres!$A$1:$I$89,5,0)</f>
        <v>93.191785714285714</v>
      </c>
      <c r="AK90" s="14">
        <f t="shared" si="89"/>
        <v>25.333438587650654</v>
      </c>
      <c r="AL90" s="22">
        <f t="shared" si="58"/>
        <v>206.43143232587249</v>
      </c>
      <c r="AM90" s="62">
        <f t="shared" si="59"/>
        <v>499.76476565920581</v>
      </c>
      <c r="AN90" s="62">
        <f ca="1">AVERAGE(OFFSET($AM$3,0,0,'Données projet'!$E$10+1,1))-AVERAGE(OFFSET($H$3,0,0,'Données projet'!$E$10+1,1))</f>
        <v>140.04898296125504</v>
      </c>
      <c r="AO90" s="62">
        <f t="shared" si="90"/>
        <v>129.5395511270716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>
        <f>VLOOKUP(A90,'Données projet'!$A$87:$I$107,2,0)</f>
        <v>383.13846153846151</v>
      </c>
      <c r="BB90" s="13">
        <f>VLOOKUP(A90,'Données projet'!$A$87:$I$107,9,0)</f>
        <v>9.0717948717948698</v>
      </c>
      <c r="BC90" s="13">
        <f t="array" ref="BC90">INDEX(BB:BB,MIN(IF(ISNUMBER(BB90:BB286),ROW(BB90:BB286),"")))</f>
        <v>9.0717948717948698</v>
      </c>
      <c r="BD90" s="13">
        <f>IF('Données projet'!$A$88&gt;35,BD89+BC90-BL89,IF(A90&lt;'Données projet'!$A$88,$BA$205^A90,IF(A90='Données projet'!$A$88,'Données projet'!$B$88,BD89+BC90-BL89)))</f>
        <v>383.138461538461</v>
      </c>
      <c r="BE90" s="14">
        <f>BD90*VLOOKUP('Données projet'!$B$11,Paramètres!$A$1:$I$89,3,0)*VLOOKUP('Données projet'!$B$11,Paramètres!$A$1:$I$89,5,0)</f>
        <v>179.30879999999974</v>
      </c>
      <c r="BF90" s="14">
        <f t="shared" si="91"/>
        <v>45.168372484136519</v>
      </c>
      <c r="BG90" s="22">
        <f t="shared" si="61"/>
        <v>390.96440874320393</v>
      </c>
      <c r="BH90" s="62">
        <f t="shared" si="62"/>
        <v>684.29774207653725</v>
      </c>
      <c r="BI90" s="62">
        <f ca="1">AVERAGE(OFFSET($BH$3,0,0,'Données projet'!$E$11+1,1))-AVERAGE(OFFSET($H$3,0,0,'Données projet'!$E$11+1,1))</f>
        <v>207.84100251878419</v>
      </c>
      <c r="BJ90" s="62">
        <f t="shared" si="92"/>
        <v>124.34917784241952</v>
      </c>
      <c r="BK90" s="16">
        <f>IF(ISNA(VLOOKUP(A90,'Données projet'!$A$87:$I$107,3,0)),0,VLOOKUP(A90,'Données projet'!$A$87:$I$107,3,0))</f>
        <v>4</v>
      </c>
      <c r="BL90" s="16">
        <f>IF(ISNA(VLOOKUP(A90,'Données projet'!$A$87:$I$107,4,0)),0,VLOOKUP(A90,'Données projet'!$A$87:$I$107,4,0))</f>
        <v>82.938461538461524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1.5399999999999978</v>
      </c>
      <c r="BY90" s="13">
        <f>IF('Données projet'!$A$114&gt;35,BY89+BX90-CG89,IF(A90&lt;'Données projet'!$A$114,$BV$205^A90,IF(A90='Données projet'!$A$114,'Données projet'!$B$114,BY89+BX90-CG89)))</f>
        <v>300.27999999999963</v>
      </c>
      <c r="BZ90" s="14">
        <f>BY90*VLOOKUP('Données projet'!$B$12,Paramètres!$A$1:$I$89,3,0)*VLOOKUP('Données projet'!$B$12,Paramètres!$A$1:$I$89,5,0)</f>
        <v>156.1455999999998</v>
      </c>
      <c r="CA90" s="14">
        <f t="shared" si="93"/>
        <v>39.971914768670302</v>
      </c>
      <c r="CB90" s="22">
        <f t="shared" si="64"/>
        <v>341.57133822210039</v>
      </c>
      <c r="CC90" s="62">
        <f t="shared" si="65"/>
        <v>634.90467155543365</v>
      </c>
      <c r="CD90" s="62">
        <f ca="1">AVERAGE(OFFSET($CC$3,0,0,'Données projet'!$E$12+1,1))-AVERAGE(OFFSET($H$3,0,0,'Données projet'!$E$12+1,1))</f>
        <v>211.05980622218578</v>
      </c>
      <c r="CE90" s="62">
        <f t="shared" si="94"/>
        <v>168.57746894604855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1.5429166666666674</v>
      </c>
      <c r="CT90" s="13">
        <f>IF('Données projet'!$A$140&gt;35,CT89+CS90-DB89,IF(A90&lt;'Données projet'!$A$140,$CQ$205^A90,IF(A90='Données projet'!$A$140,'Données projet'!$B$140,CT89+CS90-DB89)))</f>
        <v>101.77958333333329</v>
      </c>
      <c r="CU90" s="18">
        <f>CT90*VLOOKUP('Données projet'!$B$13,Paramètres!$A$1:$I$89,3,0)*VLOOKUP('Données projet'!$B$13,Paramètres!$A$1:$I$89,5,0)</f>
        <v>117.25007999999994</v>
      </c>
      <c r="CV90" s="14">
        <f t="shared" si="95"/>
        <v>31.032762821194346</v>
      </c>
      <c r="CW90" s="22">
        <f t="shared" si="67"/>
        <v>258.25928458024669</v>
      </c>
      <c r="CX90" s="62">
        <f t="shared" si="68"/>
        <v>551.59261791357994</v>
      </c>
      <c r="CY90" s="62">
        <f ca="1">AVERAGE(OFFSET($CX$3,0,0,'Données projet'!$E$13+1,1))-AVERAGE(OFFSET($H$3,0,0,'Données projet'!$E$13+1,1))</f>
        <v>191.79777926975839</v>
      </c>
      <c r="CZ90" s="62">
        <f t="shared" si="96"/>
        <v>156.66161375678712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4.4729999999999999</v>
      </c>
      <c r="DO90" s="13">
        <f>IF('Données projet'!$A$166&gt;35,DO89+DN90-DW89,IF(A90&lt;'Données projet'!$A$166,$DL$205^A90,IF(A90='Données projet'!$A$166,'Données projet'!$B$166,DO89+DN90-DW89)))</f>
        <v>209.58100000000013</v>
      </c>
      <c r="DP90" s="18">
        <f>DO90*VLOOKUP('Données projet'!$B$14,Paramètres!$A$1:$I$89,3,0)*VLOOKUP('Données projet'!$B$14,Paramètres!$A$1:$I$89,5,0)</f>
        <v>228.8624520000001</v>
      </c>
      <c r="DQ90" s="14">
        <f t="shared" si="97"/>
        <v>56.03664612635923</v>
      </c>
      <c r="DR90" s="22">
        <f t="shared" si="70"/>
        <v>496.19926257007586</v>
      </c>
      <c r="DS90" s="62">
        <f t="shared" si="71"/>
        <v>789.53259590340917</v>
      </c>
      <c r="DT90" s="62">
        <f ca="1">AVERAGE(OFFSET($DS$3,0,0,'Données projet'!$E$14+1,1))-AVERAGE(OFFSET($H$3,0,0,'Données projet'!$E$14+1,1))</f>
        <v>541.0854688453461</v>
      </c>
      <c r="DU90" s="62">
        <f t="shared" si="98"/>
        <v>171.04847168584473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9.8461538461538467</v>
      </c>
      <c r="EJ90" s="13">
        <f>IF('Données projet'!$A$192&gt;35,EJ89+EI90-ER89,IF(A90&lt;'Données projet'!$A$192,$EG$205^A90,IF(A90='Données projet'!$A$192,'Données projet'!$B$192,EJ89+EI90-ER89)))</f>
        <v>354.61538461538504</v>
      </c>
      <c r="EK90" s="18">
        <f>EJ90*VLOOKUP('Données projet'!$B$15,Paramètres!$A$1:$I$89,3,0)*VLOOKUP('Données projet'!$B$15,Paramètres!$A$1:$I$89,5,0)</f>
        <v>212.06000000000026</v>
      </c>
      <c r="EL90" s="14">
        <f t="shared" si="99"/>
        <v>52.385491456666884</v>
      </c>
      <c r="EM90" s="22">
        <f t="shared" si="73"/>
        <v>460.5758976203619</v>
      </c>
      <c r="EN90" s="62">
        <f t="shared" si="74"/>
        <v>753.90923095369521</v>
      </c>
      <c r="EO90" s="62">
        <f ca="1">AVERAGE(OFFSET($EN$3,0,0,'Données projet'!$E$15+1,1))-AVERAGE(OFFSET($H$3,0,0,'Données projet'!$E$15+1,1))</f>
        <v>244.01698421598974</v>
      </c>
      <c r="EP90" s="62">
        <f t="shared" si="100"/>
        <v>156.96653202915024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0.74058079471463278</v>
      </c>
      <c r="EX90" s="23">
        <f>EXP(-LN(2)/2)*EX89+(1-EXP(-LN(2)/2))/(LN(2)/2)*ER90*EU90*VLOOKUP('Données projet'!$B$15,Paramètres!$A$1:$I$89,3,0)*0.475*44/12</f>
        <v>2.6231926324876435E-8</v>
      </c>
      <c r="EY90" s="24">
        <f t="shared" si="75"/>
        <v>0.74058082094655908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-5.6843418860808015E-14</v>
      </c>
      <c r="FF90" s="18">
        <f>FE90*VLOOKUP('Données projet'!$B$16,Paramètres!$A$1:$I$89,3,0)*VLOOKUP('Données projet'!$B$16,Paramètres!$A$1:$I$89,5,0)</f>
        <v>-4.9658410716801891E-14</v>
      </c>
      <c r="FG90" s="14" t="e">
        <f t="shared" si="101"/>
        <v>#NUM!</v>
      </c>
      <c r="FH90" s="22" t="e">
        <f t="shared" si="76"/>
        <v>#NUM!</v>
      </c>
      <c r="FI90" s="62" t="e">
        <f t="shared" si="77"/>
        <v>#NUM!</v>
      </c>
      <c r="FJ90" s="62">
        <f ca="1">AVERAGE(OFFSET($FI$3,0,0,'Données projet'!$E$16+1,1))-AVERAGE(OFFSET($H$3,0,0,'Données projet'!$E$16+1,1))</f>
        <v>175.08726167127026</v>
      </c>
      <c r="FK90" s="62">
        <f t="shared" si="102"/>
        <v>196.05343924817117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2.6</v>
      </c>
      <c r="FZ90" s="13">
        <f>IF('Données projet'!$A$244&gt;35,FZ89+FY90-GH89,IF(A90&lt;'Données projet'!$A$244,$FW$205^A90,IF(A90='Données projet'!$A$244,'Données projet'!$B$244,FZ89+FY90-GH89)))</f>
        <v>162.2000000000001</v>
      </c>
      <c r="GA90" s="18">
        <f>FZ90*VLOOKUP('Données projet'!$B$17,Paramètres!$A$1:$I$89,3,0)*VLOOKUP('Données projet'!$B$17,Paramètres!$A$1:$I$89,5,0)</f>
        <v>106.27344000000006</v>
      </c>
      <c r="GB90" s="14">
        <f t="shared" si="103"/>
        <v>28.451224590031298</v>
      </c>
      <c r="GC90" s="22">
        <f t="shared" si="79"/>
        <v>234.64545749430457</v>
      </c>
      <c r="GD90" s="62">
        <f t="shared" si="80"/>
        <v>527.97879082763791</v>
      </c>
      <c r="GE90" s="62">
        <f ca="1">AVERAGE(OFFSET($GD$3,0,0,'Données projet'!$E$17+1,1))-AVERAGE(OFFSET($H$3,0,0,'Données projet'!$E$17+1,1))</f>
        <v>142.93037460866543</v>
      </c>
      <c r="GF90" s="62">
        <f t="shared" si="104"/>
        <v>146.18554498808049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3.2</v>
      </c>
      <c r="GU90" s="13">
        <f>IF('Données projet'!$A$270&gt;35,GU89+GT90-HC89,IF(A90&lt;'Données projet'!$A$270,$GR$205^A90,IF(A90='Données projet'!$A$270,'Données projet'!$B$270,GU89+GT90-HC89)))</f>
        <v>158.39999999999998</v>
      </c>
      <c r="GV90" s="18">
        <f>GU90*VLOOKUP('Données projet'!$B$18,Paramètres!$A$1:$I$89,3,0)*VLOOKUP('Données projet'!$B$18,Paramètres!$A$1:$I$89,5,0)</f>
        <v>135.90719999999999</v>
      </c>
      <c r="GW90" s="14">
        <f t="shared" si="105"/>
        <v>35.357789588547313</v>
      </c>
      <c r="GX90" s="22">
        <f t="shared" si="82"/>
        <v>298.28652353338651</v>
      </c>
      <c r="GY90" s="62">
        <f t="shared" si="83"/>
        <v>591.61985686671983</v>
      </c>
      <c r="GZ90" s="62">
        <f ca="1">AVERAGE(OFFSET($GY$3,0,0,'Données projet'!$E$18+1,1))-AVERAGE(OFFSET($H$3,0,0,'Données projet'!$E$18+1,1))</f>
        <v>188.08607733149256</v>
      </c>
      <c r="HA90" s="62">
        <f t="shared" si="106"/>
        <v>119.95698016603842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26.311999999999973</v>
      </c>
      <c r="D91" s="12">
        <f t="shared" si="86"/>
        <v>8.287051084088036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267.08039433331095</v>
      </c>
      <c r="H91" s="70">
        <f t="shared" si="56"/>
        <v>316.92668063811999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3.2</v>
      </c>
      <c r="N91" s="14">
        <f>IF('Données projet'!$A$36&gt;35,N90+M91-V90,IF(A91&lt;'Données projet'!$A$36,$K$205^A91,IF(A91='Données projet'!$A$36,'Données projet'!$B$36,N90+M91-V90)))</f>
        <v>161.59999999999997</v>
      </c>
      <c r="O91" s="14">
        <f>N91*VLOOKUP('Données projet'!$B$9,Paramètres!$A$1:$I$89,3,0)*VLOOKUP('Données projet'!$B$9,Paramètres!$A$1:$I$89,5,0)</f>
        <v>173.94623999999996</v>
      </c>
      <c r="P91" s="14">
        <f t="shared" si="87"/>
        <v>43.972666205274265</v>
      </c>
      <c r="Q91" s="22">
        <f t="shared" si="54"/>
        <v>379.54209497418589</v>
      </c>
      <c r="R91" s="62">
        <f t="shared" si="55"/>
        <v>672.8754283075192</v>
      </c>
      <c r="S91" s="62">
        <f ca="1">AVERAGE(OFFSET($R$3,0,0,'Données projet'!$E$9+1,1))-AVERAGE(OFFSET($H$3,0,0,'Données projet'!$E$9+1,1))</f>
        <v>236.98575892380046</v>
      </c>
      <c r="T91" s="62">
        <f t="shared" si="88"/>
        <v>145.77678223659774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3.6835164835164806</v>
      </c>
      <c r="AI91" s="14">
        <f>IF('Données projet'!$A$62&gt;35,AI90+AH91-AQ90,IF(A91&lt;'Données projet'!$A$62,$AF$205^A91,IF(A91='Données projet'!$A$62,'Données projet'!$B$62,AI90+AH91-AQ90)))</f>
        <v>162.98571428571427</v>
      </c>
      <c r="AJ91" s="14">
        <f>AI91*VLOOKUP('Données projet'!$B$10,Paramètres!$A$1:$I$89,3,0)*VLOOKUP('Données projet'!$B$10,Paramètres!$A$1:$I$89,5,0)</f>
        <v>95.346642857142854</v>
      </c>
      <c r="AK91" s="14">
        <f t="shared" si="89"/>
        <v>25.850343702560167</v>
      </c>
      <c r="AL91" s="22">
        <f t="shared" si="58"/>
        <v>211.08475159148273</v>
      </c>
      <c r="AM91" s="62">
        <f t="shared" si="59"/>
        <v>504.41808492481607</v>
      </c>
      <c r="AN91" s="62">
        <f ca="1">AVERAGE(OFFSET($AM$3,0,0,'Données projet'!$E$10+1,1))-AVERAGE(OFFSET($H$3,0,0,'Données projet'!$E$10+1,1))</f>
        <v>140.04898296125504</v>
      </c>
      <c r="AO91" s="62">
        <f t="shared" si="90"/>
        <v>129.5395511270716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8.1205128205128201</v>
      </c>
      <c r="BD91" s="13">
        <f>IF('Données projet'!$A$88&gt;35,BD90+BC91-BL90,IF(A91&lt;'Données projet'!$A$88,$BA$205^A91,IF(A91='Données projet'!$A$88,'Données projet'!$B$88,BD90+BC91-BL90)))</f>
        <v>308.32051282051231</v>
      </c>
      <c r="BE91" s="14">
        <f>BD91*VLOOKUP('Données projet'!$B$11,Paramètres!$A$1:$I$89,3,0)*VLOOKUP('Données projet'!$B$11,Paramètres!$A$1:$I$89,5,0)</f>
        <v>144.29399999999976</v>
      </c>
      <c r="BF91" s="14">
        <f t="shared" si="91"/>
        <v>37.278964348289335</v>
      </c>
      <c r="BG91" s="22">
        <f t="shared" si="61"/>
        <v>316.23957957327008</v>
      </c>
      <c r="BH91" s="62">
        <f t="shared" si="62"/>
        <v>609.57291290660339</v>
      </c>
      <c r="BI91" s="62">
        <f ca="1">AVERAGE(OFFSET($BH$3,0,0,'Données projet'!$E$11+1,1))-AVERAGE(OFFSET($H$3,0,0,'Données projet'!$E$11+1,1))</f>
        <v>207.84100251878419</v>
      </c>
      <c r="BJ91" s="62">
        <f t="shared" si="92"/>
        <v>124.34917784241952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1.5399999999999978</v>
      </c>
      <c r="BY91" s="13">
        <f>IF('Données projet'!$A$114&gt;35,BY90+BX91-CG90,IF(A91&lt;'Données projet'!$A$114,$BV$205^A91,IF(A91='Données projet'!$A$114,'Données projet'!$B$114,BY90+BX91-CG90)))</f>
        <v>301.81999999999965</v>
      </c>
      <c r="BZ91" s="14">
        <f>BY91*VLOOKUP('Données projet'!$B$12,Paramètres!$A$1:$I$89,3,0)*VLOOKUP('Données projet'!$B$12,Paramètres!$A$1:$I$89,5,0)</f>
        <v>156.94639999999984</v>
      </c>
      <c r="CA91" s="14">
        <f t="shared" si="93"/>
        <v>40.152996889442761</v>
      </c>
      <c r="CB91" s="22">
        <f t="shared" si="64"/>
        <v>343.28144958244587</v>
      </c>
      <c r="CC91" s="62">
        <f t="shared" si="65"/>
        <v>636.61478291577919</v>
      </c>
      <c r="CD91" s="62">
        <f ca="1">AVERAGE(OFFSET($CC$3,0,0,'Données projet'!$E$12+1,1))-AVERAGE(OFFSET($H$3,0,0,'Données projet'!$E$12+1,1))</f>
        <v>211.05980622218578</v>
      </c>
      <c r="CE91" s="62">
        <f t="shared" si="94"/>
        <v>168.57746894604855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1.5429166666666674</v>
      </c>
      <c r="CT91" s="13">
        <f>IF('Données projet'!$A$140&gt;35,CT90+CS91-DB90,IF(A91&lt;'Données projet'!$A$140,$CQ$205^A91,IF(A91='Données projet'!$A$140,'Données projet'!$B$140,CT90+CS91-DB90)))</f>
        <v>103.32249999999996</v>
      </c>
      <c r="CU91" s="18">
        <f>CT91*VLOOKUP('Données projet'!$B$13,Paramètres!$A$1:$I$89,3,0)*VLOOKUP('Données projet'!$B$13,Paramètres!$A$1:$I$89,5,0)</f>
        <v>119.02751999999994</v>
      </c>
      <c r="CV91" s="14">
        <f t="shared" si="95"/>
        <v>31.448077002121423</v>
      </c>
      <c r="CW91" s="22">
        <f t="shared" si="67"/>
        <v>262.07833144536136</v>
      </c>
      <c r="CX91" s="62">
        <f t="shared" si="68"/>
        <v>555.41166477869467</v>
      </c>
      <c r="CY91" s="62">
        <f ca="1">AVERAGE(OFFSET($CX$3,0,0,'Données projet'!$E$13+1,1))-AVERAGE(OFFSET($H$3,0,0,'Données projet'!$E$13+1,1))</f>
        <v>191.79777926975839</v>
      </c>
      <c r="CZ91" s="62">
        <f t="shared" si="96"/>
        <v>156.66161375678712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4.4729999999999999</v>
      </c>
      <c r="DO91" s="13">
        <f>IF('Données projet'!$A$166&gt;35,DO90+DN91-DW90,IF(A91&lt;'Données projet'!$A$166,$DL$205^A91,IF(A91='Données projet'!$A$166,'Données projet'!$B$166,DO90+DN91-DW90)))</f>
        <v>214.05400000000014</v>
      </c>
      <c r="DP91" s="18">
        <f>DO91*VLOOKUP('Données projet'!$B$14,Paramètres!$A$1:$I$89,3,0)*VLOOKUP('Données projet'!$B$14,Paramètres!$A$1:$I$89,5,0)</f>
        <v>233.74696800000015</v>
      </c>
      <c r="DQ91" s="14">
        <f t="shared" si="97"/>
        <v>57.092100063398611</v>
      </c>
      <c r="DR91" s="22">
        <f t="shared" si="70"/>
        <v>506.54471021041951</v>
      </c>
      <c r="DS91" s="62">
        <f t="shared" si="71"/>
        <v>799.87804354375282</v>
      </c>
      <c r="DT91" s="62">
        <f ca="1">AVERAGE(OFFSET($DS$3,0,0,'Données projet'!$E$14+1,1))-AVERAGE(OFFSET($H$3,0,0,'Données projet'!$E$14+1,1))</f>
        <v>541.0854688453461</v>
      </c>
      <c r="DU91" s="62">
        <f t="shared" si="98"/>
        <v>171.04847168584473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9.8461538461538467</v>
      </c>
      <c r="EJ91" s="13">
        <f>IF('Données projet'!$A$192&gt;35,EJ90+EI91-ER90,IF(A91&lt;'Données projet'!$A$192,$EG$205^A91,IF(A91='Données projet'!$A$192,'Données projet'!$B$192,EJ90+EI91-ER90)))</f>
        <v>364.46153846153891</v>
      </c>
      <c r="EK91" s="18">
        <f>EJ91*VLOOKUP('Données projet'!$B$15,Paramètres!$A$1:$I$89,3,0)*VLOOKUP('Données projet'!$B$15,Paramètres!$A$1:$I$89,5,0)</f>
        <v>217.94800000000029</v>
      </c>
      <c r="EL91" s="14">
        <f t="shared" si="99"/>
        <v>53.66865070903814</v>
      </c>
      <c r="EM91" s="22">
        <f t="shared" si="73"/>
        <v>473.06566665157521</v>
      </c>
      <c r="EN91" s="62">
        <f t="shared" si="74"/>
        <v>766.39899998490853</v>
      </c>
      <c r="EO91" s="62">
        <f ca="1">AVERAGE(OFFSET($EN$3,0,0,'Données projet'!$E$15+1,1))-AVERAGE(OFFSET($H$3,0,0,'Données projet'!$E$15+1,1))</f>
        <v>244.01698421598974</v>
      </c>
      <c r="EP91" s="62">
        <f t="shared" si="100"/>
        <v>156.96653202915024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0.7203295739377098</v>
      </c>
      <c r="EX91" s="23">
        <f>EXP(-LN(2)/2)*EX90+(1-EXP(-LN(2)/2))/(LN(2)/2)*ER91*EU91*VLOOKUP('Données projet'!$B$15,Paramètres!$A$1:$I$89,3,0)*0.475*44/12</f>
        <v>1.8548772987906037E-8</v>
      </c>
      <c r="EY91" s="24">
        <f t="shared" si="75"/>
        <v>0.72032959248648276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-5.6843418860808015E-14</v>
      </c>
      <c r="FF91" s="18">
        <f>FE91*VLOOKUP('Données projet'!$B$16,Paramètres!$A$1:$I$89,3,0)*VLOOKUP('Données projet'!$B$16,Paramètres!$A$1:$I$89,5,0)</f>
        <v>-4.9658410716801891E-14</v>
      </c>
      <c r="FG91" s="14" t="e">
        <f t="shared" si="101"/>
        <v>#NUM!</v>
      </c>
      <c r="FH91" s="22" t="e">
        <f t="shared" si="76"/>
        <v>#NUM!</v>
      </c>
      <c r="FI91" s="62" t="e">
        <f t="shared" si="77"/>
        <v>#NUM!</v>
      </c>
      <c r="FJ91" s="62">
        <f ca="1">AVERAGE(OFFSET($FI$3,0,0,'Données projet'!$E$16+1,1))-AVERAGE(OFFSET($H$3,0,0,'Données projet'!$E$16+1,1))</f>
        <v>175.08726167127026</v>
      </c>
      <c r="FK91" s="62">
        <f t="shared" si="102"/>
        <v>196.05343924817117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2.6</v>
      </c>
      <c r="FZ91" s="13">
        <f>IF('Données projet'!$A$244&gt;35,FZ90+FY91-GH90,IF(A91&lt;'Données projet'!$A$244,$FW$205^A91,IF(A91='Données projet'!$A$244,'Données projet'!$B$244,FZ90+FY91-GH90)))</f>
        <v>164.8000000000001</v>
      </c>
      <c r="GA91" s="18">
        <f>FZ91*VLOOKUP('Données projet'!$B$17,Paramètres!$A$1:$I$89,3,0)*VLOOKUP('Données projet'!$B$17,Paramètres!$A$1:$I$89,5,0)</f>
        <v>107.97696000000006</v>
      </c>
      <c r="GB91" s="14">
        <f t="shared" si="103"/>
        <v>28.853826856909702</v>
      </c>
      <c r="GC91" s="22">
        <f t="shared" si="79"/>
        <v>238.31362044245114</v>
      </c>
      <c r="GD91" s="62">
        <f t="shared" si="80"/>
        <v>531.64695377578448</v>
      </c>
      <c r="GE91" s="62">
        <f ca="1">AVERAGE(OFFSET($GD$3,0,0,'Données projet'!$E$17+1,1))-AVERAGE(OFFSET($H$3,0,0,'Données projet'!$E$17+1,1))</f>
        <v>142.93037460866543</v>
      </c>
      <c r="GF91" s="62">
        <f t="shared" si="104"/>
        <v>146.18554498808049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3.2</v>
      </c>
      <c r="GU91" s="13">
        <f>IF('Données projet'!$A$270&gt;35,GU90+GT91-HC90,IF(A91&lt;'Données projet'!$A$270,$GR$205^A91,IF(A91='Données projet'!$A$270,'Données projet'!$B$270,GU90+GT91-HC90)))</f>
        <v>161.59999999999997</v>
      </c>
      <c r="GV91" s="18">
        <f>GU91*VLOOKUP('Données projet'!$B$18,Paramètres!$A$1:$I$89,3,0)*VLOOKUP('Données projet'!$B$18,Paramètres!$A$1:$I$89,5,0)</f>
        <v>138.65279999999998</v>
      </c>
      <c r="GW91" s="14">
        <f t="shared" si="105"/>
        <v>35.988207425588634</v>
      </c>
      <c r="GX91" s="22">
        <f t="shared" si="82"/>
        <v>304.1664212662335</v>
      </c>
      <c r="GY91" s="62">
        <f t="shared" si="83"/>
        <v>597.49975459956681</v>
      </c>
      <c r="GZ91" s="62">
        <f ca="1">AVERAGE(OFFSET($GY$3,0,0,'Données projet'!$E$18+1,1))-AVERAGE(OFFSET($H$3,0,0,'Données projet'!$E$18+1,1))</f>
        <v>188.08607733149256</v>
      </c>
      <c r="HA91" s="62">
        <f t="shared" si="106"/>
        <v>119.95698016603842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26.610999999999972</v>
      </c>
      <c r="D92" s="12">
        <f t="shared" si="86"/>
        <v>8.3702058102282528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270.0303606403582</v>
      </c>
      <c r="H92" s="70">
        <f t="shared" si="56"/>
        <v>317.59226678614749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3.2</v>
      </c>
      <c r="N92" s="14">
        <f>IF('Données projet'!$A$36&gt;35,N91+M92-V91,IF(A92&lt;'Données projet'!$A$36,$K$205^A92,IF(A92='Données projet'!$A$36,'Données projet'!$B$36,N91+M92-V91)))</f>
        <v>164.79999999999995</v>
      </c>
      <c r="O92" s="14">
        <f>N92*VLOOKUP('Données projet'!$B$9,Paramètres!$A$1:$I$89,3,0)*VLOOKUP('Données projet'!$B$9,Paramètres!$A$1:$I$89,5,0)</f>
        <v>177.39071999999993</v>
      </c>
      <c r="P92" s="14">
        <f t="shared" si="87"/>
        <v>44.741177014326368</v>
      </c>
      <c r="Q92" s="22">
        <f t="shared" si="54"/>
        <v>386.87972063328493</v>
      </c>
      <c r="R92" s="62">
        <f t="shared" si="55"/>
        <v>680.21305396661819</v>
      </c>
      <c r="S92" s="62">
        <f ca="1">AVERAGE(OFFSET($R$3,0,0,'Données projet'!$E$9+1,1))-AVERAGE(OFFSET($H$3,0,0,'Données projet'!$E$9+1,1))</f>
        <v>236.98575892380046</v>
      </c>
      <c r="T92" s="62">
        <f t="shared" si="88"/>
        <v>145.77678223659774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>
        <f>VLOOKUP(A92,'Données projet'!$A$61:$I$81,2,0)</f>
        <v>166.66923076923075</v>
      </c>
      <c r="AG92" s="13">
        <f>VLOOKUP(A92,'Données projet'!$A$61:$I$81,9,0)</f>
        <v>3.6835164835164806</v>
      </c>
      <c r="AH92" s="13">
        <f t="array" ref="AH92">INDEX(AG:AG,MIN(IF(ISNUMBER(AG92:AG288),ROW(AG92:AG288),"")))</f>
        <v>3.6835164835164806</v>
      </c>
      <c r="AI92" s="14">
        <f>IF('Données projet'!$A$62&gt;35,AI91+AH92-AQ91,IF(A92&lt;'Données projet'!$A$62,$AF$205^A92,IF(A92='Données projet'!$A$62,'Données projet'!$B$62,AI91+AH92-AQ91)))</f>
        <v>166.66923076923075</v>
      </c>
      <c r="AJ92" s="14">
        <f>AI92*VLOOKUP('Données projet'!$B$10,Paramètres!$A$1:$I$89,3,0)*VLOOKUP('Données projet'!$B$10,Paramètres!$A$1:$I$89,5,0)</f>
        <v>97.501499999999993</v>
      </c>
      <c r="AK92" s="14">
        <f t="shared" si="89"/>
        <v>26.365890676507046</v>
      </c>
      <c r="AL92" s="22">
        <f t="shared" si="58"/>
        <v>215.73570542824973</v>
      </c>
      <c r="AM92" s="62">
        <f t="shared" si="59"/>
        <v>509.06903876158304</v>
      </c>
      <c r="AN92" s="62">
        <f ca="1">AVERAGE(OFFSET($AM$3,0,0,'Données projet'!$E$10+1,1))-AVERAGE(OFFSET($H$3,0,0,'Données projet'!$E$10+1,1))</f>
        <v>140.04898296125504</v>
      </c>
      <c r="AO92" s="62">
        <f t="shared" si="90"/>
        <v>129.5395511270716</v>
      </c>
      <c r="AP92" s="16">
        <f>IF(ISNA(VLOOKUP(A92,'Données projet'!$A$61:$I$81,3,0)),0,VLOOKUP(A92,'Données projet'!$A$61:$I$81,3,0))</f>
        <v>4</v>
      </c>
      <c r="AQ92" s="16">
        <f>IF(ISNA(VLOOKUP(A92,'Données projet'!$A$61:$I$81,4,0)),0,VLOOKUP(A92,'Données projet'!$A$61:$I$81,4,0))</f>
        <v>166.66923076923075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8.1205128205128201</v>
      </c>
      <c r="BD92" s="13">
        <f>IF('Données projet'!$A$88&gt;35,BD91+BC92-BL91,IF(A92&lt;'Données projet'!$A$88,$BA$205^A92,IF(A92='Données projet'!$A$88,'Données projet'!$B$88,BD91+BC92-BL91)))</f>
        <v>316.44102564102513</v>
      </c>
      <c r="BE92" s="14">
        <f>BD92*VLOOKUP('Données projet'!$B$11,Paramètres!$A$1:$I$89,3,0)*VLOOKUP('Données projet'!$B$11,Paramètres!$A$1:$I$89,5,0)</f>
        <v>148.09439999999975</v>
      </c>
      <c r="BF92" s="14">
        <f t="shared" si="91"/>
        <v>38.145209470220848</v>
      </c>
      <c r="BG92" s="22">
        <f t="shared" si="61"/>
        <v>324.36731982730089</v>
      </c>
      <c r="BH92" s="62">
        <f t="shared" si="62"/>
        <v>617.70065316063415</v>
      </c>
      <c r="BI92" s="62">
        <f ca="1">AVERAGE(OFFSET($BH$3,0,0,'Données projet'!$E$11+1,1))-AVERAGE(OFFSET($H$3,0,0,'Données projet'!$E$11+1,1))</f>
        <v>207.84100251878419</v>
      </c>
      <c r="BJ92" s="62">
        <f t="shared" si="92"/>
        <v>124.34917784241952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1.5399999999999978</v>
      </c>
      <c r="BY92" s="13">
        <f>IF('Données projet'!$A$114&gt;35,BY91+BX92-CG91,IF(A92&lt;'Données projet'!$A$114,$BV$205^A92,IF(A92='Données projet'!$A$114,'Données projet'!$B$114,BY91+BX92-CG91)))</f>
        <v>303.35999999999967</v>
      </c>
      <c r="BZ92" s="14">
        <f>BY92*VLOOKUP('Données projet'!$B$12,Paramètres!$A$1:$I$89,3,0)*VLOOKUP('Données projet'!$B$12,Paramètres!$A$1:$I$89,5,0)</f>
        <v>157.74719999999985</v>
      </c>
      <c r="CA92" s="14">
        <f t="shared" si="93"/>
        <v>40.333971493920025</v>
      </c>
      <c r="CB92" s="22">
        <f t="shared" si="64"/>
        <v>344.99137368524379</v>
      </c>
      <c r="CC92" s="62">
        <f t="shared" si="65"/>
        <v>638.3247070185771</v>
      </c>
      <c r="CD92" s="62">
        <f ca="1">AVERAGE(OFFSET($CC$3,0,0,'Données projet'!$E$12+1,1))-AVERAGE(OFFSET($H$3,0,0,'Données projet'!$E$12+1,1))</f>
        <v>211.05980622218578</v>
      </c>
      <c r="CE92" s="62">
        <f t="shared" si="94"/>
        <v>168.57746894604855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1.5429166666666674</v>
      </c>
      <c r="CT92" s="13">
        <f>IF('Données projet'!$A$140&gt;35,CT91+CS92-DB91,IF(A92&lt;'Données projet'!$A$140,$CQ$205^A92,IF(A92='Données projet'!$A$140,'Données projet'!$B$140,CT91+CS92-DB91)))</f>
        <v>104.86541666666663</v>
      </c>
      <c r="CU92" s="18">
        <f>CT92*VLOOKUP('Données projet'!$B$13,Paramètres!$A$1:$I$89,3,0)*VLOOKUP('Données projet'!$B$13,Paramètres!$A$1:$I$89,5,0)</f>
        <v>120.80495999999994</v>
      </c>
      <c r="CV92" s="14">
        <f t="shared" si="95"/>
        <v>31.862669881307355</v>
      </c>
      <c r="CW92" s="22">
        <f t="shared" si="67"/>
        <v>265.89612204327688</v>
      </c>
      <c r="CX92" s="62">
        <f t="shared" si="68"/>
        <v>559.22945537661019</v>
      </c>
      <c r="CY92" s="62">
        <f ca="1">AVERAGE(OFFSET($CX$3,0,0,'Données projet'!$E$13+1,1))-AVERAGE(OFFSET($H$3,0,0,'Données projet'!$E$13+1,1))</f>
        <v>191.79777926975839</v>
      </c>
      <c r="CZ92" s="62">
        <f t="shared" si="96"/>
        <v>156.66161375678712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4.4729999999999999</v>
      </c>
      <c r="DO92" s="13">
        <f>IF('Données projet'!$A$166&gt;35,DO91+DN92-DW91,IF(A92&lt;'Données projet'!$A$166,$DL$205^A92,IF(A92='Données projet'!$A$166,'Données projet'!$B$166,DO91+DN92-DW91)))</f>
        <v>218.52700000000016</v>
      </c>
      <c r="DP92" s="18">
        <f>DO92*VLOOKUP('Données projet'!$B$14,Paramètres!$A$1:$I$89,3,0)*VLOOKUP('Données projet'!$B$14,Paramètres!$A$1:$I$89,5,0)</f>
        <v>238.63148400000017</v>
      </c>
      <c r="DQ92" s="14">
        <f t="shared" si="97"/>
        <v>58.144989674934877</v>
      </c>
      <c r="DR92" s="22">
        <f t="shared" si="70"/>
        <v>516.88569165051194</v>
      </c>
      <c r="DS92" s="62">
        <f t="shared" si="71"/>
        <v>810.2190249838452</v>
      </c>
      <c r="DT92" s="62">
        <f ca="1">AVERAGE(OFFSET($DS$3,0,0,'Données projet'!$E$14+1,1))-AVERAGE(OFFSET($H$3,0,0,'Données projet'!$E$14+1,1))</f>
        <v>541.0854688453461</v>
      </c>
      <c r="DU92" s="62">
        <f t="shared" si="98"/>
        <v>171.04847168584473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9.8461538461538467</v>
      </c>
      <c r="EJ92" s="13">
        <f>IF('Données projet'!$A$192&gt;35,EJ91+EI92-ER91,IF(A92&lt;'Données projet'!$A$192,$EG$205^A92,IF(A92='Données projet'!$A$192,'Données projet'!$B$192,EJ91+EI92-ER91)))</f>
        <v>374.30769230769278</v>
      </c>
      <c r="EK92" s="18">
        <f>EJ92*VLOOKUP('Données projet'!$B$15,Paramètres!$A$1:$I$89,3,0)*VLOOKUP('Données projet'!$B$15,Paramètres!$A$1:$I$89,5,0)</f>
        <v>223.8360000000003</v>
      </c>
      <c r="EL92" s="14">
        <f t="shared" si="99"/>
        <v>54.947780735524987</v>
      </c>
      <c r="EM92" s="22">
        <f t="shared" si="73"/>
        <v>485.54841811437319</v>
      </c>
      <c r="EN92" s="62">
        <f t="shared" si="74"/>
        <v>778.88175144770651</v>
      </c>
      <c r="EO92" s="62">
        <f ca="1">AVERAGE(OFFSET($EN$3,0,0,'Données projet'!$E$15+1,1))-AVERAGE(OFFSET($H$3,0,0,'Données projet'!$E$15+1,1))</f>
        <v>244.01698421598974</v>
      </c>
      <c r="EP92" s="62">
        <f t="shared" si="100"/>
        <v>156.96653202915024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0.70063212385789719</v>
      </c>
      <c r="EX92" s="23">
        <f>EXP(-LN(2)/2)*EX91+(1-EXP(-LN(2)/2))/(LN(2)/2)*ER92*EU92*VLOOKUP('Données projet'!$B$15,Paramètres!$A$1:$I$89,3,0)*0.475*44/12</f>
        <v>1.3115963162438218E-8</v>
      </c>
      <c r="EY92" s="24">
        <f t="shared" si="75"/>
        <v>0.7006321369738604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-5.6843418860808015E-14</v>
      </c>
      <c r="FF92" s="18">
        <f>FE92*VLOOKUP('Données projet'!$B$16,Paramètres!$A$1:$I$89,3,0)*VLOOKUP('Données projet'!$B$16,Paramètres!$A$1:$I$89,5,0)</f>
        <v>-4.9658410716801891E-14</v>
      </c>
      <c r="FG92" s="14" t="e">
        <f t="shared" si="101"/>
        <v>#NUM!</v>
      </c>
      <c r="FH92" s="22" t="e">
        <f t="shared" si="76"/>
        <v>#NUM!</v>
      </c>
      <c r="FI92" s="62" t="e">
        <f t="shared" si="77"/>
        <v>#NUM!</v>
      </c>
      <c r="FJ92" s="62">
        <f ca="1">AVERAGE(OFFSET($FI$3,0,0,'Données projet'!$E$16+1,1))-AVERAGE(OFFSET($H$3,0,0,'Données projet'!$E$16+1,1))</f>
        <v>175.08726167127026</v>
      </c>
      <c r="FK92" s="62">
        <f t="shared" si="102"/>
        <v>196.05343924817117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2.6</v>
      </c>
      <c r="FZ92" s="13">
        <f>IF('Données projet'!$A$244&gt;35,FZ91+FY92-GH91,IF(A92&lt;'Données projet'!$A$244,$FW$205^A92,IF(A92='Données projet'!$A$244,'Données projet'!$B$244,FZ91+FY92-GH91)))</f>
        <v>167.40000000000009</v>
      </c>
      <c r="GA92" s="18">
        <f>FZ92*VLOOKUP('Données projet'!$B$17,Paramètres!$A$1:$I$89,3,0)*VLOOKUP('Données projet'!$B$17,Paramètres!$A$1:$I$89,5,0)</f>
        <v>109.68048000000006</v>
      </c>
      <c r="GB92" s="14">
        <f t="shared" si="103"/>
        <v>29.255690427909659</v>
      </c>
      <c r="GC92" s="22">
        <f t="shared" si="79"/>
        <v>241.9804968286094</v>
      </c>
      <c r="GD92" s="62">
        <f t="shared" si="80"/>
        <v>535.31383016194275</v>
      </c>
      <c r="GE92" s="62">
        <f ca="1">AVERAGE(OFFSET($GD$3,0,0,'Données projet'!$E$17+1,1))-AVERAGE(OFFSET($H$3,0,0,'Données projet'!$E$17+1,1))</f>
        <v>142.93037460866543</v>
      </c>
      <c r="GF92" s="62">
        <f t="shared" si="104"/>
        <v>146.18554498808049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3.2</v>
      </c>
      <c r="GU92" s="13">
        <f>IF('Données projet'!$A$270&gt;35,GU91+GT92-HC91,IF(A92&lt;'Données projet'!$A$270,$GR$205^A92,IF(A92='Données projet'!$A$270,'Données projet'!$B$270,GU91+GT92-HC91)))</f>
        <v>164.79999999999995</v>
      </c>
      <c r="GV92" s="18">
        <f>GU92*VLOOKUP('Données projet'!$B$18,Paramètres!$A$1:$I$89,3,0)*VLOOKUP('Données projet'!$B$18,Paramètres!$A$1:$I$89,5,0)</f>
        <v>141.39839999999998</v>
      </c>
      <c r="GW92" s="14">
        <f t="shared" si="105"/>
        <v>36.61717375380406</v>
      </c>
      <c r="GX92" s="22">
        <f t="shared" si="82"/>
        <v>310.04379095454203</v>
      </c>
      <c r="GY92" s="62">
        <f t="shared" si="83"/>
        <v>603.3771242878754</v>
      </c>
      <c r="GZ92" s="62">
        <f ca="1">AVERAGE(OFFSET($GY$3,0,0,'Données projet'!$E$18+1,1))-AVERAGE(OFFSET($H$3,0,0,'Données projet'!$E$18+1,1))</f>
        <v>188.08607733149256</v>
      </c>
      <c r="HA92" s="62">
        <f t="shared" si="106"/>
        <v>119.95698016603842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26.909999999999972</v>
      </c>
      <c r="D93" s="12">
        <f t="shared" si="86"/>
        <v>8.4532518498676303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272.97948796389028</v>
      </c>
      <c r="H93" s="70">
        <f t="shared" si="56"/>
        <v>318.25766363851943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168</v>
      </c>
      <c r="L93" s="13">
        <f>VLOOKUP(A93,'Données projet'!$A$35:$I$55,9,0)</f>
        <v>3.2</v>
      </c>
      <c r="M93" s="13">
        <f t="array" ref="M93">INDEX(L:L,MIN(IF(ISNUMBER(L93:L289),ROW(L93:L289),"")))</f>
        <v>3.2</v>
      </c>
      <c r="N93" s="14">
        <f>IF('Données projet'!$A$36&gt;35,N92+M93-V92,IF(A93&lt;'Données projet'!$A$36,$K$205^A93,IF(A93='Données projet'!$A$36,'Données projet'!$B$36,N92+M93-V92)))</f>
        <v>167.99999999999994</v>
      </c>
      <c r="O93" s="14">
        <f>N93*VLOOKUP('Données projet'!$B$9,Paramètres!$A$1:$I$89,3,0)*VLOOKUP('Données projet'!$B$9,Paramètres!$A$1:$I$89,5,0)</f>
        <v>180.83519999999993</v>
      </c>
      <c r="P93" s="14">
        <f t="shared" si="87"/>
        <v>45.507952685945099</v>
      </c>
      <c r="Q93" s="22">
        <f t="shared" si="54"/>
        <v>394.21432426135425</v>
      </c>
      <c r="R93" s="62">
        <f t="shared" si="55"/>
        <v>687.54765759468751</v>
      </c>
      <c r="S93" s="62">
        <f ca="1">AVERAGE(OFFSET($R$3,0,0,'Données projet'!$E$9+1,1))-AVERAGE(OFFSET($H$3,0,0,'Données projet'!$E$9+1,1))</f>
        <v>236.98575892380046</v>
      </c>
      <c r="T93" s="62">
        <f t="shared" si="88"/>
        <v>145.77678223659774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18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140.04898296125504</v>
      </c>
      <c r="AO93" s="62">
        <f t="shared" si="90"/>
        <v>129.5395511270716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8.1205128205128201</v>
      </c>
      <c r="BD93" s="13">
        <f>IF('Données projet'!$A$88&gt;35,BD92+BC93-BL92,IF(A93&lt;'Données projet'!$A$88,$BA$205^A93,IF(A93='Données projet'!$A$88,'Données projet'!$B$88,BD92+BC93-BL92)))</f>
        <v>324.56153846153796</v>
      </c>
      <c r="BE93" s="14">
        <f>BD93*VLOOKUP('Données projet'!$B$11,Paramètres!$A$1:$I$89,3,0)*VLOOKUP('Données projet'!$B$11,Paramètres!$A$1:$I$89,5,0)</f>
        <v>151.89479999999978</v>
      </c>
      <c r="BF93" s="14">
        <f t="shared" si="91"/>
        <v>39.008870628729497</v>
      </c>
      <c r="BG93" s="22">
        <f t="shared" si="61"/>
        <v>332.49055967837018</v>
      </c>
      <c r="BH93" s="62">
        <f t="shared" si="62"/>
        <v>625.82389301170349</v>
      </c>
      <c r="BI93" s="62">
        <f ca="1">AVERAGE(OFFSET($BH$3,0,0,'Données projet'!$E$11+1,1))-AVERAGE(OFFSET($H$3,0,0,'Données projet'!$E$11+1,1))</f>
        <v>207.84100251878419</v>
      </c>
      <c r="BJ93" s="62">
        <f t="shared" si="92"/>
        <v>124.34917784241952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304.89999999999998</v>
      </c>
      <c r="BW93" s="13">
        <f>VLOOKUP(A93,'Données projet'!$A$113:$I$133,9,0)</f>
        <v>1.5399999999999978</v>
      </c>
      <c r="BX93" s="13">
        <f t="array" ref="BX93">INDEX(BW:BW,MIN(IF(ISNUMBER(BW93:BW289),ROW(BW93:BW289),"")))</f>
        <v>1.5399999999999978</v>
      </c>
      <c r="BY93" s="13">
        <f>IF('Données projet'!$A$114&gt;35,BY92+BX93-CG92,IF(A93&lt;'Données projet'!$A$114,$BV$205^A93,IF(A93='Données projet'!$A$114,'Données projet'!$B$114,BY92+BX93-CG92)))</f>
        <v>304.89999999999969</v>
      </c>
      <c r="BZ93" s="14">
        <f>BY93*VLOOKUP('Données projet'!$B$12,Paramètres!$A$1:$I$89,3,0)*VLOOKUP('Données projet'!$B$12,Paramètres!$A$1:$I$89,5,0)</f>
        <v>158.54799999999986</v>
      </c>
      <c r="CA93" s="14">
        <f t="shared" si="93"/>
        <v>40.514839191262929</v>
      </c>
      <c r="CB93" s="22">
        <f t="shared" si="64"/>
        <v>346.70111159144932</v>
      </c>
      <c r="CC93" s="62">
        <f t="shared" si="65"/>
        <v>640.03444492478263</v>
      </c>
      <c r="CD93" s="62">
        <f ca="1">AVERAGE(OFFSET($CC$3,0,0,'Données projet'!$E$12+1,1))-AVERAGE(OFFSET($H$3,0,0,'Données projet'!$E$12+1,1))</f>
        <v>211.05980622218578</v>
      </c>
      <c r="CE93" s="62">
        <f t="shared" si="94"/>
        <v>168.57746894604855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106.40833333333333</v>
      </c>
      <c r="CR93" s="13">
        <f>VLOOKUP(A93,'Données projet'!$A$139:$I$159,9,0)</f>
        <v>1.5429166666666674</v>
      </c>
      <c r="CS93" s="13">
        <f t="array" ref="CS93">INDEX(CR:CR,MIN(IF(ISNUMBER(CR93:CR289),ROW(CR93:CR289),"")))</f>
        <v>1.5429166666666674</v>
      </c>
      <c r="CT93" s="13">
        <f>IF('Données projet'!$A$140&gt;35,CT92+CS93-DB92,IF(A93&lt;'Données projet'!$A$140,$CQ$205^A93,IF(A93='Données projet'!$A$140,'Données projet'!$B$140,CT92+CS93-DB92)))</f>
        <v>106.4083333333333</v>
      </c>
      <c r="CU93" s="18">
        <f>CT93*VLOOKUP('Données projet'!$B$13,Paramètres!$A$1:$I$89,3,0)*VLOOKUP('Données projet'!$B$13,Paramètres!$A$1:$I$89,5,0)</f>
        <v>122.58239999999996</v>
      </c>
      <c r="CV93" s="14">
        <f t="shared" si="95"/>
        <v>32.276553297525268</v>
      </c>
      <c r="CW93" s="22">
        <f t="shared" si="67"/>
        <v>269.7126769931898</v>
      </c>
      <c r="CX93" s="62">
        <f t="shared" si="68"/>
        <v>563.04601032652317</v>
      </c>
      <c r="CY93" s="62">
        <f ca="1">AVERAGE(OFFSET($CX$3,0,0,'Données projet'!$E$13+1,1))-AVERAGE(OFFSET($H$3,0,0,'Données projet'!$E$13+1,1))</f>
        <v>191.79777926975839</v>
      </c>
      <c r="CZ93" s="62">
        <f t="shared" si="96"/>
        <v>156.66161375678712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9.1666666666666679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4.4729999999999999</v>
      </c>
      <c r="DO93" s="13">
        <f>IF('Données projet'!$A$166&gt;35,DO92+DN93-DW92,IF(A93&lt;'Données projet'!$A$166,$DL$205^A93,IF(A93='Données projet'!$A$166,'Données projet'!$B$166,DO92+DN93-DW92)))</f>
        <v>223.00000000000017</v>
      </c>
      <c r="DP93" s="18">
        <f>DO93*VLOOKUP('Données projet'!$B$14,Paramètres!$A$1:$I$89,3,0)*VLOOKUP('Données projet'!$B$14,Paramètres!$A$1:$I$89,5,0)</f>
        <v>243.51600000000019</v>
      </c>
      <c r="DQ93" s="14">
        <f t="shared" si="97"/>
        <v>59.195373498004265</v>
      </c>
      <c r="DR93" s="22">
        <f t="shared" si="70"/>
        <v>527.22230884235762</v>
      </c>
      <c r="DS93" s="62">
        <f t="shared" si="71"/>
        <v>820.55564217569099</v>
      </c>
      <c r="DT93" s="62">
        <f ca="1">AVERAGE(OFFSET($DS$3,0,0,'Données projet'!$E$14+1,1))-AVERAGE(OFFSET($H$3,0,0,'Données projet'!$E$14+1,1))</f>
        <v>541.0854688453461</v>
      </c>
      <c r="DU93" s="62">
        <f t="shared" si="98"/>
        <v>171.04847168584473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9.8461538461538467</v>
      </c>
      <c r="EJ93" s="13">
        <f>IF('Données projet'!$A$192&gt;35,EJ92+EI93-ER92,IF(A93&lt;'Données projet'!$A$192,$EG$205^A93,IF(A93='Données projet'!$A$192,'Données projet'!$B$192,EJ92+EI93-ER92)))</f>
        <v>384.15384615384664</v>
      </c>
      <c r="EK93" s="18">
        <f>EJ93*VLOOKUP('Données projet'!$B$15,Paramètres!$A$1:$I$89,3,0)*VLOOKUP('Données projet'!$B$15,Paramètres!$A$1:$I$89,5,0)</f>
        <v>229.72400000000033</v>
      </c>
      <c r="EL93" s="14">
        <f t="shared" si="99"/>
        <v>56.222999708510343</v>
      </c>
      <c r="EM93" s="22">
        <f t="shared" si="73"/>
        <v>498.02435782565607</v>
      </c>
      <c r="EN93" s="62">
        <f t="shared" si="74"/>
        <v>791.35769115898938</v>
      </c>
      <c r="EO93" s="62">
        <f ca="1">AVERAGE(OFFSET($EN$3,0,0,'Données projet'!$E$15+1,1))-AVERAGE(OFFSET($H$3,0,0,'Données projet'!$E$15+1,1))</f>
        <v>244.01698421598974</v>
      </c>
      <c r="EP93" s="62">
        <f t="shared" si="100"/>
        <v>156.96653202915024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0.68147330158636088</v>
      </c>
      <c r="EX93" s="23">
        <f>EXP(-LN(2)/2)*EX92+(1-EXP(-LN(2)/2))/(LN(2)/2)*ER93*EU93*VLOOKUP('Données projet'!$B$15,Paramètres!$A$1:$I$89,3,0)*0.475*44/12</f>
        <v>9.2743864939530185E-9</v>
      </c>
      <c r="EY93" s="24">
        <f t="shared" si="75"/>
        <v>0.68147331086074736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-5.6843418860808015E-14</v>
      </c>
      <c r="FF93" s="18">
        <f>FE93*VLOOKUP('Données projet'!$B$16,Paramètres!$A$1:$I$89,3,0)*VLOOKUP('Données projet'!$B$16,Paramètres!$A$1:$I$89,5,0)</f>
        <v>-4.9658410716801891E-14</v>
      </c>
      <c r="FG93" s="14" t="e">
        <f t="shared" si="101"/>
        <v>#NUM!</v>
      </c>
      <c r="FH93" s="22" t="e">
        <f t="shared" si="76"/>
        <v>#NUM!</v>
      </c>
      <c r="FI93" s="62" t="e">
        <f t="shared" si="77"/>
        <v>#NUM!</v>
      </c>
      <c r="FJ93" s="62">
        <f ca="1">AVERAGE(OFFSET($FI$3,0,0,'Données projet'!$E$16+1,1))-AVERAGE(OFFSET($H$3,0,0,'Données projet'!$E$16+1,1))</f>
        <v>175.08726167127026</v>
      </c>
      <c r="FK93" s="62">
        <f t="shared" si="102"/>
        <v>196.05343924817117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170</v>
      </c>
      <c r="FX93" s="13">
        <f>VLOOKUP(A93,'Données projet'!$A$243:$I$263,9,0)</f>
        <v>2.6</v>
      </c>
      <c r="FY93" s="13">
        <f t="array" ref="FY93">INDEX(FX:FX,MIN(IF(ISNUMBER(FX93:FX289),ROW(FX93:FX289),"")))</f>
        <v>2.6</v>
      </c>
      <c r="FZ93" s="13">
        <f>IF('Données projet'!$A$244&gt;35,FZ92+FY93-GH92,IF(A93&lt;'Données projet'!$A$244,$FW$205^A93,IF(A93='Données projet'!$A$244,'Données projet'!$B$244,FZ92+FY93-GH92)))</f>
        <v>170.00000000000009</v>
      </c>
      <c r="GA93" s="18">
        <f>FZ93*VLOOKUP('Données projet'!$B$17,Paramètres!$A$1:$I$89,3,0)*VLOOKUP('Données projet'!$B$17,Paramètres!$A$1:$I$89,5,0)</f>
        <v>111.38400000000006</v>
      </c>
      <c r="GB93" s="14">
        <f t="shared" si="103"/>
        <v>29.656828101147461</v>
      </c>
      <c r="GC93" s="22">
        <f t="shared" si="79"/>
        <v>245.64610894283192</v>
      </c>
      <c r="GD93" s="62">
        <f t="shared" si="80"/>
        <v>538.97944227616517</v>
      </c>
      <c r="GE93" s="62">
        <f ca="1">AVERAGE(OFFSET($GD$3,0,0,'Données projet'!$E$17+1,1))-AVERAGE(OFFSET($H$3,0,0,'Données projet'!$E$17+1,1))</f>
        <v>142.93037460866543</v>
      </c>
      <c r="GF93" s="62">
        <f t="shared" si="104"/>
        <v>146.18554498808049</v>
      </c>
      <c r="GG93" s="16">
        <f>IF(ISNA(VLOOKUP(A93,'Données projet'!$A$243:$I$263,3,0)),0,VLOOKUP(A93,'Données projet'!$A$243:$I$263,3,0))</f>
        <v>7</v>
      </c>
      <c r="GH93" s="16">
        <f>IF(ISNA(VLOOKUP(A93,'Données projet'!$A$243:$I$263,4,0)),0,VLOOKUP(A93,'Données projet'!$A$243:$I$263,4,0))</f>
        <v>170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168</v>
      </c>
      <c r="GS93" s="13">
        <f>VLOOKUP(A93,'Données projet'!$A$269:$I$289,9,0)</f>
        <v>3.2</v>
      </c>
      <c r="GT93" s="13">
        <f t="array" ref="GT93">INDEX(GS:GS,MIN(IF(ISNUMBER(GS93:GS289),ROW(GS93:GS289),"")))</f>
        <v>3.2</v>
      </c>
      <c r="GU93" s="13">
        <f>IF('Données projet'!$A$270&gt;35,GU92+GT93-HC92,IF(A93&lt;'Données projet'!$A$270,$GR$205^A93,IF(A93='Données projet'!$A$270,'Données projet'!$B$270,GU92+GT93-HC92)))</f>
        <v>167.99999999999994</v>
      </c>
      <c r="GV93" s="18">
        <f>GU93*VLOOKUP('Données projet'!$B$18,Paramètres!$A$1:$I$89,3,0)*VLOOKUP('Données projet'!$B$18,Paramètres!$A$1:$I$89,5,0)</f>
        <v>144.14399999999998</v>
      </c>
      <c r="GW93" s="14">
        <f t="shared" si="105"/>
        <v>37.244720006976252</v>
      </c>
      <c r="GX93" s="22">
        <f t="shared" si="82"/>
        <v>315.91868734548359</v>
      </c>
      <c r="GY93" s="62">
        <f t="shared" si="83"/>
        <v>609.25202067881696</v>
      </c>
      <c r="GZ93" s="62">
        <f ca="1">AVERAGE(OFFSET($GY$3,0,0,'Données projet'!$E$18+1,1))-AVERAGE(OFFSET($H$3,0,0,'Données projet'!$E$18+1,1))</f>
        <v>188.08607733149256</v>
      </c>
      <c r="HA93" s="62">
        <f t="shared" si="106"/>
        <v>119.95698016603842</v>
      </c>
      <c r="HB93" s="16">
        <f>IF(ISNA(VLOOKUP(A93,'Données projet'!$A$269:$I$289,3,0)),0,VLOOKUP(A93,'Données projet'!$A$269:$I$289,3,0))</f>
        <v>7</v>
      </c>
      <c r="HC93" s="16">
        <f>IF(ISNA(VLOOKUP(A93,'Données projet'!$A$269:$I$289,4,0)),0,VLOOKUP(A93,'Données projet'!$A$269:$I$289,4,0))</f>
        <v>18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27.208999999999971</v>
      </c>
      <c r="D94" s="12">
        <f t="shared" si="86"/>
        <v>8.5361905503860989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275.92778670473461</v>
      </c>
      <c r="H94" s="70">
        <f t="shared" si="56"/>
        <v>318.9228735419224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2.8</v>
      </c>
      <c r="N94" s="14">
        <f>IF('Données projet'!$A$36&gt;35,N93+M94-V93,IF(A94&lt;'Données projet'!$A$36,$K$205^A94,IF(A94='Données projet'!$A$36,'Données projet'!$B$36,N93+M94-V93)))</f>
        <v>152.79999999999995</v>
      </c>
      <c r="O94" s="14">
        <f>N94*VLOOKUP('Données projet'!$B$9,Paramètres!$A$1:$I$89,3,0)*VLOOKUP('Données projet'!$B$9,Paramètres!$A$1:$I$89,5,0)</f>
        <v>164.47391999999994</v>
      </c>
      <c r="P94" s="14">
        <f t="shared" si="87"/>
        <v>41.84999518452819</v>
      </c>
      <c r="Q94" s="22">
        <f t="shared" si="54"/>
        <v>359.3474856130531</v>
      </c>
      <c r="R94" s="62">
        <f t="shared" si="55"/>
        <v>652.68081894638635</v>
      </c>
      <c r="S94" s="62">
        <f ca="1">AVERAGE(OFFSET($R$3,0,0,'Données projet'!$E$9+1,1))-AVERAGE(OFFSET($H$3,0,0,'Données projet'!$E$9+1,1))</f>
        <v>236.98575892380046</v>
      </c>
      <c r="T94" s="62">
        <f t="shared" si="88"/>
        <v>145.77678223659774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140.04898296125504</v>
      </c>
      <c r="AO94" s="62">
        <f t="shared" si="90"/>
        <v>129.5395511270716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8.1205128205128201</v>
      </c>
      <c r="BD94" s="13">
        <f>IF('Données projet'!$A$88&gt;35,BD93+BC94-BL93,IF(A94&lt;'Données projet'!$A$88,$BA$205^A94,IF(A94='Données projet'!$A$88,'Données projet'!$B$88,BD93+BC94-BL93)))</f>
        <v>332.68205128205079</v>
      </c>
      <c r="BE94" s="14">
        <f>BD94*VLOOKUP('Données projet'!$B$11,Paramètres!$A$1:$I$89,3,0)*VLOOKUP('Données projet'!$B$11,Paramètres!$A$1:$I$89,5,0)</f>
        <v>155.69519999999977</v>
      </c>
      <c r="BF94" s="14">
        <f t="shared" si="91"/>
        <v>39.870019909996607</v>
      </c>
      <c r="BG94" s="22">
        <f t="shared" si="61"/>
        <v>340.60942467657702</v>
      </c>
      <c r="BH94" s="62">
        <f t="shared" si="62"/>
        <v>633.94275800991034</v>
      </c>
      <c r="BI94" s="62">
        <f ca="1">AVERAGE(OFFSET($BH$3,0,0,'Données projet'!$E$11+1,1))-AVERAGE(OFFSET($H$3,0,0,'Données projet'!$E$11+1,1))</f>
        <v>207.84100251878419</v>
      </c>
      <c r="BJ94" s="62">
        <f t="shared" si="92"/>
        <v>124.34917784241952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1.2800000000000069</v>
      </c>
      <c r="BY94" s="13">
        <f>IF('Données projet'!$A$114&gt;35,BY93+BX94-CG93,IF(A94&lt;'Données projet'!$A$114,$BV$205^A94,IF(A94='Données projet'!$A$114,'Données projet'!$B$114,BY93+BX94-CG93)))</f>
        <v>306.17999999999972</v>
      </c>
      <c r="BZ94" s="14">
        <f>BY94*VLOOKUP('Données projet'!$B$12,Paramètres!$A$1:$I$89,3,0)*VLOOKUP('Données projet'!$B$12,Paramètres!$A$1:$I$89,5,0)</f>
        <v>159.21359999999987</v>
      </c>
      <c r="CA94" s="14">
        <f t="shared" si="93"/>
        <v>40.665089859977073</v>
      </c>
      <c r="CB94" s="22">
        <f t="shared" si="64"/>
        <v>348.12205150612652</v>
      </c>
      <c r="CC94" s="62">
        <f t="shared" si="65"/>
        <v>641.45538483945984</v>
      </c>
      <c r="CD94" s="62">
        <f ca="1">AVERAGE(OFFSET($CC$3,0,0,'Données projet'!$E$12+1,1))-AVERAGE(OFFSET($H$3,0,0,'Données projet'!$E$12+1,1))</f>
        <v>211.05980622218578</v>
      </c>
      <c r="CE94" s="62">
        <f t="shared" si="94"/>
        <v>168.57746894604855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1.4583333333333344</v>
      </c>
      <c r="CT94" s="13">
        <f>IF('Données projet'!$A$140&gt;35,CT93+CS94-DB93,IF(A94&lt;'Données projet'!$A$140,$CQ$205^A94,IF(A94='Données projet'!$A$140,'Données projet'!$B$140,CT93+CS94-DB93)))</f>
        <v>98.69999999999996</v>
      </c>
      <c r="CU94" s="18">
        <f>CT94*VLOOKUP('Données projet'!$B$13,Paramètres!$A$1:$I$89,3,0)*VLOOKUP('Données projet'!$B$13,Paramètres!$A$1:$I$89,5,0)</f>
        <v>113.70239999999994</v>
      </c>
      <c r="CV94" s="14">
        <f t="shared" si="95"/>
        <v>30.20161113802142</v>
      </c>
      <c r="CW94" s="22">
        <f t="shared" si="67"/>
        <v>250.6328193987205</v>
      </c>
      <c r="CX94" s="62">
        <f t="shared" si="68"/>
        <v>543.96615273205384</v>
      </c>
      <c r="CY94" s="62">
        <f ca="1">AVERAGE(OFFSET($CX$3,0,0,'Données projet'!$E$13+1,1))-AVERAGE(OFFSET($H$3,0,0,'Données projet'!$E$13+1,1))</f>
        <v>191.79777926975839</v>
      </c>
      <c r="CZ94" s="62">
        <f t="shared" si="96"/>
        <v>156.66161375678712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4.4729999999999999</v>
      </c>
      <c r="DO94" s="13">
        <f>IF('Données projet'!$A$166&gt;35,DO93+DN94-DW93,IF(A94&lt;'Données projet'!$A$166,$DL$205^A94,IF(A94='Données projet'!$A$166,'Données projet'!$B$166,DO93+DN94-DW93)))</f>
        <v>227.47300000000018</v>
      </c>
      <c r="DP94" s="18">
        <f>DO94*VLOOKUP('Données projet'!$B$14,Paramètres!$A$1:$I$89,3,0)*VLOOKUP('Données projet'!$B$14,Paramètres!$A$1:$I$89,5,0)</f>
        <v>248.40051600000018</v>
      </c>
      <c r="DQ94" s="14">
        <f t="shared" si="97"/>
        <v>60.243307587064734</v>
      </c>
      <c r="DR94" s="22">
        <f t="shared" si="70"/>
        <v>537.55465941413797</v>
      </c>
      <c r="DS94" s="62">
        <f t="shared" si="71"/>
        <v>830.88799274747134</v>
      </c>
      <c r="DT94" s="62">
        <f ca="1">AVERAGE(OFFSET($DS$3,0,0,'Données projet'!$E$14+1,1))-AVERAGE(OFFSET($H$3,0,0,'Données projet'!$E$14+1,1))</f>
        <v>541.0854688453461</v>
      </c>
      <c r="DU94" s="62">
        <f t="shared" si="98"/>
        <v>171.04847168584473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>
        <f>VLOOKUP(A94,'Données projet'!$A$191:$I$211,2,0)</f>
        <v>394</v>
      </c>
      <c r="EH94" s="13">
        <f>VLOOKUP(A94,'Données projet'!$A$191:$I$211,9,0)</f>
        <v>9.8461538461538467</v>
      </c>
      <c r="EI94" s="13">
        <f t="array" ref="EI94">INDEX(EH:EH,MIN(IF(ISNUMBER(EH94:EH290),ROW(EH94:EH290),"")))</f>
        <v>9.8461538461538467</v>
      </c>
      <c r="EJ94" s="13">
        <f>IF('Données projet'!$A$192&gt;35,EJ93+EI94-ER93,IF(A94&lt;'Données projet'!$A$192,$EG$205^A94,IF(A94='Données projet'!$A$192,'Données projet'!$B$192,EJ93+EI94-ER93)))</f>
        <v>394.00000000000051</v>
      </c>
      <c r="EK94" s="18">
        <f>EJ94*VLOOKUP('Données projet'!$B$15,Paramètres!$A$1:$I$89,3,0)*VLOOKUP('Données projet'!$B$15,Paramètres!$A$1:$I$89,5,0)</f>
        <v>235.61200000000031</v>
      </c>
      <c r="EL94" s="14">
        <f t="shared" si="99"/>
        <v>57.494419397561799</v>
      </c>
      <c r="EM94" s="22">
        <f t="shared" si="73"/>
        <v>510.49368045075397</v>
      </c>
      <c r="EN94" s="62">
        <f t="shared" si="74"/>
        <v>803.82701378408728</v>
      </c>
      <c r="EO94" s="62">
        <f ca="1">AVERAGE(OFFSET($EN$3,0,0,'Données projet'!$E$15+1,1))-AVERAGE(OFFSET($H$3,0,0,'Données projet'!$E$15+1,1))</f>
        <v>244.01698421598974</v>
      </c>
      <c r="EP94" s="62">
        <f t="shared" si="100"/>
        <v>156.96653202915024</v>
      </c>
      <c r="EQ94" s="16">
        <f>IF(ISNA(VLOOKUP(A94,'Données projet'!$A$191:$I$211,3,0)),0,VLOOKUP(A94,'Données projet'!$A$191:$I$211,3,0))</f>
        <v>7</v>
      </c>
      <c r="ER94" s="16">
        <f>IF(ISNA(VLOOKUP(A94,'Données projet'!$A$191:$I$211,4,0)),0,VLOOKUP(A94,'Données projet'!$A$191:$I$211,4,0))</f>
        <v>394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0.66283837831735848</v>
      </c>
      <c r="EX94" s="23">
        <f>EXP(-LN(2)/2)*EX93+(1-EXP(-LN(2)/2))/(LN(2)/2)*ER94*EU94*VLOOKUP('Données projet'!$B$15,Paramètres!$A$1:$I$89,3,0)*0.475*44/12</f>
        <v>6.5579815812191089E-9</v>
      </c>
      <c r="EY94" s="24">
        <f t="shared" si="75"/>
        <v>0.66283838487534008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-5.6843418860808015E-14</v>
      </c>
      <c r="FF94" s="18">
        <f>FE94*VLOOKUP('Données projet'!$B$16,Paramètres!$A$1:$I$89,3,0)*VLOOKUP('Données projet'!$B$16,Paramètres!$A$1:$I$89,5,0)</f>
        <v>-4.9658410716801891E-14</v>
      </c>
      <c r="FG94" s="14" t="e">
        <f t="shared" si="101"/>
        <v>#NUM!</v>
      </c>
      <c r="FH94" s="22" t="e">
        <f t="shared" si="76"/>
        <v>#NUM!</v>
      </c>
      <c r="FI94" s="62" t="e">
        <f t="shared" si="77"/>
        <v>#NUM!</v>
      </c>
      <c r="FJ94" s="62">
        <f ca="1">AVERAGE(OFFSET($FI$3,0,0,'Données projet'!$E$16+1,1))-AVERAGE(OFFSET($H$3,0,0,'Données projet'!$E$16+1,1))</f>
        <v>175.08726167127026</v>
      </c>
      <c r="FK94" s="62">
        <f t="shared" si="102"/>
        <v>196.05343924817117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8.5265128291212022E-14</v>
      </c>
      <c r="GA94" s="18">
        <f>FZ94*VLOOKUP('Données projet'!$B$17,Paramètres!$A$1:$I$89,3,0)*VLOOKUP('Données projet'!$B$17,Paramètres!$A$1:$I$89,5,0)</f>
        <v>5.5865712056402117E-14</v>
      </c>
      <c r="GB94" s="14">
        <f t="shared" si="103"/>
        <v>8.9811031843713517E-13</v>
      </c>
      <c r="GC94" s="22">
        <f t="shared" si="79"/>
        <v>1.6615082531095774E-12</v>
      </c>
      <c r="GD94" s="62">
        <f t="shared" si="80"/>
        <v>293.33333333333496</v>
      </c>
      <c r="GE94" s="62">
        <f ca="1">AVERAGE(OFFSET($GD$3,0,0,'Données projet'!$E$17+1,1))-AVERAGE(OFFSET($H$3,0,0,'Données projet'!$E$17+1,1))</f>
        <v>142.93037460866543</v>
      </c>
      <c r="GF94" s="62">
        <f t="shared" si="104"/>
        <v>146.18554498808049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2.8</v>
      </c>
      <c r="GU94" s="13">
        <f>IF('Données projet'!$A$270&gt;35,GU93+GT94-HC93,IF(A94&lt;'Données projet'!$A$270,$GR$205^A94,IF(A94='Données projet'!$A$270,'Données projet'!$B$270,GU93+GT94-HC93)))</f>
        <v>152.79999999999995</v>
      </c>
      <c r="GV94" s="18">
        <f>GU94*VLOOKUP('Données projet'!$B$18,Paramètres!$A$1:$I$89,3,0)*VLOOKUP('Données projet'!$B$18,Paramètres!$A$1:$I$89,5,0)</f>
        <v>131.10239999999996</v>
      </c>
      <c r="GW94" s="14">
        <f t="shared" si="105"/>
        <v>34.250966280503526</v>
      </c>
      <c r="GX94" s="22">
        <f t="shared" si="82"/>
        <v>287.99044627187692</v>
      </c>
      <c r="GY94" s="62">
        <f t="shared" si="83"/>
        <v>581.32377960521023</v>
      </c>
      <c r="GZ94" s="62">
        <f ca="1">AVERAGE(OFFSET($GY$3,0,0,'Données projet'!$E$18+1,1))-AVERAGE(OFFSET($H$3,0,0,'Données projet'!$E$18+1,1))</f>
        <v>188.08607733149256</v>
      </c>
      <c r="HA94" s="62">
        <f t="shared" si="106"/>
        <v>119.95698016603842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27.507999999999971</v>
      </c>
      <c r="D95" s="12">
        <f t="shared" si="86"/>
        <v>8.6190232278455401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278.87526702196539</v>
      </c>
      <c r="H95" s="70">
        <f t="shared" si="56"/>
        <v>319.58789878849763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2.8</v>
      </c>
      <c r="N95" s="14">
        <f>IF('Données projet'!$A$36&gt;35,N94+M95-V94,IF(A95&lt;'Données projet'!$A$36,$K$205^A95,IF(A95='Données projet'!$A$36,'Données projet'!$B$36,N94+M95-V94)))</f>
        <v>155.59999999999997</v>
      </c>
      <c r="O95" s="14">
        <f>N95*VLOOKUP('Données projet'!$B$9,Paramètres!$A$1:$I$89,3,0)*VLOOKUP('Données projet'!$B$9,Paramètres!$A$1:$I$89,5,0)</f>
        <v>167.48783999999995</v>
      </c>
      <c r="P95" s="14">
        <f t="shared" si="87"/>
        <v>42.526896735757454</v>
      </c>
      <c r="Q95" s="22">
        <f t="shared" si="54"/>
        <v>365.77566648144415</v>
      </c>
      <c r="R95" s="62">
        <f t="shared" si="55"/>
        <v>659.10899981477746</v>
      </c>
      <c r="S95" s="62">
        <f ca="1">AVERAGE(OFFSET($R$3,0,0,'Données projet'!$E$9+1,1))-AVERAGE(OFFSET($H$3,0,0,'Données projet'!$E$9+1,1))</f>
        <v>236.98575892380046</v>
      </c>
      <c r="T95" s="62">
        <f t="shared" si="88"/>
        <v>145.77678223659774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140.04898296125504</v>
      </c>
      <c r="AO95" s="62">
        <f t="shared" si="90"/>
        <v>129.5395511270716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8.1205128205128201</v>
      </c>
      <c r="BD95" s="13">
        <f>IF('Données projet'!$A$88&gt;35,BD94+BC95-BL94,IF(A95&lt;'Données projet'!$A$88,$BA$205^A95,IF(A95='Données projet'!$A$88,'Données projet'!$B$88,BD94+BC95-BL94)))</f>
        <v>340.80256410256362</v>
      </c>
      <c r="BE95" s="14">
        <f>BD95*VLOOKUP('Données projet'!$B$11,Paramètres!$A$1:$I$89,3,0)*VLOOKUP('Données projet'!$B$11,Paramètres!$A$1:$I$89,5,0)</f>
        <v>159.49559999999977</v>
      </c>
      <c r="BF95" s="14">
        <f t="shared" si="91"/>
        <v>40.728725680425562</v>
      </c>
      <c r="BG95" s="22">
        <f t="shared" si="61"/>
        <v>348.72403389340735</v>
      </c>
      <c r="BH95" s="62">
        <f t="shared" si="62"/>
        <v>642.05736722674067</v>
      </c>
      <c r="BI95" s="62">
        <f ca="1">AVERAGE(OFFSET($BH$3,0,0,'Données projet'!$E$11+1,1))-AVERAGE(OFFSET($H$3,0,0,'Données projet'!$E$11+1,1))</f>
        <v>207.84100251878419</v>
      </c>
      <c r="BJ95" s="62">
        <f t="shared" si="92"/>
        <v>124.34917784241952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1.2800000000000069</v>
      </c>
      <c r="BY95" s="13">
        <f>IF('Données projet'!$A$114&gt;35,BY94+BX95-CG94,IF(A95&lt;'Données projet'!$A$114,$BV$205^A95,IF(A95='Données projet'!$A$114,'Données projet'!$B$114,BY94+BX95-CG94)))</f>
        <v>307.45999999999975</v>
      </c>
      <c r="BZ95" s="14">
        <f>BY95*VLOOKUP('Données projet'!$B$12,Paramètres!$A$1:$I$89,3,0)*VLOOKUP('Données projet'!$B$12,Paramètres!$A$1:$I$89,5,0)</f>
        <v>159.87919999999988</v>
      </c>
      <c r="CA95" s="14">
        <f t="shared" si="93"/>
        <v>40.815267431915544</v>
      </c>
      <c r="CB95" s="22">
        <f t="shared" si="64"/>
        <v>349.54286411058598</v>
      </c>
      <c r="CC95" s="62">
        <f t="shared" si="65"/>
        <v>642.8761974439193</v>
      </c>
      <c r="CD95" s="62">
        <f ca="1">AVERAGE(OFFSET($CC$3,0,0,'Données projet'!$E$12+1,1))-AVERAGE(OFFSET($H$3,0,0,'Données projet'!$E$12+1,1))</f>
        <v>211.05980622218578</v>
      </c>
      <c r="CE95" s="62">
        <f t="shared" si="94"/>
        <v>168.57746894604855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1.4583333333333344</v>
      </c>
      <c r="CT95" s="13">
        <f>IF('Données projet'!$A$140&gt;35,CT94+CS95-DB94,IF(A95&lt;'Données projet'!$A$140,$CQ$205^A95,IF(A95='Données projet'!$A$140,'Données projet'!$B$140,CT94+CS95-DB94)))</f>
        <v>100.15833333333329</v>
      </c>
      <c r="CU95" s="18">
        <f>CT95*VLOOKUP('Données projet'!$B$13,Paramètres!$A$1:$I$89,3,0)*VLOOKUP('Données projet'!$B$13,Paramètres!$A$1:$I$89,5,0)</f>
        <v>115.38239999999995</v>
      </c>
      <c r="CV95" s="14">
        <f t="shared" si="95"/>
        <v>30.59557273099043</v>
      </c>
      <c r="CW95" s="22">
        <f t="shared" si="67"/>
        <v>254.24496917314158</v>
      </c>
      <c r="CX95" s="62">
        <f t="shared" si="68"/>
        <v>547.57830250647487</v>
      </c>
      <c r="CY95" s="62">
        <f ca="1">AVERAGE(OFFSET($CX$3,0,0,'Données projet'!$E$13+1,1))-AVERAGE(OFFSET($H$3,0,0,'Données projet'!$E$13+1,1))</f>
        <v>191.79777926975839</v>
      </c>
      <c r="CZ95" s="62">
        <f t="shared" si="96"/>
        <v>156.66161375678712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4.4729999999999999</v>
      </c>
      <c r="DO95" s="13">
        <f>IF('Données projet'!$A$166&gt;35,DO94+DN95-DW94,IF(A95&lt;'Données projet'!$A$166,$DL$205^A95,IF(A95='Données projet'!$A$166,'Données projet'!$B$166,DO94+DN95-DW94)))</f>
        <v>231.9460000000002</v>
      </c>
      <c r="DP95" s="18">
        <f>DO95*VLOOKUP('Données projet'!$B$14,Paramètres!$A$1:$I$89,3,0)*VLOOKUP('Données projet'!$B$14,Paramètres!$A$1:$I$89,5,0)</f>
        <v>253.2850320000002</v>
      </c>
      <c r="DQ95" s="14">
        <f t="shared" si="97"/>
        <v>61.288845665994351</v>
      </c>
      <c r="DR95" s="22">
        <f t="shared" si="70"/>
        <v>547.88283693494043</v>
      </c>
      <c r="DS95" s="62">
        <f t="shared" si="71"/>
        <v>841.2161702682738</v>
      </c>
      <c r="DT95" s="62">
        <f ca="1">AVERAGE(OFFSET($DS$3,0,0,'Données projet'!$E$14+1,1))-AVERAGE(OFFSET($H$3,0,0,'Données projet'!$E$14+1,1))</f>
        <v>541.0854688453461</v>
      </c>
      <c r="DU95" s="62">
        <f t="shared" si="98"/>
        <v>171.04847168584473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5.1159076974727213E-13</v>
      </c>
      <c r="EK95" s="18">
        <f>EJ95*VLOOKUP('Données projet'!$B$15,Paramètres!$A$1:$I$89,3,0)*VLOOKUP('Données projet'!$B$15,Paramètres!$A$1:$I$89,5,0)</f>
        <v>3.0593128030886877E-13</v>
      </c>
      <c r="EL95" s="14">
        <f t="shared" si="99"/>
        <v>4.0350537939347394E-12</v>
      </c>
      <c r="EM95" s="22">
        <f t="shared" si="73"/>
        <v>7.5605490043076185E-12</v>
      </c>
      <c r="EN95" s="62">
        <f t="shared" si="74"/>
        <v>293.33333333334087</v>
      </c>
      <c r="EO95" s="62">
        <f ca="1">AVERAGE(OFFSET($EN$3,0,0,'Données projet'!$E$15+1,1))-AVERAGE(OFFSET($H$3,0,0,'Données projet'!$E$15+1,1))</f>
        <v>244.01698421598974</v>
      </c>
      <c r="EP95" s="62">
        <f t="shared" si="100"/>
        <v>156.96653202915024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0.64471302800511499</v>
      </c>
      <c r="EX95" s="23">
        <f>EXP(-LN(2)/2)*EX94+(1-EXP(-LN(2)/2))/(LN(2)/2)*ER95*EU95*VLOOKUP('Données projet'!$B$15,Paramètres!$A$1:$I$89,3,0)*0.475*44/12</f>
        <v>4.6371932469765093E-9</v>
      </c>
      <c r="EY95" s="24">
        <f t="shared" si="75"/>
        <v>0.64471303264230828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-5.6843418860808015E-14</v>
      </c>
      <c r="FF95" s="18">
        <f>FE95*VLOOKUP('Données projet'!$B$16,Paramètres!$A$1:$I$89,3,0)*VLOOKUP('Données projet'!$B$16,Paramètres!$A$1:$I$89,5,0)</f>
        <v>-4.9658410716801891E-14</v>
      </c>
      <c r="FG95" s="14" t="e">
        <f t="shared" si="101"/>
        <v>#NUM!</v>
      </c>
      <c r="FH95" s="22" t="e">
        <f t="shared" si="76"/>
        <v>#NUM!</v>
      </c>
      <c r="FI95" s="62" t="e">
        <f t="shared" si="77"/>
        <v>#NUM!</v>
      </c>
      <c r="FJ95" s="62">
        <f ca="1">AVERAGE(OFFSET($FI$3,0,0,'Données projet'!$E$16+1,1))-AVERAGE(OFFSET($H$3,0,0,'Données projet'!$E$16+1,1))</f>
        <v>175.08726167127026</v>
      </c>
      <c r="FK95" s="62">
        <f t="shared" si="102"/>
        <v>196.05343924817117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8.5265128291212022E-14</v>
      </c>
      <c r="GA95" s="18">
        <f>FZ95*VLOOKUP('Données projet'!$B$17,Paramètres!$A$1:$I$89,3,0)*VLOOKUP('Données projet'!$B$17,Paramètres!$A$1:$I$89,5,0)</f>
        <v>5.5865712056402117E-14</v>
      </c>
      <c r="GB95" s="14">
        <f t="shared" si="103"/>
        <v>8.9811031843713517E-13</v>
      </c>
      <c r="GC95" s="22">
        <f t="shared" si="79"/>
        <v>1.6615082531095774E-12</v>
      </c>
      <c r="GD95" s="62">
        <f t="shared" si="80"/>
        <v>293.33333333333496</v>
      </c>
      <c r="GE95" s="62">
        <f ca="1">AVERAGE(OFFSET($GD$3,0,0,'Données projet'!$E$17+1,1))-AVERAGE(OFFSET($H$3,0,0,'Données projet'!$E$17+1,1))</f>
        <v>142.93037460866543</v>
      </c>
      <c r="GF95" s="62">
        <f t="shared" si="104"/>
        <v>146.18554498808049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2.8</v>
      </c>
      <c r="GU95" s="13">
        <f>IF('Données projet'!$A$270&gt;35,GU94+GT95-HC94,IF(A95&lt;'Données projet'!$A$270,$GR$205^A95,IF(A95='Données projet'!$A$270,'Données projet'!$B$270,GU94+GT95-HC94)))</f>
        <v>155.59999999999997</v>
      </c>
      <c r="GV95" s="18">
        <f>GU95*VLOOKUP('Données projet'!$B$18,Paramètres!$A$1:$I$89,3,0)*VLOOKUP('Données projet'!$B$18,Paramètres!$A$1:$I$89,5,0)</f>
        <v>133.50479999999999</v>
      </c>
      <c r="GW95" s="14">
        <f t="shared" si="105"/>
        <v>34.804957555870395</v>
      </c>
      <c r="GX95" s="22">
        <f t="shared" si="82"/>
        <v>293.13949440980758</v>
      </c>
      <c r="GY95" s="62">
        <f t="shared" si="83"/>
        <v>586.4728277431409</v>
      </c>
      <c r="GZ95" s="62">
        <f ca="1">AVERAGE(OFFSET($GY$3,0,0,'Données projet'!$E$18+1,1))-AVERAGE(OFFSET($H$3,0,0,'Données projet'!$E$18+1,1))</f>
        <v>188.08607733149256</v>
      </c>
      <c r="HA95" s="62">
        <f t="shared" si="106"/>
        <v>119.95698016603842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27.80699999999997</v>
      </c>
      <c r="D96" s="12">
        <f t="shared" si="86"/>
        <v>8.7017511680500608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281.82193884108801</v>
      </c>
      <c r="H96" s="70">
        <f t="shared" si="56"/>
        <v>320.25274161768715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2.8</v>
      </c>
      <c r="N96" s="14">
        <f>IF('Données projet'!$A$36&gt;35,N95+M96-V95,IF(A96&lt;'Données projet'!$A$36,$K$205^A96,IF(A96='Données projet'!$A$36,'Données projet'!$B$36,N95+M96-V95)))</f>
        <v>158.39999999999998</v>
      </c>
      <c r="O96" s="14">
        <f>N96*VLOOKUP('Données projet'!$B$9,Paramètres!$A$1:$I$89,3,0)*VLOOKUP('Données projet'!$B$9,Paramètres!$A$1:$I$89,5,0)</f>
        <v>170.50175999999996</v>
      </c>
      <c r="P96" s="14">
        <f t="shared" si="87"/>
        <v>43.202381851006599</v>
      </c>
      <c r="Q96" s="22">
        <f t="shared" si="54"/>
        <v>372.20138039050306</v>
      </c>
      <c r="R96" s="62">
        <f t="shared" si="55"/>
        <v>665.53471372383638</v>
      </c>
      <c r="S96" s="62">
        <f ca="1">AVERAGE(OFFSET($R$3,0,0,'Données projet'!$E$9+1,1))-AVERAGE(OFFSET($H$3,0,0,'Données projet'!$E$9+1,1))</f>
        <v>236.98575892380046</v>
      </c>
      <c r="T96" s="62">
        <f t="shared" si="88"/>
        <v>145.77678223659774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140.04898296125504</v>
      </c>
      <c r="AO96" s="62">
        <f t="shared" si="90"/>
        <v>129.5395511270716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>
        <f>VLOOKUP(A96,'Données projet'!$A$87:$I$107,2,0)</f>
        <v>348.92307692307691</v>
      </c>
      <c r="BB96" s="13">
        <f>VLOOKUP(A96,'Données projet'!$A$87:$I$107,9,0)</f>
        <v>8.1205128205128201</v>
      </c>
      <c r="BC96" s="13">
        <f t="array" ref="BC96">INDEX(BB:BB,MIN(IF(ISNUMBER(BB96:BB292),ROW(BB96:BB292),"")))</f>
        <v>8.1205128205128201</v>
      </c>
      <c r="BD96" s="13">
        <f>IF('Données projet'!$A$88&gt;35,BD95+BC96-BL95,IF(A96&lt;'Données projet'!$A$88,$BA$205^A96,IF(A96='Données projet'!$A$88,'Données projet'!$B$88,BD95+BC96-BL95)))</f>
        <v>348.92307692307645</v>
      </c>
      <c r="BE96" s="14">
        <f>BD96*VLOOKUP('Données projet'!$B$11,Paramètres!$A$1:$I$89,3,0)*VLOOKUP('Données projet'!$B$11,Paramètres!$A$1:$I$89,5,0)</f>
        <v>163.29599999999979</v>
      </c>
      <c r="BF96" s="14">
        <f t="shared" si="91"/>
        <v>41.585052862581854</v>
      </c>
      <c r="BG96" s="22">
        <f t="shared" si="61"/>
        <v>356.8345004023297</v>
      </c>
      <c r="BH96" s="62">
        <f t="shared" si="62"/>
        <v>650.16783373566295</v>
      </c>
      <c r="BI96" s="62">
        <f ca="1">AVERAGE(OFFSET($BH$3,0,0,'Données projet'!$E$11+1,1))-AVERAGE(OFFSET($H$3,0,0,'Données projet'!$E$11+1,1))</f>
        <v>207.84100251878419</v>
      </c>
      <c r="BJ96" s="62">
        <f t="shared" si="92"/>
        <v>124.34917784241952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1.2800000000000069</v>
      </c>
      <c r="BY96" s="13">
        <f>IF('Données projet'!$A$114&gt;35,BY95+BX96-CG95,IF(A96&lt;'Données projet'!$A$114,$BV$205^A96,IF(A96='Données projet'!$A$114,'Données projet'!$B$114,BY95+BX96-CG95)))</f>
        <v>308.73999999999978</v>
      </c>
      <c r="BZ96" s="14">
        <f>BY96*VLOOKUP('Données projet'!$B$12,Paramètres!$A$1:$I$89,3,0)*VLOOKUP('Données projet'!$B$12,Paramètres!$A$1:$I$89,5,0)</f>
        <v>160.5447999999999</v>
      </c>
      <c r="CA96" s="14">
        <f t="shared" si="93"/>
        <v>40.965372246732414</v>
      </c>
      <c r="CB96" s="22">
        <f t="shared" si="64"/>
        <v>350.96354999639215</v>
      </c>
      <c r="CC96" s="62">
        <f t="shared" si="65"/>
        <v>644.29688332972546</v>
      </c>
      <c r="CD96" s="62">
        <f ca="1">AVERAGE(OFFSET($CC$3,0,0,'Données projet'!$E$12+1,1))-AVERAGE(OFFSET($H$3,0,0,'Données projet'!$E$12+1,1))</f>
        <v>211.05980622218578</v>
      </c>
      <c r="CE96" s="62">
        <f t="shared" si="94"/>
        <v>168.57746894604855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1.4583333333333344</v>
      </c>
      <c r="CT96" s="13">
        <f>IF('Données projet'!$A$140&gt;35,CT95+CS96-DB95,IF(A96&lt;'Données projet'!$A$140,$CQ$205^A96,IF(A96='Données projet'!$A$140,'Données projet'!$B$140,CT95+CS96-DB95)))</f>
        <v>101.61666666666662</v>
      </c>
      <c r="CU96" s="18">
        <f>CT96*VLOOKUP('Données projet'!$B$13,Paramètres!$A$1:$I$89,3,0)*VLOOKUP('Données projet'!$B$13,Paramètres!$A$1:$I$89,5,0)</f>
        <v>117.06239999999994</v>
      </c>
      <c r="CV96" s="14">
        <f t="shared" si="95"/>
        <v>30.988867171899123</v>
      </c>
      <c r="CW96" s="22">
        <f t="shared" si="67"/>
        <v>257.85595699105755</v>
      </c>
      <c r="CX96" s="62">
        <f t="shared" si="68"/>
        <v>551.18929032439087</v>
      </c>
      <c r="CY96" s="62">
        <f ca="1">AVERAGE(OFFSET($CX$3,0,0,'Données projet'!$E$13+1,1))-AVERAGE(OFFSET($H$3,0,0,'Données projet'!$E$13+1,1))</f>
        <v>191.79777926975839</v>
      </c>
      <c r="CZ96" s="62">
        <f t="shared" si="96"/>
        <v>156.66161375678712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4.4729999999999999</v>
      </c>
      <c r="DO96" s="13">
        <f>IF('Données projet'!$A$166&gt;35,DO95+DN96-DW95,IF(A96&lt;'Données projet'!$A$166,$DL$205^A96,IF(A96='Données projet'!$A$166,'Données projet'!$B$166,DO95+DN96-DW95)))</f>
        <v>236.41900000000021</v>
      </c>
      <c r="DP96" s="18">
        <f>DO96*VLOOKUP('Données projet'!$B$14,Paramètres!$A$1:$I$89,3,0)*VLOOKUP('Données projet'!$B$14,Paramètres!$A$1:$I$89,5,0)</f>
        <v>258.16954800000025</v>
      </c>
      <c r="DQ96" s="14">
        <f t="shared" si="97"/>
        <v>62.332039268034137</v>
      </c>
      <c r="DR96" s="22">
        <f t="shared" si="70"/>
        <v>558.20693115849315</v>
      </c>
      <c r="DS96" s="62">
        <f t="shared" si="71"/>
        <v>851.54026449182652</v>
      </c>
      <c r="DT96" s="62">
        <f ca="1">AVERAGE(OFFSET($DS$3,0,0,'Données projet'!$E$14+1,1))-AVERAGE(OFFSET($H$3,0,0,'Données projet'!$E$14+1,1))</f>
        <v>541.0854688453461</v>
      </c>
      <c r="DU96" s="62">
        <f t="shared" si="98"/>
        <v>171.04847168584473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5.1159076974727213E-13</v>
      </c>
      <c r="EK96" s="18">
        <f>EJ96*VLOOKUP('Données projet'!$B$15,Paramètres!$A$1:$I$89,3,0)*VLOOKUP('Données projet'!$B$15,Paramètres!$A$1:$I$89,5,0)</f>
        <v>3.0593128030886877E-13</v>
      </c>
      <c r="EL96" s="14">
        <f t="shared" si="99"/>
        <v>4.0350537939347394E-12</v>
      </c>
      <c r="EM96" s="22">
        <f t="shared" si="73"/>
        <v>7.5605490043076185E-12</v>
      </c>
      <c r="EN96" s="62">
        <f t="shared" si="74"/>
        <v>293.33333333334087</v>
      </c>
      <c r="EO96" s="62">
        <f ca="1">AVERAGE(OFFSET($EN$3,0,0,'Données projet'!$E$15+1,1))-AVERAGE(OFFSET($H$3,0,0,'Données projet'!$E$15+1,1))</f>
        <v>244.01698421598974</v>
      </c>
      <c r="EP96" s="62">
        <f t="shared" si="100"/>
        <v>156.96653202915024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0.62708331635033043</v>
      </c>
      <c r="EX96" s="23">
        <f>EXP(-LN(2)/2)*EX95+(1-EXP(-LN(2)/2))/(LN(2)/2)*ER96*EU96*VLOOKUP('Données projet'!$B$15,Paramètres!$A$1:$I$89,3,0)*0.475*44/12</f>
        <v>3.2789907906095544E-9</v>
      </c>
      <c r="EY96" s="24">
        <f t="shared" si="75"/>
        <v>0.62708331962932118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-5.6843418860808015E-14</v>
      </c>
      <c r="FF96" s="18">
        <f>FE96*VLOOKUP('Données projet'!$B$16,Paramètres!$A$1:$I$89,3,0)*VLOOKUP('Données projet'!$B$16,Paramètres!$A$1:$I$89,5,0)</f>
        <v>-4.9658410716801891E-14</v>
      </c>
      <c r="FG96" s="14" t="e">
        <f t="shared" si="101"/>
        <v>#NUM!</v>
      </c>
      <c r="FH96" s="22" t="e">
        <f t="shared" si="76"/>
        <v>#NUM!</v>
      </c>
      <c r="FI96" s="62" t="e">
        <f t="shared" si="77"/>
        <v>#NUM!</v>
      </c>
      <c r="FJ96" s="62">
        <f ca="1">AVERAGE(OFFSET($FI$3,0,0,'Données projet'!$E$16+1,1))-AVERAGE(OFFSET($H$3,0,0,'Données projet'!$E$16+1,1))</f>
        <v>175.08726167127026</v>
      </c>
      <c r="FK96" s="62">
        <f t="shared" si="102"/>
        <v>196.05343924817117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8.5265128291212022E-14</v>
      </c>
      <c r="GA96" s="18">
        <f>FZ96*VLOOKUP('Données projet'!$B$17,Paramètres!$A$1:$I$89,3,0)*VLOOKUP('Données projet'!$B$17,Paramètres!$A$1:$I$89,5,0)</f>
        <v>5.5865712056402117E-14</v>
      </c>
      <c r="GB96" s="14">
        <f t="shared" si="103"/>
        <v>8.9811031843713517E-13</v>
      </c>
      <c r="GC96" s="22">
        <f t="shared" si="79"/>
        <v>1.6615082531095774E-12</v>
      </c>
      <c r="GD96" s="62">
        <f t="shared" si="80"/>
        <v>293.33333333333496</v>
      </c>
      <c r="GE96" s="62">
        <f ca="1">AVERAGE(OFFSET($GD$3,0,0,'Données projet'!$E$17+1,1))-AVERAGE(OFFSET($H$3,0,0,'Données projet'!$E$17+1,1))</f>
        <v>142.93037460866543</v>
      </c>
      <c r="GF96" s="62">
        <f t="shared" si="104"/>
        <v>146.18554498808049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2.8</v>
      </c>
      <c r="GU96" s="13">
        <f>IF('Données projet'!$A$270&gt;35,GU95+GT96-HC95,IF(A96&lt;'Données projet'!$A$270,$GR$205^A96,IF(A96='Données projet'!$A$270,'Données projet'!$B$270,GU95+GT96-HC95)))</f>
        <v>158.39999999999998</v>
      </c>
      <c r="GV96" s="18">
        <f>GU96*VLOOKUP('Données projet'!$B$18,Paramètres!$A$1:$I$89,3,0)*VLOOKUP('Données projet'!$B$18,Paramètres!$A$1:$I$89,5,0)</f>
        <v>135.90719999999999</v>
      </c>
      <c r="GW96" s="14">
        <f t="shared" si="105"/>
        <v>35.357789588547313</v>
      </c>
      <c r="GX96" s="22">
        <f t="shared" si="82"/>
        <v>298.28652353338651</v>
      </c>
      <c r="GY96" s="62">
        <f t="shared" si="83"/>
        <v>591.61985686671983</v>
      </c>
      <c r="GZ96" s="62">
        <f ca="1">AVERAGE(OFFSET($GY$3,0,0,'Données projet'!$E$18+1,1))-AVERAGE(OFFSET($H$3,0,0,'Données projet'!$E$18+1,1))</f>
        <v>188.08607733149256</v>
      </c>
      <c r="HA96" s="62">
        <f t="shared" si="106"/>
        <v>119.95698016603842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28.10599999999997</v>
      </c>
      <c r="D97" s="12">
        <f t="shared" si="86"/>
        <v>8.7843756275593652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284.76781186186162</v>
      </c>
      <c r="H97" s="70">
        <f t="shared" si="56"/>
        <v>320.91740421799921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2.8</v>
      </c>
      <c r="N97" s="14">
        <f>IF('Données projet'!$A$36&gt;35,N96+M97-V96,IF(A97&lt;'Données projet'!$A$36,$K$205^A97,IF(A97='Données projet'!$A$36,'Données projet'!$B$36,N96+M97-V96)))</f>
        <v>161.19999999999999</v>
      </c>
      <c r="O97" s="14">
        <f>N97*VLOOKUP('Données projet'!$B$9,Paramètres!$A$1:$I$89,3,0)*VLOOKUP('Données projet'!$B$9,Paramètres!$A$1:$I$89,5,0)</f>
        <v>173.51567999999997</v>
      </c>
      <c r="P97" s="14">
        <f t="shared" si="87"/>
        <v>43.876478456904387</v>
      </c>
      <c r="Q97" s="22">
        <f t="shared" si="54"/>
        <v>378.62467597910836</v>
      </c>
      <c r="R97" s="62">
        <f t="shared" si="55"/>
        <v>671.95800931244162</v>
      </c>
      <c r="S97" s="62">
        <f ca="1">AVERAGE(OFFSET($R$3,0,0,'Données projet'!$E$9+1,1))-AVERAGE(OFFSET($H$3,0,0,'Données projet'!$E$9+1,1))</f>
        <v>236.98575892380046</v>
      </c>
      <c r="T97" s="62">
        <f t="shared" si="88"/>
        <v>145.77678223659774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140.04898296125504</v>
      </c>
      <c r="AO97" s="62">
        <f t="shared" si="90"/>
        <v>129.5395511270716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8.1576923076923151</v>
      </c>
      <c r="BD97" s="13">
        <f>IF('Données projet'!$A$88&gt;35,BD96+BC97-BL96,IF(A97&lt;'Données projet'!$A$88,$BA$205^A97,IF(A97='Données projet'!$A$88,'Données projet'!$B$88,BD96+BC97-BL96)))</f>
        <v>357.08076923076874</v>
      </c>
      <c r="BE97" s="14">
        <f>BD97*VLOOKUP('Données projet'!$B$11,Paramètres!$A$1:$I$89,3,0)*VLOOKUP('Données projet'!$B$11,Paramètres!$A$1:$I$89,5,0)</f>
        <v>167.11379999999977</v>
      </c>
      <c r="BF97" s="14">
        <f t="shared" si="91"/>
        <v>42.442968004718075</v>
      </c>
      <c r="BG97" s="22">
        <f t="shared" si="61"/>
        <v>364.97803760821688</v>
      </c>
      <c r="BH97" s="62">
        <f t="shared" si="62"/>
        <v>658.31137094155019</v>
      </c>
      <c r="BI97" s="62">
        <f ca="1">AVERAGE(OFFSET($BH$3,0,0,'Données projet'!$E$11+1,1))-AVERAGE(OFFSET($H$3,0,0,'Données projet'!$E$11+1,1))</f>
        <v>207.84100251878419</v>
      </c>
      <c r="BJ97" s="62">
        <f t="shared" si="92"/>
        <v>124.34917784241952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1.2800000000000069</v>
      </c>
      <c r="BY97" s="13">
        <f>IF('Données projet'!$A$114&gt;35,BY96+BX97-CG96,IF(A97&lt;'Données projet'!$A$114,$BV$205^A97,IF(A97='Données projet'!$A$114,'Données projet'!$B$114,BY96+BX97-CG96)))</f>
        <v>310.01999999999981</v>
      </c>
      <c r="BZ97" s="14">
        <f>BY97*VLOOKUP('Données projet'!$B$12,Paramètres!$A$1:$I$89,3,0)*VLOOKUP('Données projet'!$B$12,Paramètres!$A$1:$I$89,5,0)</f>
        <v>161.21039999999991</v>
      </c>
      <c r="CA97" s="14">
        <f t="shared" si="93"/>
        <v>41.115404641102025</v>
      </c>
      <c r="CB97" s="22">
        <f t="shared" si="64"/>
        <v>352.38410974991922</v>
      </c>
      <c r="CC97" s="62">
        <f t="shared" si="65"/>
        <v>645.71744308325253</v>
      </c>
      <c r="CD97" s="62">
        <f ca="1">AVERAGE(OFFSET($CC$3,0,0,'Données projet'!$E$12+1,1))-AVERAGE(OFFSET($H$3,0,0,'Données projet'!$E$12+1,1))</f>
        <v>211.05980622218578</v>
      </c>
      <c r="CE97" s="62">
        <f t="shared" si="94"/>
        <v>168.57746894604855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1.4583333333333344</v>
      </c>
      <c r="CT97" s="13">
        <f>IF('Données projet'!$A$140&gt;35,CT96+CS97-DB96,IF(A97&lt;'Données projet'!$A$140,$CQ$205^A97,IF(A97='Données projet'!$A$140,'Données projet'!$B$140,CT96+CS97-DB96)))</f>
        <v>103.07499999999995</v>
      </c>
      <c r="CU97" s="18">
        <f>CT97*VLOOKUP('Données projet'!$B$13,Paramètres!$A$1:$I$89,3,0)*VLOOKUP('Données projet'!$B$13,Paramètres!$A$1:$I$89,5,0)</f>
        <v>118.74239999999992</v>
      </c>
      <c r="CV97" s="14">
        <f t="shared" si="95"/>
        <v>31.38150514154874</v>
      </c>
      <c r="CW97" s="22">
        <f t="shared" si="67"/>
        <v>261.46580145486388</v>
      </c>
      <c r="CX97" s="62">
        <f t="shared" si="68"/>
        <v>554.79913478819719</v>
      </c>
      <c r="CY97" s="62">
        <f ca="1">AVERAGE(OFFSET($CX$3,0,0,'Données projet'!$E$13+1,1))-AVERAGE(OFFSET($H$3,0,0,'Données projet'!$E$13+1,1))</f>
        <v>191.79777926975839</v>
      </c>
      <c r="CZ97" s="62">
        <f t="shared" si="96"/>
        <v>156.66161375678712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4.4729999999999999</v>
      </c>
      <c r="DO97" s="13">
        <f>IF('Données projet'!$A$166&gt;35,DO96+DN97-DW96,IF(A97&lt;'Données projet'!$A$166,$DL$205^A97,IF(A97='Données projet'!$A$166,'Données projet'!$B$166,DO96+DN97-DW96)))</f>
        <v>240.89200000000022</v>
      </c>
      <c r="DP97" s="18">
        <f>DO97*VLOOKUP('Données projet'!$B$14,Paramètres!$A$1:$I$89,3,0)*VLOOKUP('Données projet'!$B$14,Paramètres!$A$1:$I$89,5,0)</f>
        <v>263.05406400000027</v>
      </c>
      <c r="DQ97" s="14">
        <f t="shared" si="97"/>
        <v>63.372937864839955</v>
      </c>
      <c r="DR97" s="22">
        <f t="shared" si="70"/>
        <v>568.52702824793005</v>
      </c>
      <c r="DS97" s="62">
        <f t="shared" si="71"/>
        <v>861.86036158126331</v>
      </c>
      <c r="DT97" s="62">
        <f ca="1">AVERAGE(OFFSET($DS$3,0,0,'Données projet'!$E$14+1,1))-AVERAGE(OFFSET($H$3,0,0,'Données projet'!$E$14+1,1))</f>
        <v>541.0854688453461</v>
      </c>
      <c r="DU97" s="62">
        <f t="shared" si="98"/>
        <v>171.04847168584473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5.1159076974727213E-13</v>
      </c>
      <c r="EK97" s="18">
        <f>EJ97*VLOOKUP('Données projet'!$B$15,Paramètres!$A$1:$I$89,3,0)*VLOOKUP('Données projet'!$B$15,Paramètres!$A$1:$I$89,5,0)</f>
        <v>3.0593128030886877E-13</v>
      </c>
      <c r="EL97" s="14">
        <f t="shared" si="99"/>
        <v>4.0350537939347394E-12</v>
      </c>
      <c r="EM97" s="22">
        <f t="shared" si="73"/>
        <v>7.5605490043076185E-12</v>
      </c>
      <c r="EN97" s="62">
        <f t="shared" si="74"/>
        <v>293.33333333334087</v>
      </c>
      <c r="EO97" s="62">
        <f ca="1">AVERAGE(OFFSET($EN$3,0,0,'Données projet'!$E$15+1,1))-AVERAGE(OFFSET($H$3,0,0,'Données projet'!$E$15+1,1))</f>
        <v>244.01698421598974</v>
      </c>
      <c r="EP97" s="62">
        <f t="shared" si="100"/>
        <v>156.96653202915024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0.60993569008785231</v>
      </c>
      <c r="EX97" s="23">
        <f>EXP(-LN(2)/2)*EX96+(1-EXP(-LN(2)/2))/(LN(2)/2)*ER97*EU97*VLOOKUP('Données projet'!$B$15,Paramètres!$A$1:$I$89,3,0)*0.475*44/12</f>
        <v>2.3185966234882546E-9</v>
      </c>
      <c r="EY97" s="24">
        <f t="shared" si="75"/>
        <v>0.60993569240644896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-5.6843418860808015E-14</v>
      </c>
      <c r="FF97" s="18">
        <f>FE97*VLOOKUP('Données projet'!$B$16,Paramètres!$A$1:$I$89,3,0)*VLOOKUP('Données projet'!$B$16,Paramètres!$A$1:$I$89,5,0)</f>
        <v>-4.9658410716801891E-14</v>
      </c>
      <c r="FG97" s="14" t="e">
        <f t="shared" si="101"/>
        <v>#NUM!</v>
      </c>
      <c r="FH97" s="22" t="e">
        <f t="shared" si="76"/>
        <v>#NUM!</v>
      </c>
      <c r="FI97" s="62" t="e">
        <f t="shared" si="77"/>
        <v>#NUM!</v>
      </c>
      <c r="FJ97" s="62">
        <f ca="1">AVERAGE(OFFSET($FI$3,0,0,'Données projet'!$E$16+1,1))-AVERAGE(OFFSET($H$3,0,0,'Données projet'!$E$16+1,1))</f>
        <v>175.08726167127026</v>
      </c>
      <c r="FK97" s="62">
        <f t="shared" si="102"/>
        <v>196.05343924817117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8.5265128291212022E-14</v>
      </c>
      <c r="GA97" s="18">
        <f>FZ97*VLOOKUP('Données projet'!$B$17,Paramètres!$A$1:$I$89,3,0)*VLOOKUP('Données projet'!$B$17,Paramètres!$A$1:$I$89,5,0)</f>
        <v>5.5865712056402117E-14</v>
      </c>
      <c r="GB97" s="14">
        <f t="shared" si="103"/>
        <v>8.9811031843713517E-13</v>
      </c>
      <c r="GC97" s="22">
        <f t="shared" si="79"/>
        <v>1.6615082531095774E-12</v>
      </c>
      <c r="GD97" s="62">
        <f t="shared" si="80"/>
        <v>293.33333333333496</v>
      </c>
      <c r="GE97" s="62">
        <f ca="1">AVERAGE(OFFSET($GD$3,0,0,'Données projet'!$E$17+1,1))-AVERAGE(OFFSET($H$3,0,0,'Données projet'!$E$17+1,1))</f>
        <v>142.93037460866543</v>
      </c>
      <c r="GF97" s="62">
        <f t="shared" si="104"/>
        <v>146.18554498808049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2.8</v>
      </c>
      <c r="GU97" s="13">
        <f>IF('Données projet'!$A$270&gt;35,GU96+GT97-HC96,IF(A97&lt;'Données projet'!$A$270,$GR$205^A97,IF(A97='Données projet'!$A$270,'Données projet'!$B$270,GU96+GT97-HC96)))</f>
        <v>161.19999999999999</v>
      </c>
      <c r="GV97" s="18">
        <f>GU97*VLOOKUP('Données projet'!$B$18,Paramètres!$A$1:$I$89,3,0)*VLOOKUP('Données projet'!$B$18,Paramètres!$A$1:$I$89,5,0)</f>
        <v>138.30959999999999</v>
      </c>
      <c r="GW97" s="14">
        <f t="shared" si="105"/>
        <v>35.909485234307901</v>
      </c>
      <c r="GX97" s="22">
        <f t="shared" si="82"/>
        <v>303.43157344975288</v>
      </c>
      <c r="GY97" s="62">
        <f t="shared" si="83"/>
        <v>596.76490678308619</v>
      </c>
      <c r="GZ97" s="62">
        <f ca="1">AVERAGE(OFFSET($GY$3,0,0,'Données projet'!$E$18+1,1))-AVERAGE(OFFSET($H$3,0,0,'Données projet'!$E$18+1,1))</f>
        <v>188.08607733149256</v>
      </c>
      <c r="HA97" s="62">
        <f t="shared" si="106"/>
        <v>119.95698016603842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28.404999999999969</v>
      </c>
      <c r="D98" s="12">
        <f t="shared" si="86"/>
        <v>8.8668978346577809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287.71289556577915</v>
      </c>
      <c r="H98" s="70">
        <f t="shared" si="56"/>
        <v>321.58188872869562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164</v>
      </c>
      <c r="L98" s="13">
        <f>VLOOKUP(A98,'Données projet'!$A$35:$I$55,9,0)</f>
        <v>2.8</v>
      </c>
      <c r="M98" s="13">
        <f t="array" ref="M98">INDEX(L:L,MIN(IF(ISNUMBER(L98:L294),ROW(L98:L294),"")))</f>
        <v>2.8</v>
      </c>
      <c r="N98" s="14">
        <f>IF('Données projet'!$A$36&gt;35,N97+M98-V97,IF(A98&lt;'Données projet'!$A$36,$K$205^A98,IF(A98='Données projet'!$A$36,'Données projet'!$B$36,N97+M98-V97)))</f>
        <v>164</v>
      </c>
      <c r="O98" s="14">
        <f>N98*VLOOKUP('Données projet'!$B$9,Paramètres!$A$1:$I$89,3,0)*VLOOKUP('Données projet'!$B$9,Paramètres!$A$1:$I$89,5,0)</f>
        <v>176.52959999999999</v>
      </c>
      <c r="P98" s="14">
        <f t="shared" si="87"/>
        <v>44.549213454343487</v>
      </c>
      <c r="Q98" s="22">
        <f t="shared" si="54"/>
        <v>385.04560009964825</v>
      </c>
      <c r="R98" s="62">
        <f t="shared" si="55"/>
        <v>678.37893343298151</v>
      </c>
      <c r="S98" s="62">
        <f ca="1">AVERAGE(OFFSET($R$3,0,0,'Données projet'!$E$9+1,1))-AVERAGE(OFFSET($H$3,0,0,'Données projet'!$E$9+1,1))</f>
        <v>236.98575892380046</v>
      </c>
      <c r="T98" s="62">
        <f t="shared" si="88"/>
        <v>145.77678223659774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140.04898296125504</v>
      </c>
      <c r="AO98" s="62">
        <f t="shared" si="90"/>
        <v>129.5395511270716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8.1576923076923151</v>
      </c>
      <c r="BD98" s="13">
        <f>IF('Données projet'!$A$88&gt;35,BD97+BC98-BL97,IF(A98&lt;'Données projet'!$A$88,$BA$205^A98,IF(A98='Données projet'!$A$88,'Données projet'!$B$88,BD97+BC98-BL97)))</f>
        <v>365.23846153846102</v>
      </c>
      <c r="BE98" s="14">
        <f>BD98*VLOOKUP('Données projet'!$B$11,Paramètres!$A$1:$I$89,3,0)*VLOOKUP('Données projet'!$B$11,Paramètres!$A$1:$I$89,5,0)</f>
        <v>170.93159999999975</v>
      </c>
      <c r="BF98" s="14">
        <f t="shared" si="91"/>
        <v>43.298604585177706</v>
      </c>
      <c r="BG98" s="22">
        <f t="shared" si="61"/>
        <v>373.11760631918406</v>
      </c>
      <c r="BH98" s="62">
        <f t="shared" si="62"/>
        <v>666.45093965251738</v>
      </c>
      <c r="BI98" s="62">
        <f ca="1">AVERAGE(OFFSET($BH$3,0,0,'Données projet'!$E$11+1,1))-AVERAGE(OFFSET($H$3,0,0,'Données projet'!$E$11+1,1))</f>
        <v>207.84100251878419</v>
      </c>
      <c r="BJ98" s="62">
        <f t="shared" si="92"/>
        <v>124.34917784241952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311.3</v>
      </c>
      <c r="BW98" s="13">
        <f>VLOOKUP(A98,'Données projet'!$A$113:$I$133,9,0)</f>
        <v>1.2800000000000069</v>
      </c>
      <c r="BX98" s="13">
        <f t="array" ref="BX98">INDEX(BW:BW,MIN(IF(ISNUMBER(BW98:BW294),ROW(BW98:BW294),"")))</f>
        <v>1.2800000000000069</v>
      </c>
      <c r="BY98" s="13">
        <f>IF('Données projet'!$A$114&gt;35,BY97+BX98-CG97,IF(A98&lt;'Données projet'!$A$114,$BV$205^A98,IF(A98='Données projet'!$A$114,'Données projet'!$B$114,BY97+BX98-CG97)))</f>
        <v>311.29999999999984</v>
      </c>
      <c r="BZ98" s="14">
        <f>BY98*VLOOKUP('Données projet'!$B$12,Paramètres!$A$1:$I$89,3,0)*VLOOKUP('Données projet'!$B$12,Paramètres!$A$1:$I$89,5,0)</f>
        <v>161.87599999999992</v>
      </c>
      <c r="CA98" s="14">
        <f t="shared" si="93"/>
        <v>41.265364948757565</v>
      </c>
      <c r="CB98" s="22">
        <f t="shared" si="64"/>
        <v>353.80454395241924</v>
      </c>
      <c r="CC98" s="62">
        <f t="shared" si="65"/>
        <v>647.13787728575255</v>
      </c>
      <c r="CD98" s="62">
        <f ca="1">AVERAGE(OFFSET($CC$3,0,0,'Données projet'!$E$12+1,1))-AVERAGE(OFFSET($H$3,0,0,'Données projet'!$E$12+1,1))</f>
        <v>211.05980622218578</v>
      </c>
      <c r="CE98" s="62">
        <f t="shared" si="94"/>
        <v>168.57746894604855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1.4583333333333344</v>
      </c>
      <c r="CT98" s="13">
        <f>IF('Données projet'!$A$140&gt;35,CT97+CS98-DB97,IF(A98&lt;'Données projet'!$A$140,$CQ$205^A98,IF(A98='Données projet'!$A$140,'Données projet'!$B$140,CT97+CS98-DB97)))</f>
        <v>104.53333333333327</v>
      </c>
      <c r="CU98" s="18">
        <f>CT98*VLOOKUP('Données projet'!$B$13,Paramètres!$A$1:$I$89,3,0)*VLOOKUP('Données projet'!$B$13,Paramètres!$A$1:$I$89,5,0)</f>
        <v>120.42239999999991</v>
      </c>
      <c r="CV98" s="14">
        <f t="shared" si="95"/>
        <v>31.773497001152442</v>
      </c>
      <c r="CW98" s="22">
        <f t="shared" si="67"/>
        <v>265.07452061034036</v>
      </c>
      <c r="CX98" s="62">
        <f t="shared" si="68"/>
        <v>558.40785394367367</v>
      </c>
      <c r="CY98" s="62">
        <f ca="1">AVERAGE(OFFSET($CX$3,0,0,'Données projet'!$E$13+1,1))-AVERAGE(OFFSET($H$3,0,0,'Données projet'!$E$13+1,1))</f>
        <v>191.79777926975839</v>
      </c>
      <c r="CZ98" s="62">
        <f t="shared" si="96"/>
        <v>156.66161375678712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4.4729999999999999</v>
      </c>
      <c r="DO98" s="13">
        <f>IF('Données projet'!$A$166&gt;35,DO97+DN98-DW97,IF(A98&lt;'Données projet'!$A$166,$DL$205^A98,IF(A98='Données projet'!$A$166,'Données projet'!$B$166,DO97+DN98-DW97)))</f>
        <v>245.36500000000024</v>
      </c>
      <c r="DP98" s="18">
        <f>DO98*VLOOKUP('Données projet'!$B$14,Paramètres!$A$1:$I$89,3,0)*VLOOKUP('Données projet'!$B$14,Paramètres!$A$1:$I$89,5,0)</f>
        <v>267.93858000000023</v>
      </c>
      <c r="DQ98" s="14">
        <f t="shared" si="97"/>
        <v>64.411588985678705</v>
      </c>
      <c r="DR98" s="22">
        <f t="shared" si="70"/>
        <v>578.8432109833908</v>
      </c>
      <c r="DS98" s="62">
        <f t="shared" si="71"/>
        <v>872.17654431672418</v>
      </c>
      <c r="DT98" s="62">
        <f ca="1">AVERAGE(OFFSET($DS$3,0,0,'Données projet'!$E$14+1,1))-AVERAGE(OFFSET($H$3,0,0,'Données projet'!$E$14+1,1))</f>
        <v>541.0854688453461</v>
      </c>
      <c r="DU98" s="62">
        <f t="shared" si="98"/>
        <v>171.04847168584473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5.1159076974727213E-13</v>
      </c>
      <c r="EK98" s="18">
        <f>EJ98*VLOOKUP('Données projet'!$B$15,Paramètres!$A$1:$I$89,3,0)*VLOOKUP('Données projet'!$B$15,Paramètres!$A$1:$I$89,5,0)</f>
        <v>3.0593128030886877E-13</v>
      </c>
      <c r="EL98" s="14">
        <f t="shared" si="99"/>
        <v>4.0350537939347394E-12</v>
      </c>
      <c r="EM98" s="22">
        <f t="shared" si="73"/>
        <v>7.5605490043076185E-12</v>
      </c>
      <c r="EN98" s="62">
        <f t="shared" si="74"/>
        <v>293.33333333334087</v>
      </c>
      <c r="EO98" s="62">
        <f ca="1">AVERAGE(OFFSET($EN$3,0,0,'Données projet'!$E$15+1,1))-AVERAGE(OFFSET($H$3,0,0,'Données projet'!$E$15+1,1))</f>
        <v>244.01698421598974</v>
      </c>
      <c r="EP98" s="62">
        <f t="shared" si="100"/>
        <v>156.96653202915024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0.59325696656727611</v>
      </c>
      <c r="EX98" s="23">
        <f>EXP(-LN(2)/2)*EX97+(1-EXP(-LN(2)/2))/(LN(2)/2)*ER98*EU98*VLOOKUP('Données projet'!$B$15,Paramètres!$A$1:$I$89,3,0)*0.475*44/12</f>
        <v>1.6394953953047772E-9</v>
      </c>
      <c r="EY98" s="24">
        <f t="shared" si="75"/>
        <v>0.59325696820677154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-5.6843418860808015E-14</v>
      </c>
      <c r="FF98" s="18">
        <f>FE98*VLOOKUP('Données projet'!$B$16,Paramètres!$A$1:$I$89,3,0)*VLOOKUP('Données projet'!$B$16,Paramètres!$A$1:$I$89,5,0)</f>
        <v>-4.9658410716801891E-14</v>
      </c>
      <c r="FG98" s="14" t="e">
        <f t="shared" si="101"/>
        <v>#NUM!</v>
      </c>
      <c r="FH98" s="22" t="e">
        <f t="shared" si="76"/>
        <v>#NUM!</v>
      </c>
      <c r="FI98" s="62" t="e">
        <f t="shared" si="77"/>
        <v>#NUM!</v>
      </c>
      <c r="FJ98" s="62">
        <f ca="1">AVERAGE(OFFSET($FI$3,0,0,'Données projet'!$E$16+1,1))-AVERAGE(OFFSET($H$3,0,0,'Données projet'!$E$16+1,1))</f>
        <v>175.08726167127026</v>
      </c>
      <c r="FK98" s="62">
        <f t="shared" si="102"/>
        <v>196.05343924817117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8.5265128291212022E-14</v>
      </c>
      <c r="GA98" s="18">
        <f>FZ98*VLOOKUP('Données projet'!$B$17,Paramètres!$A$1:$I$89,3,0)*VLOOKUP('Données projet'!$B$17,Paramètres!$A$1:$I$89,5,0)</f>
        <v>5.5865712056402117E-14</v>
      </c>
      <c r="GB98" s="14">
        <f t="shared" si="103"/>
        <v>8.9811031843713517E-13</v>
      </c>
      <c r="GC98" s="22">
        <f t="shared" si="79"/>
        <v>1.6615082531095774E-12</v>
      </c>
      <c r="GD98" s="62">
        <f t="shared" si="80"/>
        <v>293.33333333333496</v>
      </c>
      <c r="GE98" s="62">
        <f ca="1">AVERAGE(OFFSET($GD$3,0,0,'Données projet'!$E$17+1,1))-AVERAGE(OFFSET($H$3,0,0,'Données projet'!$E$17+1,1))</f>
        <v>142.93037460866543</v>
      </c>
      <c r="GF98" s="62">
        <f t="shared" si="104"/>
        <v>146.18554498808049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>
        <f>VLOOKUP(A98,'Données projet'!$A$269:$I$289,2,0)</f>
        <v>164</v>
      </c>
      <c r="GS98" s="13">
        <f>VLOOKUP(A98,'Données projet'!$A$269:$I$289,9,0)</f>
        <v>2.8</v>
      </c>
      <c r="GT98" s="13">
        <f t="array" ref="GT98">INDEX(GS:GS,MIN(IF(ISNUMBER(GS98:GS294),ROW(GS98:GS294),"")))</f>
        <v>2.8</v>
      </c>
      <c r="GU98" s="13">
        <f>IF('Données projet'!$A$270&gt;35,GU97+GT98-HC97,IF(A98&lt;'Données projet'!$A$270,$GR$205^A98,IF(A98='Données projet'!$A$270,'Données projet'!$B$270,GU97+GT98-HC97)))</f>
        <v>164</v>
      </c>
      <c r="GV98" s="18">
        <f>GU98*VLOOKUP('Données projet'!$B$18,Paramètres!$A$1:$I$89,3,0)*VLOOKUP('Données projet'!$B$18,Paramètres!$A$1:$I$89,5,0)</f>
        <v>140.71200000000002</v>
      </c>
      <c r="GW98" s="14">
        <f t="shared" si="105"/>
        <v>36.46006650944075</v>
      </c>
      <c r="GX98" s="22">
        <f t="shared" si="82"/>
        <v>308.5746825039426</v>
      </c>
      <c r="GY98" s="62">
        <f t="shared" si="83"/>
        <v>601.90801583727591</v>
      </c>
      <c r="GZ98" s="62">
        <f ca="1">AVERAGE(OFFSET($GY$3,0,0,'Données projet'!$E$18+1,1))-AVERAGE(OFFSET($H$3,0,0,'Données projet'!$E$18+1,1))</f>
        <v>188.08607733149256</v>
      </c>
      <c r="HA98" s="62">
        <f t="shared" si="106"/>
        <v>119.95698016603842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28.703999999999969</v>
      </c>
      <c r="D99" s="12">
        <f t="shared" si="86"/>
        <v>8.9493189902812897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290.6571992232237</v>
      </c>
      <c r="H99" s="70">
        <f t="shared" si="56"/>
        <v>322.24619724140655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</v>
      </c>
      <c r="N99" s="14">
        <f>IF('Données projet'!$A$36&gt;35,N98+M99-V98,IF(A99&lt;'Données projet'!$A$36,$K$205^A99,IF(A99='Données projet'!$A$36,'Données projet'!$B$36,N98+M99-V98)))</f>
        <v>167</v>
      </c>
      <c r="O99" s="14">
        <f>N99*VLOOKUP('Données projet'!$B$9,Paramètres!$A$1:$I$89,3,0)*VLOOKUP('Données projet'!$B$9,Paramètres!$A$1:$I$89,5,0)</f>
        <v>179.75879999999998</v>
      </c>
      <c r="P99" s="14">
        <f t="shared" si="87"/>
        <v>45.268519423286527</v>
      </c>
      <c r="Q99" s="22">
        <f t="shared" ref="Q99:Q130" si="107">(O99+P99)*0.475*44/12</f>
        <v>391.92258132889066</v>
      </c>
      <c r="R99" s="62">
        <f t="shared" si="55"/>
        <v>685.25591466222397</v>
      </c>
      <c r="S99" s="62">
        <f ca="1">AVERAGE(OFFSET($R$3,0,0,'Données projet'!$E$9+1,1))-AVERAGE(OFFSET($H$3,0,0,'Données projet'!$E$9+1,1))</f>
        <v>236.98575892380046</v>
      </c>
      <c r="T99" s="62">
        <f t="shared" si="88"/>
        <v>145.77678223659774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140.04898296125504</v>
      </c>
      <c r="AO99" s="62">
        <f t="shared" si="90"/>
        <v>129.5395511270716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8.1576923076923151</v>
      </c>
      <c r="BD99" s="13">
        <f>IF('Données projet'!$A$88&gt;35,BD98+BC99-BL98,IF(A99&lt;'Données projet'!$A$88,$BA$205^A99,IF(A99='Données projet'!$A$88,'Données projet'!$B$88,BD98+BC99-BL98)))</f>
        <v>373.39615384615331</v>
      </c>
      <c r="BE99" s="14">
        <f>BD99*VLOOKUP('Données projet'!$B$11,Paramètres!$A$1:$I$89,3,0)*VLOOKUP('Données projet'!$B$11,Paramètres!$A$1:$I$89,5,0)</f>
        <v>174.74939999999975</v>
      </c>
      <c r="BF99" s="14">
        <f t="shared" si="91"/>
        <v>44.152019355804249</v>
      </c>
      <c r="BG99" s="22">
        <f t="shared" si="61"/>
        <v>381.25330537802529</v>
      </c>
      <c r="BH99" s="62">
        <f t="shared" si="62"/>
        <v>674.58663871135855</v>
      </c>
      <c r="BI99" s="62">
        <f ca="1">AVERAGE(OFFSET($BH$3,0,0,'Données projet'!$E$11+1,1))-AVERAGE(OFFSET($H$3,0,0,'Données projet'!$E$11+1,1))</f>
        <v>207.84100251878419</v>
      </c>
      <c r="BJ99" s="62">
        <f t="shared" si="92"/>
        <v>124.34917784241952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1.0399999999999978</v>
      </c>
      <c r="BY99" s="13">
        <f>IF('Données projet'!$A$114&gt;35,BY98+BX99-CG98,IF(A99&lt;'Données projet'!$A$114,$BV$205^A99,IF(A99='Données projet'!$A$114,'Données projet'!$B$114,BY98+BX99-CG98)))</f>
        <v>312.33999999999986</v>
      </c>
      <c r="BZ99" s="14">
        <f>BY99*VLOOKUP('Données projet'!$B$12,Paramètres!$A$1:$I$89,3,0)*VLOOKUP('Données projet'!$B$12,Paramètres!$A$1:$I$89,5,0)</f>
        <v>162.41679999999994</v>
      </c>
      <c r="CA99" s="14">
        <f t="shared" si="93"/>
        <v>41.387154847720005</v>
      </c>
      <c r="CB99" s="22">
        <f t="shared" si="64"/>
        <v>354.95855469311226</v>
      </c>
      <c r="CC99" s="62">
        <f t="shared" si="65"/>
        <v>648.29188802644558</v>
      </c>
      <c r="CD99" s="62">
        <f ca="1">AVERAGE(OFFSET($CC$3,0,0,'Données projet'!$E$12+1,1))-AVERAGE(OFFSET($H$3,0,0,'Données projet'!$E$12+1,1))</f>
        <v>211.05980622218578</v>
      </c>
      <c r="CE99" s="62">
        <f t="shared" si="94"/>
        <v>168.57746894604855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1.4583333333333344</v>
      </c>
      <c r="CT99" s="13">
        <f>IF('Données projet'!$A$140&gt;35,CT98+CS99-DB98,IF(A99&lt;'Données projet'!$A$140,$CQ$205^A99,IF(A99='Données projet'!$A$140,'Données projet'!$B$140,CT98+CS99-DB98)))</f>
        <v>105.9916666666666</v>
      </c>
      <c r="CU99" s="18">
        <f>CT99*VLOOKUP('Données projet'!$B$13,Paramètres!$A$1:$I$89,3,0)*VLOOKUP('Données projet'!$B$13,Paramètres!$A$1:$I$89,5,0)</f>
        <v>122.10239999999992</v>
      </c>
      <c r="CV99" s="14">
        <f t="shared" si="95"/>
        <v>32.164852806220239</v>
      </c>
      <c r="CW99" s="22">
        <f t="shared" si="67"/>
        <v>268.68213197083338</v>
      </c>
      <c r="CX99" s="62">
        <f t="shared" si="68"/>
        <v>562.0154653041667</v>
      </c>
      <c r="CY99" s="62">
        <f ca="1">AVERAGE(OFFSET($CX$3,0,0,'Données projet'!$E$13+1,1))-AVERAGE(OFFSET($H$3,0,0,'Données projet'!$E$13+1,1))</f>
        <v>191.79777926975839</v>
      </c>
      <c r="CZ99" s="62">
        <f t="shared" si="96"/>
        <v>156.66161375678712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4.4729999999999999</v>
      </c>
      <c r="DO99" s="13">
        <f>IF('Données projet'!$A$166&gt;35,DO98+DN99-DW98,IF(A99&lt;'Données projet'!$A$166,$DL$205^A99,IF(A99='Données projet'!$A$166,'Données projet'!$B$166,DO98+DN99-DW98)))</f>
        <v>249.83800000000025</v>
      </c>
      <c r="DP99" s="18">
        <f>DO99*VLOOKUP('Données projet'!$B$14,Paramètres!$A$1:$I$89,3,0)*VLOOKUP('Données projet'!$B$14,Paramètres!$A$1:$I$89,5,0)</f>
        <v>272.82309600000025</v>
      </c>
      <c r="DQ99" s="14">
        <f t="shared" si="97"/>
        <v>65.448038327686405</v>
      </c>
      <c r="DR99" s="22">
        <f t="shared" si="70"/>
        <v>589.1555589540543</v>
      </c>
      <c r="DS99" s="62">
        <f t="shared" si="71"/>
        <v>882.48889228738767</v>
      </c>
      <c r="DT99" s="62">
        <f ca="1">AVERAGE(OFFSET($DS$3,0,0,'Données projet'!$E$14+1,1))-AVERAGE(OFFSET($H$3,0,0,'Données projet'!$E$14+1,1))</f>
        <v>541.0854688453461</v>
      </c>
      <c r="DU99" s="62">
        <f t="shared" si="98"/>
        <v>171.04847168584473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5.1159076974727213E-13</v>
      </c>
      <c r="EK99" s="18">
        <f>EJ99*VLOOKUP('Données projet'!$B$15,Paramètres!$A$1:$I$89,3,0)*VLOOKUP('Données projet'!$B$15,Paramètres!$A$1:$I$89,5,0)</f>
        <v>3.0593128030886877E-13</v>
      </c>
      <c r="EL99" s="14">
        <f t="shared" si="99"/>
        <v>4.0350537939347394E-12</v>
      </c>
      <c r="EM99" s="22">
        <f t="shared" si="73"/>
        <v>7.5605490043076185E-12</v>
      </c>
      <c r="EN99" s="62">
        <f t="shared" si="74"/>
        <v>293.33333333334087</v>
      </c>
      <c r="EO99" s="62">
        <f ca="1">AVERAGE(OFFSET($EN$3,0,0,'Données projet'!$E$15+1,1))-AVERAGE(OFFSET($H$3,0,0,'Données projet'!$E$15+1,1))</f>
        <v>244.01698421598974</v>
      </c>
      <c r="EP99" s="62">
        <f t="shared" si="100"/>
        <v>156.96653202915024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0.57703432361846596</v>
      </c>
      <c r="EX99" s="23">
        <f>EXP(-LN(2)/2)*EX98+(1-EXP(-LN(2)/2))/(LN(2)/2)*ER99*EU99*VLOOKUP('Données projet'!$B$15,Paramètres!$A$1:$I$89,3,0)*0.475*44/12</f>
        <v>1.1592983117441273E-9</v>
      </c>
      <c r="EY99" s="24">
        <f t="shared" si="75"/>
        <v>0.57703432477776428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-5.6843418860808015E-14</v>
      </c>
      <c r="FF99" s="18">
        <f>FE99*VLOOKUP('Données projet'!$B$16,Paramètres!$A$1:$I$89,3,0)*VLOOKUP('Données projet'!$B$16,Paramètres!$A$1:$I$89,5,0)</f>
        <v>-4.9658410716801891E-14</v>
      </c>
      <c r="FG99" s="14" t="e">
        <f t="shared" si="101"/>
        <v>#NUM!</v>
      </c>
      <c r="FH99" s="22" t="e">
        <f t="shared" si="76"/>
        <v>#NUM!</v>
      </c>
      <c r="FI99" s="62" t="e">
        <f t="shared" si="77"/>
        <v>#NUM!</v>
      </c>
      <c r="FJ99" s="62">
        <f ca="1">AVERAGE(OFFSET($FI$3,0,0,'Données projet'!$E$16+1,1))-AVERAGE(OFFSET($H$3,0,0,'Données projet'!$E$16+1,1))</f>
        <v>175.08726167127026</v>
      </c>
      <c r="FK99" s="62">
        <f t="shared" si="102"/>
        <v>196.05343924817117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8.5265128291212022E-14</v>
      </c>
      <c r="GA99" s="18">
        <f>FZ99*VLOOKUP('Données projet'!$B$17,Paramètres!$A$1:$I$89,3,0)*VLOOKUP('Données projet'!$B$17,Paramètres!$A$1:$I$89,5,0)</f>
        <v>5.5865712056402117E-14</v>
      </c>
      <c r="GB99" s="14">
        <f t="shared" si="103"/>
        <v>8.9811031843713517E-13</v>
      </c>
      <c r="GC99" s="22">
        <f t="shared" si="79"/>
        <v>1.6615082531095774E-12</v>
      </c>
      <c r="GD99" s="62">
        <f t="shared" si="80"/>
        <v>293.33333333333496</v>
      </c>
      <c r="GE99" s="62">
        <f ca="1">AVERAGE(OFFSET($GD$3,0,0,'Données projet'!$E$17+1,1))-AVERAGE(OFFSET($H$3,0,0,'Données projet'!$E$17+1,1))</f>
        <v>142.93037460866543</v>
      </c>
      <c r="GF99" s="62">
        <f t="shared" si="104"/>
        <v>146.18554498808049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3</v>
      </c>
      <c r="GU99" s="13">
        <f>IF('Données projet'!$A$270&gt;35,GU98+GT99-HC98,IF(A99&lt;'Données projet'!$A$270,$GR$205^A99,IF(A99='Données projet'!$A$270,'Données projet'!$B$270,GU98+GT99-HC98)))</f>
        <v>167</v>
      </c>
      <c r="GV99" s="18">
        <f>GU99*VLOOKUP('Données projet'!$B$18,Paramètres!$A$1:$I$89,3,0)*VLOOKUP('Données projet'!$B$18,Paramètres!$A$1:$I$89,5,0)</f>
        <v>143.28600000000003</v>
      </c>
      <c r="GW99" s="14">
        <f t="shared" si="105"/>
        <v>37.048762502809495</v>
      </c>
      <c r="GX99" s="22">
        <f t="shared" si="82"/>
        <v>314.08304469239323</v>
      </c>
      <c r="GY99" s="62">
        <f t="shared" si="83"/>
        <v>607.41637802572654</v>
      </c>
      <c r="GZ99" s="62">
        <f ca="1">AVERAGE(OFFSET($GY$3,0,0,'Données projet'!$E$18+1,1))-AVERAGE(OFFSET($H$3,0,0,'Données projet'!$E$18+1,1))</f>
        <v>188.08607733149256</v>
      </c>
      <c r="HA99" s="62">
        <f t="shared" si="106"/>
        <v>119.95698016603842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29.002999999999968</v>
      </c>
      <c r="D100" s="12">
        <f t="shared" si="86"/>
        <v>9.0316402689048818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293.60073190031812</v>
      </c>
      <c r="H100" s="70">
        <f t="shared" si="56"/>
        <v>322.91033180167597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</v>
      </c>
      <c r="N100" s="14">
        <f>IF('Données projet'!$A$36&gt;35,N99+M100-V99,IF(A100&lt;'Données projet'!$A$36,$K$205^A100,IF(A100='Données projet'!$A$36,'Données projet'!$B$36,N99+M100-V99)))</f>
        <v>170</v>
      </c>
      <c r="O100" s="14">
        <f>N100*VLOOKUP('Données projet'!$B$9,Paramètres!$A$1:$I$89,3,0)*VLOOKUP('Données projet'!$B$9,Paramètres!$A$1:$I$89,5,0)</f>
        <v>182.988</v>
      </c>
      <c r="P100" s="14">
        <f t="shared" si="87"/>
        <v>45.986322796524831</v>
      </c>
      <c r="Q100" s="22">
        <f t="shared" si="107"/>
        <v>398.79694553728069</v>
      </c>
      <c r="R100" s="62">
        <f t="shared" si="55"/>
        <v>692.13027887061401</v>
      </c>
      <c r="S100" s="62">
        <f ca="1">AVERAGE(OFFSET($R$3,0,0,'Données projet'!$E$9+1,1))-AVERAGE(OFFSET($H$3,0,0,'Données projet'!$E$9+1,1))</f>
        <v>236.98575892380046</v>
      </c>
      <c r="T100" s="62">
        <f t="shared" si="88"/>
        <v>145.77678223659774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140.04898296125504</v>
      </c>
      <c r="AO100" s="62">
        <f t="shared" si="90"/>
        <v>129.5395511270716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8.1576923076923151</v>
      </c>
      <c r="BD100" s="13">
        <f>IF('Données projet'!$A$88&gt;35,BD99+BC100-BL99,IF(A100&lt;'Données projet'!$A$88,$BA$205^A100,IF(A100='Données projet'!$A$88,'Données projet'!$B$88,BD99+BC100-BL99)))</f>
        <v>381.5538461538456</v>
      </c>
      <c r="BE100" s="14">
        <f>BD100*VLOOKUP('Données projet'!$B$11,Paramètres!$A$1:$I$89,3,0)*VLOOKUP('Données projet'!$B$11,Paramètres!$A$1:$I$89,5,0)</f>
        <v>178.56719999999976</v>
      </c>
      <c r="BF100" s="14">
        <f t="shared" si="91"/>
        <v>45.003266447079469</v>
      </c>
      <c r="BG100" s="22">
        <f t="shared" si="61"/>
        <v>389.38522906199631</v>
      </c>
      <c r="BH100" s="62">
        <f t="shared" si="62"/>
        <v>682.71856239532963</v>
      </c>
      <c r="BI100" s="62">
        <f ca="1">AVERAGE(OFFSET($BH$3,0,0,'Données projet'!$E$11+1,1))-AVERAGE(OFFSET($H$3,0,0,'Données projet'!$E$11+1,1))</f>
        <v>207.84100251878419</v>
      </c>
      <c r="BJ100" s="62">
        <f t="shared" si="92"/>
        <v>124.34917784241952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1.0399999999999978</v>
      </c>
      <c r="BY100" s="13">
        <f>IF('Données projet'!$A$114&gt;35,BY99+BX100-CG99,IF(A100&lt;'Données projet'!$A$114,$BV$205^A100,IF(A100='Données projet'!$A$114,'Données projet'!$B$114,BY99+BX100-CG99)))</f>
        <v>313.37999999999988</v>
      </c>
      <c r="BZ100" s="14">
        <f>BY100*VLOOKUP('Données projet'!$B$12,Paramètres!$A$1:$I$89,3,0)*VLOOKUP('Données projet'!$B$12,Paramètres!$A$1:$I$89,5,0)</f>
        <v>162.95759999999996</v>
      </c>
      <c r="CA100" s="14">
        <f t="shared" si="93"/>
        <v>41.508897552694791</v>
      </c>
      <c r="CB100" s="22">
        <f t="shared" si="64"/>
        <v>356.11248323760998</v>
      </c>
      <c r="CC100" s="62">
        <f t="shared" si="65"/>
        <v>649.44581657094329</v>
      </c>
      <c r="CD100" s="62">
        <f ca="1">AVERAGE(OFFSET($CC$3,0,0,'Données projet'!$E$12+1,1))-AVERAGE(OFFSET($H$3,0,0,'Données projet'!$E$12+1,1))</f>
        <v>211.05980622218578</v>
      </c>
      <c r="CE100" s="62">
        <f t="shared" si="94"/>
        <v>168.57746894604855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1.4583333333333344</v>
      </c>
      <c r="CT100" s="13">
        <f>IF('Données projet'!$A$140&gt;35,CT99+CS100-DB99,IF(A100&lt;'Données projet'!$A$140,$CQ$205^A100,IF(A100='Données projet'!$A$140,'Données projet'!$B$140,CT99+CS100-DB99)))</f>
        <v>107.44999999999993</v>
      </c>
      <c r="CU100" s="18">
        <f>CT100*VLOOKUP('Données projet'!$B$13,Paramètres!$A$1:$I$89,3,0)*VLOOKUP('Données projet'!$B$13,Paramètres!$A$1:$I$89,5,0)</f>
        <v>123.78239999999991</v>
      </c>
      <c r="CV100" s="14">
        <f t="shared" si="95"/>
        <v>32.555582319658349</v>
      </c>
      <c r="CW100" s="22">
        <f t="shared" si="67"/>
        <v>272.2886525400715</v>
      </c>
      <c r="CX100" s="62">
        <f t="shared" si="68"/>
        <v>565.62198587340481</v>
      </c>
      <c r="CY100" s="62">
        <f ca="1">AVERAGE(OFFSET($CX$3,0,0,'Données projet'!$E$13+1,1))-AVERAGE(OFFSET($H$3,0,0,'Données projet'!$E$13+1,1))</f>
        <v>191.79777926975839</v>
      </c>
      <c r="CZ100" s="62">
        <f t="shared" si="96"/>
        <v>156.66161375678712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4.4729999999999999</v>
      </c>
      <c r="DO100" s="13">
        <f>IF('Données projet'!$A$166&gt;35,DO99+DN100-DW99,IF(A100&lt;'Données projet'!$A$166,$DL$205^A100,IF(A100='Données projet'!$A$166,'Données projet'!$B$166,DO99+DN100-DW99)))</f>
        <v>254.31100000000026</v>
      </c>
      <c r="DP100" s="18">
        <f>DO100*VLOOKUP('Données projet'!$B$14,Paramètres!$A$1:$I$89,3,0)*VLOOKUP('Données projet'!$B$14,Paramètres!$A$1:$I$89,5,0)</f>
        <v>277.70761200000027</v>
      </c>
      <c r="DQ100" s="14">
        <f t="shared" si="97"/>
        <v>66.482329858006921</v>
      </c>
      <c r="DR100" s="22">
        <f t="shared" si="70"/>
        <v>599.46414873602907</v>
      </c>
      <c r="DS100" s="62">
        <f t="shared" si="71"/>
        <v>892.79748206936233</v>
      </c>
      <c r="DT100" s="62">
        <f ca="1">AVERAGE(OFFSET($DS$3,0,0,'Données projet'!$E$14+1,1))-AVERAGE(OFFSET($H$3,0,0,'Données projet'!$E$14+1,1))</f>
        <v>541.0854688453461</v>
      </c>
      <c r="DU100" s="62">
        <f t="shared" si="98"/>
        <v>171.04847168584473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5.1159076974727213E-13</v>
      </c>
      <c r="EK100" s="18">
        <f>EJ100*VLOOKUP('Données projet'!$B$15,Paramètres!$A$1:$I$89,3,0)*VLOOKUP('Données projet'!$B$15,Paramètres!$A$1:$I$89,5,0)</f>
        <v>3.0593128030886877E-13</v>
      </c>
      <c r="EL100" s="14">
        <f t="shared" si="99"/>
        <v>4.0350537939347394E-12</v>
      </c>
      <c r="EM100" s="22">
        <f t="shared" si="73"/>
        <v>7.5605490043076185E-12</v>
      </c>
      <c r="EN100" s="62">
        <f t="shared" si="74"/>
        <v>293.33333333334087</v>
      </c>
      <c r="EO100" s="62">
        <f ca="1">AVERAGE(OFFSET($EN$3,0,0,'Données projet'!$E$15+1,1))-AVERAGE(OFFSET($H$3,0,0,'Données projet'!$E$15+1,1))</f>
        <v>244.01698421598974</v>
      </c>
      <c r="EP100" s="62">
        <f t="shared" si="100"/>
        <v>156.96653202915024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0.5612552896942028</v>
      </c>
      <c r="EX100" s="23">
        <f>EXP(-LN(2)/2)*EX99+(1-EXP(-LN(2)/2))/(LN(2)/2)*ER100*EU100*VLOOKUP('Données projet'!$B$15,Paramètres!$A$1:$I$89,3,0)*0.475*44/12</f>
        <v>8.1974769765238861E-10</v>
      </c>
      <c r="EY100" s="24">
        <f t="shared" si="75"/>
        <v>0.56125529051395051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-5.6843418860808015E-14</v>
      </c>
      <c r="FF100" s="18">
        <f>FE100*VLOOKUP('Données projet'!$B$16,Paramètres!$A$1:$I$89,3,0)*VLOOKUP('Données projet'!$B$16,Paramètres!$A$1:$I$89,5,0)</f>
        <v>-4.9658410716801891E-14</v>
      </c>
      <c r="FG100" s="14" t="e">
        <f t="shared" si="101"/>
        <v>#NUM!</v>
      </c>
      <c r="FH100" s="22" t="e">
        <f t="shared" si="76"/>
        <v>#NUM!</v>
      </c>
      <c r="FI100" s="62" t="e">
        <f t="shared" si="77"/>
        <v>#NUM!</v>
      </c>
      <c r="FJ100" s="62">
        <f ca="1">AVERAGE(OFFSET($FI$3,0,0,'Données projet'!$E$16+1,1))-AVERAGE(OFFSET($H$3,0,0,'Données projet'!$E$16+1,1))</f>
        <v>175.08726167127026</v>
      </c>
      <c r="FK100" s="62">
        <f t="shared" si="102"/>
        <v>196.05343924817117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8.5265128291212022E-14</v>
      </c>
      <c r="GA100" s="18">
        <f>FZ100*VLOOKUP('Données projet'!$B$17,Paramètres!$A$1:$I$89,3,0)*VLOOKUP('Données projet'!$B$17,Paramètres!$A$1:$I$89,5,0)</f>
        <v>5.5865712056402117E-14</v>
      </c>
      <c r="GB100" s="14">
        <f t="shared" si="103"/>
        <v>8.9811031843713517E-13</v>
      </c>
      <c r="GC100" s="22">
        <f t="shared" si="79"/>
        <v>1.6615082531095774E-12</v>
      </c>
      <c r="GD100" s="62">
        <f t="shared" si="80"/>
        <v>293.33333333333496</v>
      </c>
      <c r="GE100" s="62">
        <f ca="1">AVERAGE(OFFSET($GD$3,0,0,'Données projet'!$E$17+1,1))-AVERAGE(OFFSET($H$3,0,0,'Données projet'!$E$17+1,1))</f>
        <v>142.93037460866543</v>
      </c>
      <c r="GF100" s="62">
        <f t="shared" si="104"/>
        <v>146.18554498808049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3</v>
      </c>
      <c r="GU100" s="13">
        <f>IF('Données projet'!$A$270&gt;35,GU99+GT100-HC99,IF(A100&lt;'Données projet'!$A$270,$GR$205^A100,IF(A100='Données projet'!$A$270,'Données projet'!$B$270,GU99+GT100-HC99)))</f>
        <v>170</v>
      </c>
      <c r="GV100" s="18">
        <f>GU100*VLOOKUP('Données projet'!$B$18,Paramètres!$A$1:$I$89,3,0)*VLOOKUP('Données projet'!$B$18,Paramètres!$A$1:$I$89,5,0)</f>
        <v>145.86000000000001</v>
      </c>
      <c r="GW100" s="14">
        <f t="shared" si="105"/>
        <v>37.636228738454513</v>
      </c>
      <c r="GX100" s="22">
        <f t="shared" si="82"/>
        <v>319.58926505280829</v>
      </c>
      <c r="GY100" s="62">
        <f t="shared" si="83"/>
        <v>612.92259838614154</v>
      </c>
      <c r="GZ100" s="62">
        <f ca="1">AVERAGE(OFFSET($GY$3,0,0,'Données projet'!$E$18+1,1))-AVERAGE(OFFSET($H$3,0,0,'Données projet'!$E$18+1,1))</f>
        <v>188.08607733149256</v>
      </c>
      <c r="HA100" s="62">
        <f t="shared" si="106"/>
        <v>119.95698016603842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29.301999999999968</v>
      </c>
      <c r="D101" s="12">
        <f t="shared" si="86"/>
        <v>9.1138628193921996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296.54350246548341</v>
      </c>
      <c r="H101" s="70">
        <f t="shared" si="56"/>
        <v>323.57429441044138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</v>
      </c>
      <c r="N101" s="14">
        <f>IF('Données projet'!$A$36&gt;35,N100+M101-V100,IF(A101&lt;'Données projet'!$A$36,$K$205^A101,IF(A101='Données projet'!$A$36,'Données projet'!$B$36,N100+M101-V100)))</f>
        <v>173</v>
      </c>
      <c r="O101" s="14">
        <f>N101*VLOOKUP('Données projet'!$B$9,Paramètres!$A$1:$I$89,3,0)*VLOOKUP('Données projet'!$B$9,Paramètres!$A$1:$I$89,5,0)</f>
        <v>186.21719999999999</v>
      </c>
      <c r="P101" s="14">
        <f t="shared" si="87"/>
        <v>46.702653149673253</v>
      </c>
      <c r="Q101" s="22">
        <f t="shared" si="107"/>
        <v>405.66874423568089</v>
      </c>
      <c r="R101" s="62">
        <f t="shared" si="55"/>
        <v>699.0020775690142</v>
      </c>
      <c r="S101" s="62">
        <f ca="1">AVERAGE(OFFSET($R$3,0,0,'Données projet'!$E$9+1,1))-AVERAGE(OFFSET($H$3,0,0,'Données projet'!$E$9+1,1))</f>
        <v>236.98575892380046</v>
      </c>
      <c r="T101" s="62">
        <f t="shared" si="88"/>
        <v>145.77678223659774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140.04898296125504</v>
      </c>
      <c r="AO101" s="62">
        <f t="shared" si="90"/>
        <v>129.5395511270716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8.1576923076923151</v>
      </c>
      <c r="BD101" s="13">
        <f>IF('Données projet'!$A$88&gt;35,BD100+BC101-BL100,IF(A101&lt;'Données projet'!$A$88,$BA$205^A101,IF(A101='Données projet'!$A$88,'Données projet'!$B$88,BD100+BC101-BL100)))</f>
        <v>389.71153846153788</v>
      </c>
      <c r="BE101" s="14">
        <f>BD101*VLOOKUP('Données projet'!$B$11,Paramètres!$A$1:$I$89,3,0)*VLOOKUP('Données projet'!$B$11,Paramètres!$A$1:$I$89,5,0)</f>
        <v>182.38499999999974</v>
      </c>
      <c r="BF101" s="14">
        <f t="shared" si="91"/>
        <v>45.852397542618846</v>
      </c>
      <c r="BG101" s="22">
        <f t="shared" si="61"/>
        <v>397.51346738672737</v>
      </c>
      <c r="BH101" s="62">
        <f t="shared" si="62"/>
        <v>690.84680072006063</v>
      </c>
      <c r="BI101" s="62">
        <f ca="1">AVERAGE(OFFSET($BH$3,0,0,'Données projet'!$E$11+1,1))-AVERAGE(OFFSET($H$3,0,0,'Données projet'!$E$11+1,1))</f>
        <v>207.84100251878419</v>
      </c>
      <c r="BJ101" s="62">
        <f t="shared" si="92"/>
        <v>124.34917784241952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1.0399999999999978</v>
      </c>
      <c r="BY101" s="13">
        <f>IF('Données projet'!$A$114&gt;35,BY100+BX101-CG100,IF(A101&lt;'Données projet'!$A$114,$BV$205^A101,IF(A101='Données projet'!$A$114,'Données projet'!$B$114,BY100+BX101-CG100)))</f>
        <v>314.4199999999999</v>
      </c>
      <c r="BZ101" s="14">
        <f>BY101*VLOOKUP('Données projet'!$B$12,Paramètres!$A$1:$I$89,3,0)*VLOOKUP('Données projet'!$B$12,Paramètres!$A$1:$I$89,5,0)</f>
        <v>163.49839999999998</v>
      </c>
      <c r="CA101" s="14">
        <f t="shared" si="93"/>
        <v>41.63059323850004</v>
      </c>
      <c r="CB101" s="22">
        <f t="shared" si="64"/>
        <v>357.26632989038745</v>
      </c>
      <c r="CC101" s="62">
        <f t="shared" si="65"/>
        <v>650.59966322372077</v>
      </c>
      <c r="CD101" s="62">
        <f ca="1">AVERAGE(OFFSET($CC$3,0,0,'Données projet'!$E$12+1,1))-AVERAGE(OFFSET($H$3,0,0,'Données projet'!$E$12+1,1))</f>
        <v>211.05980622218578</v>
      </c>
      <c r="CE101" s="62">
        <f t="shared" si="94"/>
        <v>168.57746894604855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1.4583333333333344</v>
      </c>
      <c r="CT101" s="13">
        <f>IF('Données projet'!$A$140&gt;35,CT100+CS101-DB100,IF(A101&lt;'Données projet'!$A$140,$CQ$205^A101,IF(A101='Données projet'!$A$140,'Données projet'!$B$140,CT100+CS101-DB100)))</f>
        <v>108.90833333333326</v>
      </c>
      <c r="CU101" s="18">
        <f>CT101*VLOOKUP('Données projet'!$B$13,Paramètres!$A$1:$I$89,3,0)*VLOOKUP('Données projet'!$B$13,Paramètres!$A$1:$I$89,5,0)</f>
        <v>125.4623999999999</v>
      </c>
      <c r="CV101" s="14">
        <f t="shared" si="95"/>
        <v>32.945695024136818</v>
      </c>
      <c r="CW101" s="22">
        <f t="shared" si="67"/>
        <v>275.89409883370479</v>
      </c>
      <c r="CX101" s="62">
        <f t="shared" si="68"/>
        <v>569.22743216703816</v>
      </c>
      <c r="CY101" s="62">
        <f ca="1">AVERAGE(OFFSET($CX$3,0,0,'Données projet'!$E$13+1,1))-AVERAGE(OFFSET($H$3,0,0,'Données projet'!$E$13+1,1))</f>
        <v>191.79777926975839</v>
      </c>
      <c r="CZ101" s="62">
        <f t="shared" si="96"/>
        <v>156.66161375678712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4.4729999999999999</v>
      </c>
      <c r="DO101" s="13">
        <f>IF('Données projet'!$A$166&gt;35,DO100+DN101-DW100,IF(A101&lt;'Données projet'!$A$166,$DL$205^A101,IF(A101='Données projet'!$A$166,'Données projet'!$B$166,DO100+DN101-DW100)))</f>
        <v>258.78400000000028</v>
      </c>
      <c r="DP101" s="18">
        <f>DO101*VLOOKUP('Données projet'!$B$14,Paramètres!$A$1:$I$89,3,0)*VLOOKUP('Données projet'!$B$14,Paramètres!$A$1:$I$89,5,0)</f>
        <v>282.59212800000029</v>
      </c>
      <c r="DQ101" s="14">
        <f t="shared" si="97"/>
        <v>67.51450590854121</v>
      </c>
      <c r="DR101" s="22">
        <f t="shared" si="70"/>
        <v>609.76905405737637</v>
      </c>
      <c r="DS101" s="62">
        <f t="shared" si="71"/>
        <v>903.10238739070974</v>
      </c>
      <c r="DT101" s="62">
        <f ca="1">AVERAGE(OFFSET($DS$3,0,0,'Données projet'!$E$14+1,1))-AVERAGE(OFFSET($H$3,0,0,'Données projet'!$E$14+1,1))</f>
        <v>541.0854688453461</v>
      </c>
      <c r="DU101" s="62">
        <f t="shared" si="98"/>
        <v>171.04847168584473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5.1159076974727213E-13</v>
      </c>
      <c r="EK101" s="18">
        <f>EJ101*VLOOKUP('Données projet'!$B$15,Paramètres!$A$1:$I$89,3,0)*VLOOKUP('Données projet'!$B$15,Paramètres!$A$1:$I$89,5,0)</f>
        <v>3.0593128030886877E-13</v>
      </c>
      <c r="EL101" s="14">
        <f t="shared" si="99"/>
        <v>4.0350537939347394E-12</v>
      </c>
      <c r="EM101" s="22">
        <f t="shared" si="73"/>
        <v>7.5605490043076185E-12</v>
      </c>
      <c r="EN101" s="62">
        <f t="shared" si="74"/>
        <v>293.33333333334087</v>
      </c>
      <c r="EO101" s="62">
        <f ca="1">AVERAGE(OFFSET($EN$3,0,0,'Données projet'!$E$15+1,1))-AVERAGE(OFFSET($H$3,0,0,'Données projet'!$E$15+1,1))</f>
        <v>244.01698421598974</v>
      </c>
      <c r="EP101" s="62">
        <f t="shared" si="100"/>
        <v>156.96653202915024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0.54590773428238193</v>
      </c>
      <c r="EX101" s="23">
        <f>EXP(-LN(2)/2)*EX100+(1-EXP(-LN(2)/2))/(LN(2)/2)*ER101*EU101*VLOOKUP('Données projet'!$B$15,Paramètres!$A$1:$I$89,3,0)*0.475*44/12</f>
        <v>5.7964915587206366E-10</v>
      </c>
      <c r="EY101" s="24">
        <f t="shared" si="75"/>
        <v>0.54590773486203104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-5.6843418860808015E-14</v>
      </c>
      <c r="FF101" s="18">
        <f>FE101*VLOOKUP('Données projet'!$B$16,Paramètres!$A$1:$I$89,3,0)*VLOOKUP('Données projet'!$B$16,Paramètres!$A$1:$I$89,5,0)</f>
        <v>-4.9658410716801891E-14</v>
      </c>
      <c r="FG101" s="14" t="e">
        <f t="shared" si="101"/>
        <v>#NUM!</v>
      </c>
      <c r="FH101" s="22" t="e">
        <f t="shared" si="76"/>
        <v>#NUM!</v>
      </c>
      <c r="FI101" s="62" t="e">
        <f t="shared" si="77"/>
        <v>#NUM!</v>
      </c>
      <c r="FJ101" s="62">
        <f ca="1">AVERAGE(OFFSET($FI$3,0,0,'Données projet'!$E$16+1,1))-AVERAGE(OFFSET($H$3,0,0,'Données projet'!$E$16+1,1))</f>
        <v>175.08726167127026</v>
      </c>
      <c r="FK101" s="62">
        <f t="shared" si="102"/>
        <v>196.05343924817117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8.5265128291212022E-14</v>
      </c>
      <c r="GA101" s="18">
        <f>FZ101*VLOOKUP('Données projet'!$B$17,Paramètres!$A$1:$I$89,3,0)*VLOOKUP('Données projet'!$B$17,Paramètres!$A$1:$I$89,5,0)</f>
        <v>5.5865712056402117E-14</v>
      </c>
      <c r="GB101" s="14">
        <f t="shared" si="103"/>
        <v>8.9811031843713517E-13</v>
      </c>
      <c r="GC101" s="22">
        <f t="shared" si="79"/>
        <v>1.6615082531095774E-12</v>
      </c>
      <c r="GD101" s="62">
        <f t="shared" si="80"/>
        <v>293.33333333333496</v>
      </c>
      <c r="GE101" s="62">
        <f ca="1">AVERAGE(OFFSET($GD$3,0,0,'Données projet'!$E$17+1,1))-AVERAGE(OFFSET($H$3,0,0,'Données projet'!$E$17+1,1))</f>
        <v>142.93037460866543</v>
      </c>
      <c r="GF101" s="62">
        <f t="shared" si="104"/>
        <v>146.18554498808049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3</v>
      </c>
      <c r="GU101" s="13">
        <f>IF('Données projet'!$A$270&gt;35,GU100+GT101-HC100,IF(A101&lt;'Données projet'!$A$270,$GR$205^A101,IF(A101='Données projet'!$A$270,'Données projet'!$B$270,GU100+GT101-HC100)))</f>
        <v>173</v>
      </c>
      <c r="GV101" s="18">
        <f>GU101*VLOOKUP('Données projet'!$B$18,Paramètres!$A$1:$I$89,3,0)*VLOOKUP('Données projet'!$B$18,Paramètres!$A$1:$I$89,5,0)</f>
        <v>148.43400000000003</v>
      </c>
      <c r="GW101" s="14">
        <f t="shared" si="105"/>
        <v>38.222489421716382</v>
      </c>
      <c r="GX101" s="22">
        <f t="shared" si="82"/>
        <v>325.0933857428227</v>
      </c>
      <c r="GY101" s="62">
        <f t="shared" si="83"/>
        <v>618.42671907615602</v>
      </c>
      <c r="GZ101" s="62">
        <f ca="1">AVERAGE(OFFSET($GY$3,0,0,'Données projet'!$E$18+1,1))-AVERAGE(OFFSET($H$3,0,0,'Données projet'!$E$18+1,1))</f>
        <v>188.08607733149256</v>
      </c>
      <c r="HA101" s="62">
        <f t="shared" si="106"/>
        <v>119.95698016603842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29.600999999999967</v>
      </c>
      <c r="D102" s="12">
        <f t="shared" si="86"/>
        <v>9.1959877658095799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299.48551959572279</v>
      </c>
      <c r="H102" s="70">
        <f t="shared" si="56"/>
        <v>324.23808702545165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</v>
      </c>
      <c r="N102" s="14">
        <f>IF('Données projet'!$A$36&gt;35,N101+M102-V101,IF(A102&lt;'Données projet'!$A$36,$K$205^A102,IF(A102='Données projet'!$A$36,'Données projet'!$B$36,N101+M102-V101)))</f>
        <v>176</v>
      </c>
      <c r="O102" s="14">
        <f>N102*VLOOKUP('Données projet'!$B$9,Paramètres!$A$1:$I$89,3,0)*VLOOKUP('Données projet'!$B$9,Paramètres!$A$1:$I$89,5,0)</f>
        <v>189.44640000000001</v>
      </c>
      <c r="P102" s="14">
        <f t="shared" si="87"/>
        <v>47.417538973836514</v>
      </c>
      <c r="Q102" s="22">
        <f t="shared" si="107"/>
        <v>412.53802704609865</v>
      </c>
      <c r="R102" s="62">
        <f t="shared" si="55"/>
        <v>705.87136037943196</v>
      </c>
      <c r="S102" s="62">
        <f ca="1">AVERAGE(OFFSET($R$3,0,0,'Données projet'!$E$9+1,1))-AVERAGE(OFFSET($H$3,0,0,'Données projet'!$E$9+1,1))</f>
        <v>236.98575892380046</v>
      </c>
      <c r="T102" s="62">
        <f t="shared" si="88"/>
        <v>145.77678223659774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140.04898296125504</v>
      </c>
      <c r="AO102" s="62">
        <f t="shared" si="90"/>
        <v>129.5395511270716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>
        <f>VLOOKUP(A102,'Données projet'!$A$87:$I$107,2,0)</f>
        <v>397.8692307692308</v>
      </c>
      <c r="BB102" s="13">
        <f>VLOOKUP(A102,'Données projet'!$A$87:$I$107,9,0)</f>
        <v>8.1576923076923151</v>
      </c>
      <c r="BC102" s="13">
        <f t="array" ref="BC102">INDEX(BB:BB,MIN(IF(ISNUMBER(BB102:BB298),ROW(BB102:BB298),"")))</f>
        <v>8.1576923076923151</v>
      </c>
      <c r="BD102" s="13">
        <f>IF('Données projet'!$A$88&gt;35,BD101+BC102-BL101,IF(A102&lt;'Données projet'!$A$88,$BA$205^A102,IF(A102='Données projet'!$A$88,'Données projet'!$B$88,BD101+BC102-BL101)))</f>
        <v>397.86923076923017</v>
      </c>
      <c r="BE102" s="14">
        <f>BD102*VLOOKUP('Données projet'!$B$11,Paramètres!$A$1:$I$89,3,0)*VLOOKUP('Données projet'!$B$11,Paramètres!$A$1:$I$89,5,0)</f>
        <v>186.20279999999971</v>
      </c>
      <c r="BF102" s="14">
        <f t="shared" si="91"/>
        <v>46.699462038644107</v>
      </c>
      <c r="BG102" s="22">
        <f t="shared" si="61"/>
        <v>405.63810638397126</v>
      </c>
      <c r="BH102" s="62">
        <f t="shared" si="62"/>
        <v>698.97143971730452</v>
      </c>
      <c r="BI102" s="62">
        <f ca="1">AVERAGE(OFFSET($BH$3,0,0,'Données projet'!$E$11+1,1))-AVERAGE(OFFSET($H$3,0,0,'Données projet'!$E$11+1,1))</f>
        <v>207.84100251878419</v>
      </c>
      <c r="BJ102" s="62">
        <f t="shared" si="92"/>
        <v>124.34917784241952</v>
      </c>
      <c r="BK102" s="16">
        <f>IF(ISNA(VLOOKUP(A102,'Données projet'!$A$87:$I$107,3,0)),0,VLOOKUP(A102,'Données projet'!$A$87:$I$107,3,0))</f>
        <v>5</v>
      </c>
      <c r="BL102" s="16">
        <f>IF(ISNA(VLOOKUP(A102,'Données projet'!$A$87:$I$107,4,0)),0,VLOOKUP(A102,'Données projet'!$A$87:$I$107,4,0))</f>
        <v>198.32307692307691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1.0399999999999978</v>
      </c>
      <c r="BY102" s="13">
        <f>IF('Données projet'!$A$114&gt;35,BY101+BX102-CG101,IF(A102&lt;'Données projet'!$A$114,$BV$205^A102,IF(A102='Données projet'!$A$114,'Données projet'!$B$114,BY101+BX102-CG101)))</f>
        <v>315.45999999999992</v>
      </c>
      <c r="BZ102" s="14">
        <f>BY102*VLOOKUP('Données projet'!$B$12,Paramètres!$A$1:$I$89,3,0)*VLOOKUP('Données projet'!$B$12,Paramètres!$A$1:$I$89,5,0)</f>
        <v>164.03919999999997</v>
      </c>
      <c r="CA102" s="14">
        <f t="shared" si="93"/>
        <v>41.752242078730234</v>
      </c>
      <c r="CB102" s="22">
        <f t="shared" si="64"/>
        <v>358.42009495378846</v>
      </c>
      <c r="CC102" s="62">
        <f t="shared" si="65"/>
        <v>651.75342828712178</v>
      </c>
      <c r="CD102" s="62">
        <f ca="1">AVERAGE(OFFSET($CC$3,0,0,'Données projet'!$E$12+1,1))-AVERAGE(OFFSET($H$3,0,0,'Données projet'!$E$12+1,1))</f>
        <v>211.05980622218578</v>
      </c>
      <c r="CE102" s="62">
        <f t="shared" si="94"/>
        <v>168.57746894604855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1.4583333333333344</v>
      </c>
      <c r="CT102" s="13">
        <f>IF('Données projet'!$A$140&gt;35,CT101+CS102-DB101,IF(A102&lt;'Données projet'!$A$140,$CQ$205^A102,IF(A102='Données projet'!$A$140,'Données projet'!$B$140,CT101+CS102-DB101)))</f>
        <v>110.36666666666659</v>
      </c>
      <c r="CU102" s="18">
        <f>CT102*VLOOKUP('Données projet'!$B$13,Paramètres!$A$1:$I$89,3,0)*VLOOKUP('Données projet'!$B$13,Paramètres!$A$1:$I$89,5,0)</f>
        <v>127.14239999999991</v>
      </c>
      <c r="CV102" s="14">
        <f t="shared" si="95"/>
        <v>33.335200133776368</v>
      </c>
      <c r="CW102" s="22">
        <f t="shared" si="67"/>
        <v>279.49848689966035</v>
      </c>
      <c r="CX102" s="62">
        <f t="shared" si="68"/>
        <v>572.83182023299366</v>
      </c>
      <c r="CY102" s="62">
        <f ca="1">AVERAGE(OFFSET($CX$3,0,0,'Données projet'!$E$13+1,1))-AVERAGE(OFFSET($H$3,0,0,'Données projet'!$E$13+1,1))</f>
        <v>191.79777926975839</v>
      </c>
      <c r="CZ102" s="62">
        <f t="shared" si="96"/>
        <v>156.66161375678712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4.4729999999999999</v>
      </c>
      <c r="DO102" s="13">
        <f>IF('Données projet'!$A$166&gt;35,DO101+DN102-DW101,IF(A102&lt;'Données projet'!$A$166,$DL$205^A102,IF(A102='Données projet'!$A$166,'Données projet'!$B$166,DO101+DN102-DW101)))</f>
        <v>263.25700000000029</v>
      </c>
      <c r="DP102" s="18">
        <f>DO102*VLOOKUP('Données projet'!$B$14,Paramètres!$A$1:$I$89,3,0)*VLOOKUP('Données projet'!$B$14,Paramètres!$A$1:$I$89,5,0)</f>
        <v>287.47664400000031</v>
      </c>
      <c r="DQ102" s="14">
        <f t="shared" si="97"/>
        <v>68.544607263960174</v>
      </c>
      <c r="DR102" s="22">
        <f t="shared" si="70"/>
        <v>620.07034595139783</v>
      </c>
      <c r="DS102" s="62">
        <f t="shared" si="71"/>
        <v>913.4036792847312</v>
      </c>
      <c r="DT102" s="62">
        <f ca="1">AVERAGE(OFFSET($DS$3,0,0,'Données projet'!$E$14+1,1))-AVERAGE(OFFSET($H$3,0,0,'Données projet'!$E$14+1,1))</f>
        <v>541.0854688453461</v>
      </c>
      <c r="DU102" s="62">
        <f t="shared" si="98"/>
        <v>171.04847168584473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5.1159076974727213E-13</v>
      </c>
      <c r="EK102" s="18">
        <f>EJ102*VLOOKUP('Données projet'!$B$15,Paramètres!$A$1:$I$89,3,0)*VLOOKUP('Données projet'!$B$15,Paramètres!$A$1:$I$89,5,0)</f>
        <v>3.0593128030886877E-13</v>
      </c>
      <c r="EL102" s="14">
        <f t="shared" si="99"/>
        <v>4.0350537939347394E-12</v>
      </c>
      <c r="EM102" s="22">
        <f t="shared" si="73"/>
        <v>7.5605490043076185E-12</v>
      </c>
      <c r="EN102" s="62">
        <f t="shared" si="74"/>
        <v>293.33333333334087</v>
      </c>
      <c r="EO102" s="62">
        <f ca="1">AVERAGE(OFFSET($EN$3,0,0,'Données projet'!$E$15+1,1))-AVERAGE(OFFSET($H$3,0,0,'Données projet'!$E$15+1,1))</f>
        <v>244.01698421598974</v>
      </c>
      <c r="EP102" s="62">
        <f t="shared" si="100"/>
        <v>156.96653202915024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0.5309798585803901</v>
      </c>
      <c r="EX102" s="23">
        <f>EXP(-LN(2)/2)*EX101+(1-EXP(-LN(2)/2))/(LN(2)/2)*ER102*EU102*VLOOKUP('Données projet'!$B$15,Paramètres!$A$1:$I$89,3,0)*0.475*44/12</f>
        <v>4.098738488261943E-10</v>
      </c>
      <c r="EY102" s="24">
        <f t="shared" si="75"/>
        <v>0.5309798589902639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-5.6843418860808015E-14</v>
      </c>
      <c r="FF102" s="18">
        <f>FE102*VLOOKUP('Données projet'!$B$16,Paramètres!$A$1:$I$89,3,0)*VLOOKUP('Données projet'!$B$16,Paramètres!$A$1:$I$89,5,0)</f>
        <v>-4.9658410716801891E-14</v>
      </c>
      <c r="FG102" s="14" t="e">
        <f t="shared" si="101"/>
        <v>#NUM!</v>
      </c>
      <c r="FH102" s="22" t="e">
        <f t="shared" si="76"/>
        <v>#NUM!</v>
      </c>
      <c r="FI102" s="62" t="e">
        <f t="shared" si="77"/>
        <v>#NUM!</v>
      </c>
      <c r="FJ102" s="62">
        <f ca="1">AVERAGE(OFFSET($FI$3,0,0,'Données projet'!$E$16+1,1))-AVERAGE(OFFSET($H$3,0,0,'Données projet'!$E$16+1,1))</f>
        <v>175.08726167127026</v>
      </c>
      <c r="FK102" s="62">
        <f t="shared" si="102"/>
        <v>196.05343924817117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8.5265128291212022E-14</v>
      </c>
      <c r="GA102" s="18">
        <f>FZ102*VLOOKUP('Données projet'!$B$17,Paramètres!$A$1:$I$89,3,0)*VLOOKUP('Données projet'!$B$17,Paramètres!$A$1:$I$89,5,0)</f>
        <v>5.5865712056402117E-14</v>
      </c>
      <c r="GB102" s="14">
        <f t="shared" si="103"/>
        <v>8.9811031843713517E-13</v>
      </c>
      <c r="GC102" s="22">
        <f t="shared" si="79"/>
        <v>1.6615082531095774E-12</v>
      </c>
      <c r="GD102" s="62">
        <f t="shared" si="80"/>
        <v>293.33333333333496</v>
      </c>
      <c r="GE102" s="62">
        <f ca="1">AVERAGE(OFFSET($GD$3,0,0,'Données projet'!$E$17+1,1))-AVERAGE(OFFSET($H$3,0,0,'Données projet'!$E$17+1,1))</f>
        <v>142.93037460866543</v>
      </c>
      <c r="GF102" s="62">
        <f t="shared" si="104"/>
        <v>146.18554498808049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3</v>
      </c>
      <c r="GU102" s="13">
        <f>IF('Données projet'!$A$270&gt;35,GU101+GT102-HC101,IF(A102&lt;'Données projet'!$A$270,$GR$205^A102,IF(A102='Données projet'!$A$270,'Données projet'!$B$270,GU101+GT102-HC101)))</f>
        <v>176</v>
      </c>
      <c r="GV102" s="18">
        <f>GU102*VLOOKUP('Données projet'!$B$18,Paramètres!$A$1:$I$89,3,0)*VLOOKUP('Données projet'!$B$18,Paramètres!$A$1:$I$89,5,0)</f>
        <v>151.00800000000001</v>
      </c>
      <c r="GW102" s="14">
        <f t="shared" si="105"/>
        <v>38.807567870348514</v>
      </c>
      <c r="GX102" s="22">
        <f t="shared" si="82"/>
        <v>330.59544737419031</v>
      </c>
      <c r="GY102" s="62">
        <f t="shared" si="83"/>
        <v>623.92878070752363</v>
      </c>
      <c r="GZ102" s="62">
        <f ca="1">AVERAGE(OFFSET($GY$3,0,0,'Données projet'!$E$18+1,1))-AVERAGE(OFFSET($H$3,0,0,'Données projet'!$E$18+1,1))</f>
        <v>188.08607733149256</v>
      </c>
      <c r="HA102" s="62">
        <f t="shared" si="106"/>
        <v>119.95698016603842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29.899999999999967</v>
      </c>
      <c r="D103" s="12">
        <f t="shared" si="86"/>
        <v>9.2780162082062265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302.42679178264433</v>
      </c>
      <c r="H103" s="70">
        <f t="shared" si="56"/>
        <v>324.90171156262579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179</v>
      </c>
      <c r="L103" s="13">
        <f>VLOOKUP(A103,'Données projet'!$A$35:$I$55,9,0)</f>
        <v>3</v>
      </c>
      <c r="M103" s="13">
        <f t="array" ref="M103">INDEX(L:L,MIN(IF(ISNUMBER(L103:L299),ROW(L103:L299),"")))</f>
        <v>3</v>
      </c>
      <c r="N103" s="14">
        <f>IF('Données projet'!$A$36&gt;35,N102+M103-V102,IF(A103&lt;'Données projet'!$A$36,$K$205^A103,IF(A103='Données projet'!$A$36,'Données projet'!$B$36,N102+M103-V102)))</f>
        <v>179</v>
      </c>
      <c r="O103" s="14">
        <f>N103*VLOOKUP('Données projet'!$B$9,Paramètres!$A$1:$I$89,3,0)*VLOOKUP('Données projet'!$B$9,Paramètres!$A$1:$I$89,5,0)</f>
        <v>192.6756</v>
      </c>
      <c r="P103" s="14">
        <f t="shared" si="87"/>
        <v>48.131007733172986</v>
      </c>
      <c r="Q103" s="22">
        <f t="shared" si="107"/>
        <v>419.40484180194295</v>
      </c>
      <c r="R103" s="62">
        <f t="shared" si="55"/>
        <v>712.73817513527626</v>
      </c>
      <c r="S103" s="62">
        <f ca="1">AVERAGE(OFFSET($R$3,0,0,'Données projet'!$E$9+1,1))-AVERAGE(OFFSET($H$3,0,0,'Données projet'!$E$9+1,1))</f>
        <v>236.98575892380046</v>
      </c>
      <c r="T103" s="62">
        <f t="shared" si="88"/>
        <v>145.77678223659774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18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140.04898296125504</v>
      </c>
      <c r="AO103" s="62">
        <f t="shared" si="90"/>
        <v>129.5395511270716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5.849230769230763</v>
      </c>
      <c r="BD103" s="13">
        <f>IF('Données projet'!$A$88&gt;35,BD102+BC103-BL102,IF(A103&lt;'Données projet'!$A$88,$BA$205^A103,IF(A103='Données projet'!$A$88,'Données projet'!$B$88,BD102+BC103-BL102)))</f>
        <v>205.39538461538402</v>
      </c>
      <c r="BE103" s="14">
        <f>BD103*VLOOKUP('Données projet'!$B$11,Paramètres!$A$1:$I$89,3,0)*VLOOKUP('Données projet'!$B$11,Paramètres!$A$1:$I$89,5,0)</f>
        <v>96.125039999999714</v>
      </c>
      <c r="BF103" s="14">
        <f t="shared" si="91"/>
        <v>26.03672918496029</v>
      </c>
      <c r="BG103" s="22">
        <f t="shared" si="61"/>
        <v>212.76508133047199</v>
      </c>
      <c r="BH103" s="62">
        <f t="shared" si="62"/>
        <v>506.09841466380533</v>
      </c>
      <c r="BI103" s="62">
        <f ca="1">AVERAGE(OFFSET($BH$3,0,0,'Données projet'!$E$11+1,1))-AVERAGE(OFFSET($H$3,0,0,'Données projet'!$E$11+1,1))</f>
        <v>207.84100251878419</v>
      </c>
      <c r="BJ103" s="62">
        <f t="shared" si="92"/>
        <v>124.34917784241952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316.5</v>
      </c>
      <c r="BW103" s="13">
        <f>VLOOKUP(A103,'Données projet'!$A$113:$I$133,9,0)</f>
        <v>1.0399999999999978</v>
      </c>
      <c r="BX103" s="13">
        <f t="array" ref="BX103">INDEX(BW:BW,MIN(IF(ISNUMBER(BW103:BW299),ROW(BW103:BW299),"")))</f>
        <v>1.0399999999999978</v>
      </c>
      <c r="BY103" s="13">
        <f>IF('Données projet'!$A$114&gt;35,BY102+BX103-CG102,IF(A103&lt;'Données projet'!$A$114,$BV$205^A103,IF(A103='Données projet'!$A$114,'Données projet'!$B$114,BY102+BX103-CG102)))</f>
        <v>316.49999999999994</v>
      </c>
      <c r="BZ103" s="14">
        <f>BY103*VLOOKUP('Données projet'!$B$12,Paramètres!$A$1:$I$89,3,0)*VLOOKUP('Données projet'!$B$12,Paramètres!$A$1:$I$89,5,0)</f>
        <v>164.57999999999998</v>
      </c>
      <c r="CA103" s="14">
        <f t="shared" si="93"/>
        <v>41.873844245768836</v>
      </c>
      <c r="CB103" s="22">
        <f t="shared" si="64"/>
        <v>359.57377872804733</v>
      </c>
      <c r="CC103" s="62">
        <f t="shared" si="65"/>
        <v>652.90711206138064</v>
      </c>
      <c r="CD103" s="62">
        <f ca="1">AVERAGE(OFFSET($CC$3,0,0,'Données projet'!$E$12+1,1))-AVERAGE(OFFSET($H$3,0,0,'Données projet'!$E$12+1,1))</f>
        <v>211.05980622218578</v>
      </c>
      <c r="CE103" s="62">
        <f t="shared" si="94"/>
        <v>168.57746894604855</v>
      </c>
      <c r="CF103" s="16">
        <f>IF(ISNA(VLOOKUP(A103,'Données projet'!$A$113:$I$133,3,0)),0,VLOOKUP(A103,'Données projet'!$A$113:$I$133,3,0))</f>
        <v>1</v>
      </c>
      <c r="CG103" s="16">
        <f>IF(ISNA(VLOOKUP(A103,'Données projet'!$A$113:$I$133,4,0)),0,VLOOKUP(A103,'Données projet'!$A$113:$I$133,4,0))</f>
        <v>316.5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111.825</v>
      </c>
      <c r="CR103" s="13">
        <f>VLOOKUP(A103,'Données projet'!$A$139:$I$159,9,0)</f>
        <v>1.4583333333333344</v>
      </c>
      <c r="CS103" s="13">
        <f t="array" ref="CS103">INDEX(CR:CR,MIN(IF(ISNUMBER(CR103:CR299),ROW(CR103:CR299),"")))</f>
        <v>1.4583333333333344</v>
      </c>
      <c r="CT103" s="13">
        <f>IF('Données projet'!$A$140&gt;35,CT102+CS103-DB102,IF(A103&lt;'Données projet'!$A$140,$CQ$205^A103,IF(A103='Données projet'!$A$140,'Données projet'!$B$140,CT102+CS103-DB102)))</f>
        <v>111.82499999999992</v>
      </c>
      <c r="CU103" s="18">
        <f>CT103*VLOOKUP('Données projet'!$B$13,Paramètres!$A$1:$I$89,3,0)*VLOOKUP('Données projet'!$B$13,Paramètres!$A$1:$I$89,5,0)</f>
        <v>128.8223999999999</v>
      </c>
      <c r="CV103" s="14">
        <f t="shared" si="95"/>
        <v>33.72410660519936</v>
      </c>
      <c r="CW103" s="22">
        <f t="shared" si="67"/>
        <v>283.10183233738871</v>
      </c>
      <c r="CX103" s="62">
        <f t="shared" si="68"/>
        <v>576.43516567072197</v>
      </c>
      <c r="CY103" s="62">
        <f ca="1">AVERAGE(OFFSET($CX$3,0,0,'Données projet'!$E$13+1,1))-AVERAGE(OFFSET($H$3,0,0,'Données projet'!$E$13+1,1))</f>
        <v>191.79777926975839</v>
      </c>
      <c r="CZ103" s="62">
        <f t="shared" si="96"/>
        <v>156.66161375678712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9.125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267.73</v>
      </c>
      <c r="DM103" s="13">
        <f>VLOOKUP(A103,'Données projet'!$A$165:$I$185,9,0)</f>
        <v>4.4729999999999999</v>
      </c>
      <c r="DN103" s="13">
        <f t="array" ref="DN103">INDEX(DM:DM,MIN(IF(ISNUMBER(DM103:DM299),ROW(DM103:DM299),"")))</f>
        <v>4.4729999999999999</v>
      </c>
      <c r="DO103" s="13">
        <f>IF('Données projet'!$A$166&gt;35,DO102+DN103-DW102,IF(A103&lt;'Données projet'!$A$166,$DL$205^A103,IF(A103='Données projet'!$A$166,'Données projet'!$B$166,DO102+DN103-DW102)))</f>
        <v>267.7300000000003</v>
      </c>
      <c r="DP103" s="18">
        <f>DO103*VLOOKUP('Données projet'!$B$14,Paramètres!$A$1:$I$89,3,0)*VLOOKUP('Données projet'!$B$14,Paramètres!$A$1:$I$89,5,0)</f>
        <v>292.36116000000032</v>
      </c>
      <c r="DQ103" s="14">
        <f t="shared" si="97"/>
        <v>69.572673243566527</v>
      </c>
      <c r="DR103" s="22">
        <f t="shared" si="70"/>
        <v>630.36809289921223</v>
      </c>
      <c r="DS103" s="62">
        <f t="shared" si="71"/>
        <v>923.7014262325456</v>
      </c>
      <c r="DT103" s="62">
        <f ca="1">AVERAGE(OFFSET($DS$3,0,0,'Données projet'!$E$14+1,1))-AVERAGE(OFFSET($H$3,0,0,'Données projet'!$E$14+1,1))</f>
        <v>541.0854688453461</v>
      </c>
      <c r="DU103" s="62">
        <f t="shared" si="98"/>
        <v>171.04847168584473</v>
      </c>
      <c r="DV103" s="16">
        <f>IF(ISNA(VLOOKUP(A103,'Données projet'!$A$165:$I$185,3,0)),0,VLOOKUP(A103,'Données projet'!$A$165:$I$185,3,0))</f>
        <v>5</v>
      </c>
      <c r="DW103" s="16">
        <f>IF(ISNA(VLOOKUP(A103,'Données projet'!$A$165:$I$185,4,0)),0,VLOOKUP(A103,'Données projet'!$A$165:$I$185,4,0))</f>
        <v>38.25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5.1159076974727213E-13</v>
      </c>
      <c r="EK103" s="18">
        <f>EJ103*VLOOKUP('Données projet'!$B$15,Paramètres!$A$1:$I$89,3,0)*VLOOKUP('Données projet'!$B$15,Paramètres!$A$1:$I$89,5,0)</f>
        <v>3.0593128030886877E-13</v>
      </c>
      <c r="EL103" s="14">
        <f t="shared" si="99"/>
        <v>4.0350537939347394E-12</v>
      </c>
      <c r="EM103" s="22">
        <f t="shared" si="73"/>
        <v>7.5605490043076185E-12</v>
      </c>
      <c r="EN103" s="62">
        <f t="shared" si="74"/>
        <v>293.33333333334087</v>
      </c>
      <c r="EO103" s="62">
        <f ca="1">AVERAGE(OFFSET($EN$3,0,0,'Données projet'!$E$15+1,1))-AVERAGE(OFFSET($H$3,0,0,'Données projet'!$E$15+1,1))</f>
        <v>244.01698421598974</v>
      </c>
      <c r="EP103" s="62">
        <f t="shared" si="100"/>
        <v>156.96653202915024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0.5164601864244921</v>
      </c>
      <c r="EX103" s="23">
        <f>EXP(-LN(2)/2)*EX102+(1-EXP(-LN(2)/2))/(LN(2)/2)*ER103*EU103*VLOOKUP('Données projet'!$B$15,Paramètres!$A$1:$I$89,3,0)*0.475*44/12</f>
        <v>2.8982457793603183E-10</v>
      </c>
      <c r="EY103" s="24">
        <f t="shared" si="75"/>
        <v>0.5164601867143167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-5.6843418860808015E-14</v>
      </c>
      <c r="FF103" s="18">
        <f>FE103*VLOOKUP('Données projet'!$B$16,Paramètres!$A$1:$I$89,3,0)*VLOOKUP('Données projet'!$B$16,Paramètres!$A$1:$I$89,5,0)</f>
        <v>-4.9658410716801891E-14</v>
      </c>
      <c r="FG103" s="14" t="e">
        <f t="shared" si="101"/>
        <v>#NUM!</v>
      </c>
      <c r="FH103" s="22" t="e">
        <f t="shared" si="76"/>
        <v>#NUM!</v>
      </c>
      <c r="FI103" s="62" t="e">
        <f t="shared" si="77"/>
        <v>#NUM!</v>
      </c>
      <c r="FJ103" s="62">
        <f ca="1">AVERAGE(OFFSET($FI$3,0,0,'Données projet'!$E$16+1,1))-AVERAGE(OFFSET($H$3,0,0,'Données projet'!$E$16+1,1))</f>
        <v>175.08726167127026</v>
      </c>
      <c r="FK103" s="62">
        <f t="shared" si="102"/>
        <v>196.05343924817117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8.5265128291212022E-14</v>
      </c>
      <c r="GA103" s="18">
        <f>FZ103*VLOOKUP('Données projet'!$B$17,Paramètres!$A$1:$I$89,3,0)*VLOOKUP('Données projet'!$B$17,Paramètres!$A$1:$I$89,5,0)</f>
        <v>5.5865712056402117E-14</v>
      </c>
      <c r="GB103" s="14">
        <f t="shared" si="103"/>
        <v>8.9811031843713517E-13</v>
      </c>
      <c r="GC103" s="22">
        <f t="shared" si="79"/>
        <v>1.6615082531095774E-12</v>
      </c>
      <c r="GD103" s="62">
        <f t="shared" si="80"/>
        <v>293.33333333333496</v>
      </c>
      <c r="GE103" s="62">
        <f ca="1">AVERAGE(OFFSET($GD$3,0,0,'Données projet'!$E$17+1,1))-AVERAGE(OFFSET($H$3,0,0,'Données projet'!$E$17+1,1))</f>
        <v>142.93037460866543</v>
      </c>
      <c r="GF103" s="62">
        <f t="shared" si="104"/>
        <v>146.18554498808049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179</v>
      </c>
      <c r="GS103" s="13">
        <f>VLOOKUP(A103,'Données projet'!$A$269:$I$289,9,0)</f>
        <v>3</v>
      </c>
      <c r="GT103" s="13">
        <f t="array" ref="GT103">INDEX(GS:GS,MIN(IF(ISNUMBER(GS103:GS299),ROW(GS103:GS299),"")))</f>
        <v>3</v>
      </c>
      <c r="GU103" s="13">
        <f>IF('Données projet'!$A$270&gt;35,GU102+GT103-HC102,IF(A103&lt;'Données projet'!$A$270,$GR$205^A103,IF(A103='Données projet'!$A$270,'Données projet'!$B$270,GU102+GT103-HC102)))</f>
        <v>179</v>
      </c>
      <c r="GV103" s="18">
        <f>GU103*VLOOKUP('Données projet'!$B$18,Paramètres!$A$1:$I$89,3,0)*VLOOKUP('Données projet'!$B$18,Paramètres!$A$1:$I$89,5,0)</f>
        <v>153.58200000000002</v>
      </c>
      <c r="GW103" s="14">
        <f t="shared" si="105"/>
        <v>39.391486561628568</v>
      </c>
      <c r="GX103" s="22">
        <f t="shared" si="82"/>
        <v>336.09548909483647</v>
      </c>
      <c r="GY103" s="62">
        <f t="shared" si="83"/>
        <v>629.42882242816972</v>
      </c>
      <c r="GZ103" s="62">
        <f ca="1">AVERAGE(OFFSET($GY$3,0,0,'Données projet'!$E$18+1,1))-AVERAGE(OFFSET($H$3,0,0,'Données projet'!$E$18+1,1))</f>
        <v>188.08607733149256</v>
      </c>
      <c r="HA103" s="62">
        <f t="shared" si="106"/>
        <v>119.95698016603842</v>
      </c>
      <c r="HB103" s="16">
        <f>IF(ISNA(VLOOKUP(A103,'Données projet'!$A$269:$I$289,3,0)),0,VLOOKUP(A103,'Données projet'!$A$269:$I$289,3,0))</f>
        <v>8</v>
      </c>
      <c r="HC103" s="16">
        <f>IF(ISNA(VLOOKUP(A103,'Données projet'!$A$269:$I$289,4,0)),0,VLOOKUP(A103,'Données projet'!$A$269:$I$289,4,0))</f>
        <v>18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30.198999999999966</v>
      </c>
      <c r="D104" s="12">
        <f t="shared" si="86"/>
        <v>9.3599492233622907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305.36732733823499</v>
      </c>
      <c r="H104" s="70">
        <f t="shared" si="56"/>
        <v>325.56516989735593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2.8</v>
      </c>
      <c r="N104" s="14">
        <f>IF('Données projet'!$A$36&gt;35,N103+M104-V103,IF(A104&lt;'Données projet'!$A$36,$K$205^A104,IF(A104='Données projet'!$A$36,'Données projet'!$B$36,N103+M104-V103)))</f>
        <v>163.80000000000001</v>
      </c>
      <c r="O104" s="14">
        <f>N104*VLOOKUP('Données projet'!$B$9,Paramètres!$A$1:$I$89,3,0)*VLOOKUP('Données projet'!$B$9,Paramètres!$A$1:$I$89,5,0)</f>
        <v>176.31432000000001</v>
      </c>
      <c r="P104" s="14">
        <f t="shared" si="87"/>
        <v>44.501205551735517</v>
      </c>
      <c r="Q104" s="22">
        <f t="shared" si="107"/>
        <v>384.58704033593932</v>
      </c>
      <c r="R104" s="62">
        <f t="shared" si="55"/>
        <v>677.92037366927264</v>
      </c>
      <c r="S104" s="62">
        <f ca="1">AVERAGE(OFFSET($R$3,0,0,'Données projet'!$E$9+1,1))-AVERAGE(OFFSET($H$3,0,0,'Données projet'!$E$9+1,1))</f>
        <v>236.98575892380046</v>
      </c>
      <c r="T104" s="62">
        <f t="shared" si="88"/>
        <v>145.77678223659774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140.04898296125504</v>
      </c>
      <c r="AO104" s="62">
        <f t="shared" si="90"/>
        <v>129.5395511270716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5.849230769230763</v>
      </c>
      <c r="BD104" s="13">
        <f>IF('Données projet'!$A$88&gt;35,BD103+BC104-BL103,IF(A104&lt;'Données projet'!$A$88,$BA$205^A104,IF(A104='Données projet'!$A$88,'Données projet'!$B$88,BD103+BC104-BL103)))</f>
        <v>211.24461538461478</v>
      </c>
      <c r="BE104" s="14">
        <f>BD104*VLOOKUP('Données projet'!$B$11,Paramètres!$A$1:$I$89,3,0)*VLOOKUP('Données projet'!$B$11,Paramètres!$A$1:$I$89,5,0)</f>
        <v>98.862479999999707</v>
      </c>
      <c r="BF104" s="14">
        <f t="shared" si="91"/>
        <v>26.690818919395912</v>
      </c>
      <c r="BG104" s="22">
        <f t="shared" si="61"/>
        <v>218.67199561794735</v>
      </c>
      <c r="BH104" s="62">
        <f t="shared" si="62"/>
        <v>512.00532895128072</v>
      </c>
      <c r="BI104" s="62">
        <f ca="1">AVERAGE(OFFSET($BH$3,0,0,'Données projet'!$E$11+1,1))-AVERAGE(OFFSET($H$3,0,0,'Données projet'!$E$11+1,1))</f>
        <v>207.84100251878419</v>
      </c>
      <c r="BJ104" s="62">
        <f t="shared" si="92"/>
        <v>124.34917784241952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-5.6843418860808015E-14</v>
      </c>
      <c r="BZ104" s="14">
        <f>BY104*VLOOKUP('Données projet'!$B$12,Paramètres!$A$1:$I$89,3,0)*VLOOKUP('Données projet'!$B$12,Paramètres!$A$1:$I$89,5,0)</f>
        <v>-2.9558577807620169E-14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211.05980622218578</v>
      </c>
      <c r="CE104" s="62">
        <f t="shared" si="94"/>
        <v>168.57746894604855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1.3833333333333342</v>
      </c>
      <c r="CT104" s="13">
        <f>IF('Données projet'!$A$140&gt;35,CT103+CS104-DB103,IF(A104&lt;'Données projet'!$A$140,$CQ$205^A104,IF(A104='Données projet'!$A$140,'Données projet'!$B$140,CT103+CS104-DB103)))</f>
        <v>104.08333333333326</v>
      </c>
      <c r="CU104" s="18">
        <f>CT104*VLOOKUP('Données projet'!$B$13,Paramètres!$A$1:$I$89,3,0)*VLOOKUP('Données projet'!$B$13,Paramètres!$A$1:$I$89,5,0)</f>
        <v>119.90399999999991</v>
      </c>
      <c r="CV104" s="14">
        <f t="shared" si="95"/>
        <v>31.65260782781338</v>
      </c>
      <c r="CW104" s="22">
        <f t="shared" si="67"/>
        <v>263.96109196677475</v>
      </c>
      <c r="CX104" s="62">
        <f t="shared" si="68"/>
        <v>557.29442530010806</v>
      </c>
      <c r="CY104" s="62">
        <f ca="1">AVERAGE(OFFSET($CX$3,0,0,'Données projet'!$E$13+1,1))-AVERAGE(OFFSET($H$3,0,0,'Données projet'!$E$13+1,1))</f>
        <v>191.79777926975839</v>
      </c>
      <c r="CZ104" s="62">
        <f t="shared" si="96"/>
        <v>156.66161375678712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4.4859999999999998</v>
      </c>
      <c r="DO104" s="13">
        <f>IF('Données projet'!$A$166&gt;35,DO103+DN104-DW103,IF(A104&lt;'Données projet'!$A$166,$DL$205^A104,IF(A104='Données projet'!$A$166,'Données projet'!$B$166,DO103+DN104-DW103)))</f>
        <v>233.96600000000029</v>
      </c>
      <c r="DP104" s="18">
        <f>DO104*VLOOKUP('Données projet'!$B$14,Paramètres!$A$1:$I$89,3,0)*VLOOKUP('Données projet'!$B$14,Paramètres!$A$1:$I$89,5,0)</f>
        <v>255.49087200000031</v>
      </c>
      <c r="DQ104" s="14">
        <f t="shared" si="97"/>
        <v>61.760237613595521</v>
      </c>
      <c r="DR104" s="22">
        <f t="shared" si="70"/>
        <v>552.5456825770126</v>
      </c>
      <c r="DS104" s="62">
        <f t="shared" si="71"/>
        <v>845.87901591034597</v>
      </c>
      <c r="DT104" s="62">
        <f ca="1">AVERAGE(OFFSET($DS$3,0,0,'Données projet'!$E$14+1,1))-AVERAGE(OFFSET($H$3,0,0,'Données projet'!$E$14+1,1))</f>
        <v>541.0854688453461</v>
      </c>
      <c r="DU104" s="62">
        <f t="shared" si="98"/>
        <v>171.04847168584473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5.1159076974727213E-13</v>
      </c>
      <c r="EK104" s="18">
        <f>EJ104*VLOOKUP('Données projet'!$B$15,Paramètres!$A$1:$I$89,3,0)*VLOOKUP('Données projet'!$B$15,Paramètres!$A$1:$I$89,5,0)</f>
        <v>3.0593128030886877E-13</v>
      </c>
      <c r="EL104" s="14">
        <f t="shared" si="99"/>
        <v>4.0350537939347394E-12</v>
      </c>
      <c r="EM104" s="22">
        <f t="shared" si="73"/>
        <v>7.5605490043076185E-12</v>
      </c>
      <c r="EN104" s="62">
        <f t="shared" si="74"/>
        <v>293.33333333334087</v>
      </c>
      <c r="EO104" s="62">
        <f ca="1">AVERAGE(OFFSET($EN$3,0,0,'Données projet'!$E$15+1,1))-AVERAGE(OFFSET($H$3,0,0,'Données projet'!$E$15+1,1))</f>
        <v>244.01698421598974</v>
      </c>
      <c r="EP104" s="62">
        <f t="shared" si="100"/>
        <v>156.96653202915024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0.50233755546725356</v>
      </c>
      <c r="EX104" s="23">
        <f>EXP(-LN(2)/2)*EX103+(1-EXP(-LN(2)/2))/(LN(2)/2)*ER104*EU104*VLOOKUP('Données projet'!$B$15,Paramètres!$A$1:$I$89,3,0)*0.475*44/12</f>
        <v>2.0493692441309715E-10</v>
      </c>
      <c r="EY104" s="24">
        <f t="shared" si="75"/>
        <v>0.50233755567219052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-5.6843418860808015E-14</v>
      </c>
      <c r="FF104" s="18">
        <f>FE104*VLOOKUP('Données projet'!$B$16,Paramètres!$A$1:$I$89,3,0)*VLOOKUP('Données projet'!$B$16,Paramètres!$A$1:$I$89,5,0)</f>
        <v>-4.9658410716801891E-14</v>
      </c>
      <c r="FG104" s="14" t="e">
        <f t="shared" si="101"/>
        <v>#NUM!</v>
      </c>
      <c r="FH104" s="22" t="e">
        <f t="shared" si="76"/>
        <v>#NUM!</v>
      </c>
      <c r="FI104" s="62" t="e">
        <f t="shared" si="77"/>
        <v>#NUM!</v>
      </c>
      <c r="FJ104" s="62">
        <f ca="1">AVERAGE(OFFSET($FI$3,0,0,'Données projet'!$E$16+1,1))-AVERAGE(OFFSET($H$3,0,0,'Données projet'!$E$16+1,1))</f>
        <v>175.08726167127026</v>
      </c>
      <c r="FK104" s="62">
        <f t="shared" si="102"/>
        <v>196.05343924817117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8.5265128291212022E-14</v>
      </c>
      <c r="GA104" s="18">
        <f>FZ104*VLOOKUP('Données projet'!$B$17,Paramètres!$A$1:$I$89,3,0)*VLOOKUP('Données projet'!$B$17,Paramètres!$A$1:$I$89,5,0)</f>
        <v>5.5865712056402117E-14</v>
      </c>
      <c r="GB104" s="14">
        <f t="shared" si="103"/>
        <v>8.9811031843713517E-13</v>
      </c>
      <c r="GC104" s="22">
        <f t="shared" si="79"/>
        <v>1.6615082531095774E-12</v>
      </c>
      <c r="GD104" s="62">
        <f t="shared" si="80"/>
        <v>293.33333333333496</v>
      </c>
      <c r="GE104" s="62">
        <f ca="1">AVERAGE(OFFSET($GD$3,0,0,'Données projet'!$E$17+1,1))-AVERAGE(OFFSET($H$3,0,0,'Données projet'!$E$17+1,1))</f>
        <v>142.93037460866543</v>
      </c>
      <c r="GF104" s="62">
        <f t="shared" si="104"/>
        <v>146.18554498808049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2.8</v>
      </c>
      <c r="GU104" s="13">
        <f>IF('Données projet'!$A$270&gt;35,GU103+GT104-HC103,IF(A104&lt;'Données projet'!$A$270,$GR$205^A104,IF(A104='Données projet'!$A$270,'Données projet'!$B$270,GU103+GT104-HC103)))</f>
        <v>163.80000000000001</v>
      </c>
      <c r="GV104" s="18">
        <f>GU104*VLOOKUP('Données projet'!$B$18,Paramètres!$A$1:$I$89,3,0)*VLOOKUP('Données projet'!$B$18,Paramètres!$A$1:$I$89,5,0)</f>
        <v>140.54040000000003</v>
      </c>
      <c r="GW104" s="14">
        <f t="shared" si="105"/>
        <v>36.420775774849936</v>
      </c>
      <c r="GX104" s="22">
        <f t="shared" si="82"/>
        <v>308.207381141197</v>
      </c>
      <c r="GY104" s="62">
        <f t="shared" si="83"/>
        <v>601.54071447453032</v>
      </c>
      <c r="GZ104" s="62">
        <f ca="1">AVERAGE(OFFSET($GY$3,0,0,'Données projet'!$E$18+1,1))-AVERAGE(OFFSET($H$3,0,0,'Données projet'!$E$18+1,1))</f>
        <v>188.08607733149256</v>
      </c>
      <c r="HA104" s="62">
        <f t="shared" si="106"/>
        <v>119.95698016603842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30.497999999999966</v>
      </c>
      <c r="D105" s="12">
        <f t="shared" si="86"/>
        <v>9.4417878655064946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308.30713440040074</v>
      </c>
      <c r="H105" s="70">
        <f t="shared" si="56"/>
        <v>326.22846386575708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2.8</v>
      </c>
      <c r="N105" s="14">
        <f>IF('Données projet'!$A$36&gt;35,N104+M105-V104,IF(A105&lt;'Données projet'!$A$36,$K$205^A105,IF(A105='Données projet'!$A$36,'Données projet'!$B$36,N104+M105-V104)))</f>
        <v>166.60000000000002</v>
      </c>
      <c r="O105" s="14">
        <f>N105*VLOOKUP('Données projet'!$B$9,Paramètres!$A$1:$I$89,3,0)*VLOOKUP('Données projet'!$B$9,Paramètres!$A$1:$I$89,5,0)</f>
        <v>179.32824000000002</v>
      </c>
      <c r="P105" s="14">
        <f t="shared" si="87"/>
        <v>45.172699436019357</v>
      </c>
      <c r="Q105" s="22">
        <f t="shared" si="107"/>
        <v>391.00580285106707</v>
      </c>
      <c r="R105" s="62">
        <f t="shared" si="55"/>
        <v>684.33913618440033</v>
      </c>
      <c r="S105" s="62">
        <f ca="1">AVERAGE(OFFSET($R$3,0,0,'Données projet'!$E$9+1,1))-AVERAGE(OFFSET($H$3,0,0,'Données projet'!$E$9+1,1))</f>
        <v>236.98575892380046</v>
      </c>
      <c r="T105" s="62">
        <f t="shared" si="88"/>
        <v>145.77678223659774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140.04898296125504</v>
      </c>
      <c r="AO105" s="62">
        <f t="shared" si="90"/>
        <v>129.5395511270716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5.849230769230763</v>
      </c>
      <c r="BD105" s="13">
        <f>IF('Données projet'!$A$88&gt;35,BD104+BC105-BL104,IF(A105&lt;'Données projet'!$A$88,$BA$205^A105,IF(A105='Données projet'!$A$88,'Données projet'!$B$88,BD104+BC105-BL104)))</f>
        <v>217.09384615384553</v>
      </c>
      <c r="BE105" s="14">
        <f>BD105*VLOOKUP('Données projet'!$B$11,Paramètres!$A$1:$I$89,3,0)*VLOOKUP('Données projet'!$B$11,Paramètres!$A$1:$I$89,5,0)</f>
        <v>101.59991999999971</v>
      </c>
      <c r="BF105" s="14">
        <f t="shared" si="91"/>
        <v>27.342803604001922</v>
      </c>
      <c r="BG105" s="22">
        <f t="shared" si="61"/>
        <v>224.57524361030281</v>
      </c>
      <c r="BH105" s="62">
        <f t="shared" si="62"/>
        <v>517.90857694363615</v>
      </c>
      <c r="BI105" s="62">
        <f ca="1">AVERAGE(OFFSET($BH$3,0,0,'Données projet'!$E$11+1,1))-AVERAGE(OFFSET($H$3,0,0,'Données projet'!$E$11+1,1))</f>
        <v>207.84100251878419</v>
      </c>
      <c r="BJ105" s="62">
        <f t="shared" si="92"/>
        <v>124.34917784241952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-5.6843418860808015E-14</v>
      </c>
      <c r="BZ105" s="14">
        <f>BY105*VLOOKUP('Données projet'!$B$12,Paramètres!$A$1:$I$89,3,0)*VLOOKUP('Données projet'!$B$12,Paramètres!$A$1:$I$89,5,0)</f>
        <v>-2.9558577807620169E-14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211.05980622218578</v>
      </c>
      <c r="CE105" s="62">
        <f t="shared" si="94"/>
        <v>168.57746894604855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1.3833333333333342</v>
      </c>
      <c r="CT105" s="13">
        <f>IF('Données projet'!$A$140&gt;35,CT104+CS105-DB104,IF(A105&lt;'Données projet'!$A$140,$CQ$205^A105,IF(A105='Données projet'!$A$140,'Données projet'!$B$140,CT104+CS105-DB104)))</f>
        <v>105.4666666666666</v>
      </c>
      <c r="CU105" s="18">
        <f>CT105*VLOOKUP('Données projet'!$B$13,Paramètres!$A$1:$I$89,3,0)*VLOOKUP('Données projet'!$B$13,Paramètres!$A$1:$I$89,5,0)</f>
        <v>121.49759999999992</v>
      </c>
      <c r="CV105" s="14">
        <f t="shared" si="95"/>
        <v>32.024037368927388</v>
      </c>
      <c r="CW105" s="22">
        <f t="shared" si="67"/>
        <v>267.38351841754837</v>
      </c>
      <c r="CX105" s="62">
        <f t="shared" si="68"/>
        <v>560.71685175088169</v>
      </c>
      <c r="CY105" s="62">
        <f ca="1">AVERAGE(OFFSET($CX$3,0,0,'Données projet'!$E$13+1,1))-AVERAGE(OFFSET($H$3,0,0,'Données projet'!$E$13+1,1))</f>
        <v>191.79777926975839</v>
      </c>
      <c r="CZ105" s="62">
        <f t="shared" si="96"/>
        <v>156.66161375678712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4.4859999999999998</v>
      </c>
      <c r="DO105" s="13">
        <f>IF('Données projet'!$A$166&gt;35,DO104+DN105-DW104,IF(A105&lt;'Données projet'!$A$166,$DL$205^A105,IF(A105='Données projet'!$A$166,'Données projet'!$B$166,DO104+DN105-DW104)))</f>
        <v>238.45200000000028</v>
      </c>
      <c r="DP105" s="18">
        <f>DO105*VLOOKUP('Données projet'!$B$14,Paramètres!$A$1:$I$89,3,0)*VLOOKUP('Données projet'!$B$14,Paramètres!$A$1:$I$89,5,0)</f>
        <v>260.3895840000003</v>
      </c>
      <c r="DQ105" s="14">
        <f t="shared" si="97"/>
        <v>62.805414283581506</v>
      </c>
      <c r="DR105" s="22">
        <f t="shared" si="70"/>
        <v>562.89795534390498</v>
      </c>
      <c r="DS105" s="62">
        <f t="shared" si="71"/>
        <v>856.23128867723835</v>
      </c>
      <c r="DT105" s="62">
        <f ca="1">AVERAGE(OFFSET($DS$3,0,0,'Données projet'!$E$14+1,1))-AVERAGE(OFFSET($H$3,0,0,'Données projet'!$E$14+1,1))</f>
        <v>541.0854688453461</v>
      </c>
      <c r="DU105" s="62">
        <f t="shared" si="98"/>
        <v>171.04847168584473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5.1159076974727213E-13</v>
      </c>
      <c r="EK105" s="18">
        <f>EJ105*VLOOKUP('Données projet'!$B$15,Paramètres!$A$1:$I$89,3,0)*VLOOKUP('Données projet'!$B$15,Paramètres!$A$1:$I$89,5,0)</f>
        <v>3.0593128030886877E-13</v>
      </c>
      <c r="EL105" s="14">
        <f t="shared" si="99"/>
        <v>4.0350537939347394E-12</v>
      </c>
      <c r="EM105" s="22">
        <f t="shared" si="73"/>
        <v>7.5605490043076185E-12</v>
      </c>
      <c r="EN105" s="62">
        <f t="shared" si="74"/>
        <v>293.33333333334087</v>
      </c>
      <c r="EO105" s="62">
        <f ca="1">AVERAGE(OFFSET($EN$3,0,0,'Données projet'!$E$15+1,1))-AVERAGE(OFFSET($H$3,0,0,'Données projet'!$E$15+1,1))</f>
        <v>244.01698421598974</v>
      </c>
      <c r="EP105" s="62">
        <f t="shared" si="100"/>
        <v>156.96653202915024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0.48860110859621758</v>
      </c>
      <c r="EX105" s="23">
        <f>EXP(-LN(2)/2)*EX104+(1-EXP(-LN(2)/2))/(LN(2)/2)*ER105*EU105*VLOOKUP('Données projet'!$B$15,Paramètres!$A$1:$I$89,3,0)*0.475*44/12</f>
        <v>1.4491228896801591E-10</v>
      </c>
      <c r="EY105" s="24">
        <f t="shared" si="75"/>
        <v>0.48860110874112989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-5.6843418860808015E-14</v>
      </c>
      <c r="FF105" s="18">
        <f>FE105*VLOOKUP('Données projet'!$B$16,Paramètres!$A$1:$I$89,3,0)*VLOOKUP('Données projet'!$B$16,Paramètres!$A$1:$I$89,5,0)</f>
        <v>-4.9658410716801891E-14</v>
      </c>
      <c r="FG105" s="14" t="e">
        <f t="shared" si="101"/>
        <v>#NUM!</v>
      </c>
      <c r="FH105" s="22" t="e">
        <f t="shared" si="76"/>
        <v>#NUM!</v>
      </c>
      <c r="FI105" s="62" t="e">
        <f t="shared" si="77"/>
        <v>#NUM!</v>
      </c>
      <c r="FJ105" s="62">
        <f ca="1">AVERAGE(OFFSET($FI$3,0,0,'Données projet'!$E$16+1,1))-AVERAGE(OFFSET($H$3,0,0,'Données projet'!$E$16+1,1))</f>
        <v>175.08726167127026</v>
      </c>
      <c r="FK105" s="62">
        <f t="shared" si="102"/>
        <v>196.05343924817117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8.5265128291212022E-14</v>
      </c>
      <c r="GA105" s="18">
        <f>FZ105*VLOOKUP('Données projet'!$B$17,Paramètres!$A$1:$I$89,3,0)*VLOOKUP('Données projet'!$B$17,Paramètres!$A$1:$I$89,5,0)</f>
        <v>5.5865712056402117E-14</v>
      </c>
      <c r="GB105" s="14">
        <f t="shared" si="103"/>
        <v>8.9811031843713517E-13</v>
      </c>
      <c r="GC105" s="22">
        <f t="shared" si="79"/>
        <v>1.6615082531095774E-12</v>
      </c>
      <c r="GD105" s="62">
        <f t="shared" si="80"/>
        <v>293.33333333333496</v>
      </c>
      <c r="GE105" s="62">
        <f ca="1">AVERAGE(OFFSET($GD$3,0,0,'Données projet'!$E$17+1,1))-AVERAGE(OFFSET($H$3,0,0,'Données projet'!$E$17+1,1))</f>
        <v>142.93037460866543</v>
      </c>
      <c r="GF105" s="62">
        <f t="shared" si="104"/>
        <v>146.18554498808049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2.8</v>
      </c>
      <c r="GU105" s="13">
        <f>IF('Données projet'!$A$270&gt;35,GU104+GT105-HC104,IF(A105&lt;'Données projet'!$A$270,$GR$205^A105,IF(A105='Données projet'!$A$270,'Données projet'!$B$270,GU104+GT105-HC104)))</f>
        <v>166.60000000000002</v>
      </c>
      <c r="GV105" s="18">
        <f>GU105*VLOOKUP('Données projet'!$B$18,Paramètres!$A$1:$I$89,3,0)*VLOOKUP('Données projet'!$B$18,Paramètres!$A$1:$I$89,5,0)</f>
        <v>142.94280000000003</v>
      </c>
      <c r="GW105" s="14">
        <f t="shared" si="105"/>
        <v>36.97034129538963</v>
      </c>
      <c r="GX105" s="22">
        <f t="shared" si="82"/>
        <v>313.3487210894703</v>
      </c>
      <c r="GY105" s="62">
        <f t="shared" si="83"/>
        <v>606.68205442280362</v>
      </c>
      <c r="GZ105" s="62">
        <f ca="1">AVERAGE(OFFSET($GY$3,0,0,'Données projet'!$E$18+1,1))-AVERAGE(OFFSET($H$3,0,0,'Données projet'!$E$18+1,1))</f>
        <v>188.08607733149256</v>
      </c>
      <c r="HA105" s="62">
        <f t="shared" si="106"/>
        <v>119.95698016603842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30.796999999999965</v>
      </c>
      <c r="D106" s="12">
        <f t="shared" si="86"/>
        <v>9.5235331670047696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311.24622093828214</v>
      </c>
      <c r="H106" s="70">
        <f t="shared" si="56"/>
        <v>326.89159526586661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2.8</v>
      </c>
      <c r="N106" s="14">
        <f>IF('Données projet'!$A$36&gt;35,N105+M106-V105,IF(A106&lt;'Données projet'!$A$36,$K$205^A106,IF(A106='Données projet'!$A$36,'Données projet'!$B$36,N105+M106-V105)))</f>
        <v>169.40000000000003</v>
      </c>
      <c r="O106" s="14">
        <f>N106*VLOOKUP('Données projet'!$B$9,Paramètres!$A$1:$I$89,3,0)*VLOOKUP('Données projet'!$B$9,Paramètres!$A$1:$I$89,5,0)</f>
        <v>182.34216000000004</v>
      </c>
      <c r="P106" s="14">
        <f t="shared" si="87"/>
        <v>45.842880893908273</v>
      </c>
      <c r="Q106" s="22">
        <f t="shared" si="107"/>
        <v>397.42227955689032</v>
      </c>
      <c r="R106" s="62">
        <f t="shared" si="55"/>
        <v>690.75561289022357</v>
      </c>
      <c r="S106" s="62">
        <f ca="1">AVERAGE(OFFSET($R$3,0,0,'Données projet'!$E$9+1,1))-AVERAGE(OFFSET($H$3,0,0,'Données projet'!$E$9+1,1))</f>
        <v>236.98575892380046</v>
      </c>
      <c r="T106" s="62">
        <f t="shared" si="88"/>
        <v>145.77678223659774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140.04898296125504</v>
      </c>
      <c r="AO106" s="62">
        <f t="shared" si="90"/>
        <v>129.5395511270716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5.849230769230763</v>
      </c>
      <c r="BD106" s="13">
        <f>IF('Données projet'!$A$88&gt;35,BD105+BC106-BL105,IF(A106&lt;'Données projet'!$A$88,$BA$205^A106,IF(A106='Données projet'!$A$88,'Données projet'!$B$88,BD105+BC106-BL105)))</f>
        <v>222.94307692307629</v>
      </c>
      <c r="BE106" s="14">
        <f>BD106*VLOOKUP('Données projet'!$B$11,Paramètres!$A$1:$I$89,3,0)*VLOOKUP('Données projet'!$B$11,Paramètres!$A$1:$I$89,5,0)</f>
        <v>104.33735999999971</v>
      </c>
      <c r="BF106" s="14">
        <f t="shared" si="91"/>
        <v>27.992746473996831</v>
      </c>
      <c r="BG106" s="22">
        <f t="shared" si="61"/>
        <v>230.47493544221061</v>
      </c>
      <c r="BH106" s="62">
        <f t="shared" si="62"/>
        <v>523.80826877554387</v>
      </c>
      <c r="BI106" s="62">
        <f ca="1">AVERAGE(OFFSET($BH$3,0,0,'Données projet'!$E$11+1,1))-AVERAGE(OFFSET($H$3,0,0,'Données projet'!$E$11+1,1))</f>
        <v>207.84100251878419</v>
      </c>
      <c r="BJ106" s="62">
        <f t="shared" si="92"/>
        <v>124.34917784241952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-5.6843418860808015E-14</v>
      </c>
      <c r="BZ106" s="14">
        <f>BY106*VLOOKUP('Données projet'!$B$12,Paramètres!$A$1:$I$89,3,0)*VLOOKUP('Données projet'!$B$12,Paramètres!$A$1:$I$89,5,0)</f>
        <v>-2.9558577807620169E-14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211.05980622218578</v>
      </c>
      <c r="CE106" s="62">
        <f t="shared" si="94"/>
        <v>168.57746894604855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1.3833333333333342</v>
      </c>
      <c r="CT106" s="13">
        <f>IF('Données projet'!$A$140&gt;35,CT105+CS106-DB105,IF(A106&lt;'Données projet'!$A$140,$CQ$205^A106,IF(A106='Données projet'!$A$140,'Données projet'!$B$140,CT105+CS106-DB105)))</f>
        <v>106.84999999999994</v>
      </c>
      <c r="CU106" s="18">
        <f>CT106*VLOOKUP('Données projet'!$B$13,Paramètres!$A$1:$I$89,3,0)*VLOOKUP('Données projet'!$B$13,Paramètres!$A$1:$I$89,5,0)</f>
        <v>123.09119999999992</v>
      </c>
      <c r="CV106" s="14">
        <f t="shared" si="95"/>
        <v>32.394900249819841</v>
      </c>
      <c r="CW106" s="22">
        <f t="shared" si="67"/>
        <v>270.80495793510266</v>
      </c>
      <c r="CX106" s="62">
        <f t="shared" si="68"/>
        <v>564.13829126843598</v>
      </c>
      <c r="CY106" s="62">
        <f ca="1">AVERAGE(OFFSET($CX$3,0,0,'Données projet'!$E$13+1,1))-AVERAGE(OFFSET($H$3,0,0,'Données projet'!$E$13+1,1))</f>
        <v>191.79777926975839</v>
      </c>
      <c r="CZ106" s="62">
        <f t="shared" si="96"/>
        <v>156.66161375678712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4.4859999999999998</v>
      </c>
      <c r="DO106" s="13">
        <f>IF('Données projet'!$A$166&gt;35,DO105+DN106-DW105,IF(A106&lt;'Données projet'!$A$166,$DL$205^A106,IF(A106='Données projet'!$A$166,'Données projet'!$B$166,DO105+DN106-DW105)))</f>
        <v>242.93800000000027</v>
      </c>
      <c r="DP106" s="18">
        <f>DO106*VLOOKUP('Données projet'!$B$14,Paramètres!$A$1:$I$89,3,0)*VLOOKUP('Données projet'!$B$14,Paramètres!$A$1:$I$89,5,0)</f>
        <v>265.28829600000029</v>
      </c>
      <c r="DQ106" s="14">
        <f t="shared" si="97"/>
        <v>63.848304551310271</v>
      </c>
      <c r="DR106" s="22">
        <f t="shared" si="70"/>
        <v>573.24624596019919</v>
      </c>
      <c r="DS106" s="62">
        <f t="shared" si="71"/>
        <v>866.57957929353256</v>
      </c>
      <c r="DT106" s="62">
        <f ca="1">AVERAGE(OFFSET($DS$3,0,0,'Données projet'!$E$14+1,1))-AVERAGE(OFFSET($H$3,0,0,'Données projet'!$E$14+1,1))</f>
        <v>541.0854688453461</v>
      </c>
      <c r="DU106" s="62">
        <f t="shared" si="98"/>
        <v>171.04847168584473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5.1159076974727213E-13</v>
      </c>
      <c r="EK106" s="18">
        <f>EJ106*VLOOKUP('Données projet'!$B$15,Paramètres!$A$1:$I$89,3,0)*VLOOKUP('Données projet'!$B$15,Paramètres!$A$1:$I$89,5,0)</f>
        <v>3.0593128030886877E-13</v>
      </c>
      <c r="EL106" s="14">
        <f t="shared" si="99"/>
        <v>4.0350537939347394E-12</v>
      </c>
      <c r="EM106" s="22">
        <f t="shared" si="73"/>
        <v>7.5605490043076185E-12</v>
      </c>
      <c r="EN106" s="62">
        <f t="shared" si="74"/>
        <v>293.33333333334087</v>
      </c>
      <c r="EO106" s="62">
        <f ca="1">AVERAGE(OFFSET($EN$3,0,0,'Données projet'!$E$15+1,1))-AVERAGE(OFFSET($H$3,0,0,'Données projet'!$E$15+1,1))</f>
        <v>244.01698421598974</v>
      </c>
      <c r="EP106" s="62">
        <f t="shared" si="100"/>
        <v>156.96653202915024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0.47524028558723841</v>
      </c>
      <c r="EX106" s="23">
        <f>EXP(-LN(2)/2)*EX105+(1-EXP(-LN(2)/2))/(LN(2)/2)*ER106*EU106*VLOOKUP('Données projet'!$B$15,Paramètres!$A$1:$I$89,3,0)*0.475*44/12</f>
        <v>1.0246846220654858E-10</v>
      </c>
      <c r="EY106" s="24">
        <f t="shared" si="75"/>
        <v>0.47524028568970689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-5.6843418860808015E-14</v>
      </c>
      <c r="FF106" s="18">
        <f>FE106*VLOOKUP('Données projet'!$B$16,Paramètres!$A$1:$I$89,3,0)*VLOOKUP('Données projet'!$B$16,Paramètres!$A$1:$I$89,5,0)</f>
        <v>-4.9658410716801891E-14</v>
      </c>
      <c r="FG106" s="14" t="e">
        <f t="shared" si="101"/>
        <v>#NUM!</v>
      </c>
      <c r="FH106" s="22" t="e">
        <f t="shared" si="76"/>
        <v>#NUM!</v>
      </c>
      <c r="FI106" s="62" t="e">
        <f t="shared" si="77"/>
        <v>#NUM!</v>
      </c>
      <c r="FJ106" s="62">
        <f ca="1">AVERAGE(OFFSET($FI$3,0,0,'Données projet'!$E$16+1,1))-AVERAGE(OFFSET($H$3,0,0,'Données projet'!$E$16+1,1))</f>
        <v>175.08726167127026</v>
      </c>
      <c r="FK106" s="62">
        <f t="shared" si="102"/>
        <v>196.05343924817117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8.5265128291212022E-14</v>
      </c>
      <c r="GA106" s="18">
        <f>FZ106*VLOOKUP('Données projet'!$B$17,Paramètres!$A$1:$I$89,3,0)*VLOOKUP('Données projet'!$B$17,Paramètres!$A$1:$I$89,5,0)</f>
        <v>5.5865712056402117E-14</v>
      </c>
      <c r="GB106" s="14">
        <f t="shared" si="103"/>
        <v>8.9811031843713517E-13</v>
      </c>
      <c r="GC106" s="22">
        <f t="shared" si="79"/>
        <v>1.6615082531095774E-12</v>
      </c>
      <c r="GD106" s="62">
        <f t="shared" si="80"/>
        <v>293.33333333333496</v>
      </c>
      <c r="GE106" s="62">
        <f ca="1">AVERAGE(OFFSET($GD$3,0,0,'Données projet'!$E$17+1,1))-AVERAGE(OFFSET($H$3,0,0,'Données projet'!$E$17+1,1))</f>
        <v>142.93037460866543</v>
      </c>
      <c r="GF106" s="62">
        <f t="shared" si="104"/>
        <v>146.18554498808049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2.8</v>
      </c>
      <c r="GU106" s="13">
        <f>IF('Données projet'!$A$270&gt;35,GU105+GT106-HC105,IF(A106&lt;'Données projet'!$A$270,$GR$205^A106,IF(A106='Données projet'!$A$270,'Données projet'!$B$270,GU105+GT106-HC105)))</f>
        <v>169.40000000000003</v>
      </c>
      <c r="GV106" s="18">
        <f>GU106*VLOOKUP('Données projet'!$B$18,Paramètres!$A$1:$I$89,3,0)*VLOOKUP('Données projet'!$B$18,Paramètres!$A$1:$I$89,5,0)</f>
        <v>145.34520000000006</v>
      </c>
      <c r="GW106" s="14">
        <f t="shared" si="105"/>
        <v>37.518832696995766</v>
      </c>
      <c r="GX106" s="22">
        <f t="shared" si="82"/>
        <v>318.48819028060103</v>
      </c>
      <c r="GY106" s="62">
        <f t="shared" si="83"/>
        <v>611.82152361393435</v>
      </c>
      <c r="GZ106" s="62">
        <f ca="1">AVERAGE(OFFSET($GY$3,0,0,'Données projet'!$E$18+1,1))-AVERAGE(OFFSET($H$3,0,0,'Données projet'!$E$18+1,1))</f>
        <v>188.08607733149256</v>
      </c>
      <c r="HA106" s="62">
        <f t="shared" si="106"/>
        <v>119.95698016603842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31.095999999999965</v>
      </c>
      <c r="D107" s="12">
        <f t="shared" si="86"/>
        <v>9.6051861390214341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314.18459475735824</v>
      </c>
      <c r="H107" s="70">
        <f t="shared" si="56"/>
        <v>327.55456585879563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2.8</v>
      </c>
      <c r="N107" s="14">
        <f>IF('Données projet'!$A$36&gt;35,N106+M107-V106,IF(A107&lt;'Données projet'!$A$36,$K$205^A107,IF(A107='Données projet'!$A$36,'Données projet'!$B$36,N106+M107-V106)))</f>
        <v>172.20000000000005</v>
      </c>
      <c r="O107" s="14">
        <f>N107*VLOOKUP('Données projet'!$B$9,Paramètres!$A$1:$I$89,3,0)*VLOOKUP('Données projet'!$B$9,Paramètres!$A$1:$I$89,5,0)</f>
        <v>185.35608000000005</v>
      </c>
      <c r="P107" s="14">
        <f t="shared" si="87"/>
        <v>46.511774122403146</v>
      </c>
      <c r="Q107" s="22">
        <f t="shared" si="107"/>
        <v>403.83651259651884</v>
      </c>
      <c r="R107" s="62">
        <f t="shared" si="55"/>
        <v>697.16984592985216</v>
      </c>
      <c r="S107" s="62">
        <f ca="1">AVERAGE(OFFSET($R$3,0,0,'Données projet'!$E$9+1,1))-AVERAGE(OFFSET($H$3,0,0,'Données projet'!$E$9+1,1))</f>
        <v>236.98575892380046</v>
      </c>
      <c r="T107" s="62">
        <f t="shared" si="88"/>
        <v>145.77678223659774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140.04898296125504</v>
      </c>
      <c r="AO107" s="62">
        <f t="shared" si="90"/>
        <v>129.5395511270716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>
        <f>VLOOKUP(A107,'Données projet'!$A$87:$I$107,2,0)</f>
        <v>228.7923076923077</v>
      </c>
      <c r="BB107" s="13">
        <f>VLOOKUP(A107,'Données projet'!$A$87:$I$107,9,0)</f>
        <v>5.849230769230763</v>
      </c>
      <c r="BC107" s="13">
        <f t="array" ref="BC107">INDEX(BB:BB,MIN(IF(ISNUMBER(BB107:BB303),ROW(BB107:BB303),"")))</f>
        <v>5.849230769230763</v>
      </c>
      <c r="BD107" s="13">
        <f>IF('Données projet'!$A$88&gt;35,BD106+BC107-BL106,IF(A107&lt;'Données projet'!$A$88,$BA$205^A107,IF(A107='Données projet'!$A$88,'Données projet'!$B$88,BD106+BC107-BL106)))</f>
        <v>228.79230769230705</v>
      </c>
      <c r="BE107" s="14">
        <f>BD107*VLOOKUP('Données projet'!$B$11,Paramètres!$A$1:$I$89,3,0)*VLOOKUP('Données projet'!$B$11,Paramètres!$A$1:$I$89,5,0)</f>
        <v>107.0747999999997</v>
      </c>
      <c r="BF107" s="14">
        <f t="shared" si="91"/>
        <v>28.640707257492455</v>
      </c>
      <c r="BG107" s="22">
        <f t="shared" si="61"/>
        <v>236.37117514013221</v>
      </c>
      <c r="BH107" s="62">
        <f t="shared" si="62"/>
        <v>529.70450847346547</v>
      </c>
      <c r="BI107" s="62">
        <f ca="1">AVERAGE(OFFSET($BH$3,0,0,'Données projet'!$E$11+1,1))-AVERAGE(OFFSET($H$3,0,0,'Données projet'!$E$11+1,1))</f>
        <v>207.84100251878419</v>
      </c>
      <c r="BJ107" s="62">
        <f t="shared" si="92"/>
        <v>124.34917784241952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-5.6843418860808015E-14</v>
      </c>
      <c r="BZ107" s="14">
        <f>BY107*VLOOKUP('Données projet'!$B$12,Paramètres!$A$1:$I$89,3,0)*VLOOKUP('Données projet'!$B$12,Paramètres!$A$1:$I$89,5,0)</f>
        <v>-2.9558577807620169E-14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211.05980622218578</v>
      </c>
      <c r="CE107" s="62">
        <f t="shared" si="94"/>
        <v>168.57746894604855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1.3833333333333342</v>
      </c>
      <c r="CT107" s="13">
        <f>IF('Données projet'!$A$140&gt;35,CT106+CS107-DB106,IF(A107&lt;'Données projet'!$A$140,$CQ$205^A107,IF(A107='Données projet'!$A$140,'Données projet'!$B$140,CT106+CS107-DB106)))</f>
        <v>108.23333333333328</v>
      </c>
      <c r="CU107" s="18">
        <f>CT107*VLOOKUP('Données projet'!$B$13,Paramètres!$A$1:$I$89,3,0)*VLOOKUP('Données projet'!$B$13,Paramètres!$A$1:$I$89,5,0)</f>
        <v>124.68479999999992</v>
      </c>
      <c r="CV107" s="14">
        <f t="shared" si="95"/>
        <v>32.765204654989468</v>
      </c>
      <c r="CW107" s="22">
        <f t="shared" si="67"/>
        <v>274.2254247741065</v>
      </c>
      <c r="CX107" s="62">
        <f t="shared" si="68"/>
        <v>567.55875810743987</v>
      </c>
      <c r="CY107" s="62">
        <f ca="1">AVERAGE(OFFSET($CX$3,0,0,'Données projet'!$E$13+1,1))-AVERAGE(OFFSET($H$3,0,0,'Données projet'!$E$13+1,1))</f>
        <v>191.79777926975839</v>
      </c>
      <c r="CZ107" s="62">
        <f t="shared" si="96"/>
        <v>156.66161375678712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4.4859999999999998</v>
      </c>
      <c r="DO107" s="13">
        <f>IF('Données projet'!$A$166&gt;35,DO106+DN107-DW106,IF(A107&lt;'Données projet'!$A$166,$DL$205^A107,IF(A107='Données projet'!$A$166,'Données projet'!$B$166,DO106+DN107-DW106)))</f>
        <v>247.42400000000026</v>
      </c>
      <c r="DP107" s="18">
        <f>DO107*VLOOKUP('Données projet'!$B$14,Paramètres!$A$1:$I$89,3,0)*VLOOKUP('Données projet'!$B$14,Paramètres!$A$1:$I$89,5,0)</f>
        <v>270.18700800000028</v>
      </c>
      <c r="DQ107" s="14">
        <f t="shared" si="97"/>
        <v>64.88895550577594</v>
      </c>
      <c r="DR107" s="22">
        <f t="shared" si="70"/>
        <v>583.59063643922684</v>
      </c>
      <c r="DS107" s="62">
        <f t="shared" si="71"/>
        <v>876.92396977256021</v>
      </c>
      <c r="DT107" s="62">
        <f ca="1">AVERAGE(OFFSET($DS$3,0,0,'Données projet'!$E$14+1,1))-AVERAGE(OFFSET($H$3,0,0,'Données projet'!$E$14+1,1))</f>
        <v>541.0854688453461</v>
      </c>
      <c r="DU107" s="62">
        <f t="shared" si="98"/>
        <v>171.04847168584473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5.1159076974727213E-13</v>
      </c>
      <c r="EK107" s="18">
        <f>EJ107*VLOOKUP('Données projet'!$B$15,Paramètres!$A$1:$I$89,3,0)*VLOOKUP('Données projet'!$B$15,Paramètres!$A$1:$I$89,5,0)</f>
        <v>3.0593128030886877E-13</v>
      </c>
      <c r="EL107" s="14">
        <f t="shared" si="99"/>
        <v>4.0350537939347394E-12</v>
      </c>
      <c r="EM107" s="22">
        <f t="shared" si="73"/>
        <v>7.5605490043076185E-12</v>
      </c>
      <c r="EN107" s="62">
        <f t="shared" si="74"/>
        <v>293.33333333334087</v>
      </c>
      <c r="EO107" s="62">
        <f ca="1">AVERAGE(OFFSET($EN$3,0,0,'Données projet'!$E$15+1,1))-AVERAGE(OFFSET($H$3,0,0,'Données projet'!$E$15+1,1))</f>
        <v>244.01698421598974</v>
      </c>
      <c r="EP107" s="62">
        <f t="shared" si="100"/>
        <v>156.96653202915024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0.46224481498605491</v>
      </c>
      <c r="EX107" s="23">
        <f>EXP(-LN(2)/2)*EX106+(1-EXP(-LN(2)/2))/(LN(2)/2)*ER107*EU107*VLOOKUP('Données projet'!$B$15,Paramètres!$A$1:$I$89,3,0)*0.475*44/12</f>
        <v>7.2456144484007957E-11</v>
      </c>
      <c r="EY107" s="24">
        <f t="shared" si="75"/>
        <v>0.46224481505851106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-5.6843418860808015E-14</v>
      </c>
      <c r="FF107" s="18">
        <f>FE107*VLOOKUP('Données projet'!$B$16,Paramètres!$A$1:$I$89,3,0)*VLOOKUP('Données projet'!$B$16,Paramètres!$A$1:$I$89,5,0)</f>
        <v>-4.9658410716801891E-14</v>
      </c>
      <c r="FG107" s="14" t="e">
        <f t="shared" si="101"/>
        <v>#NUM!</v>
      </c>
      <c r="FH107" s="22" t="e">
        <f t="shared" si="76"/>
        <v>#NUM!</v>
      </c>
      <c r="FI107" s="62" t="e">
        <f t="shared" si="77"/>
        <v>#NUM!</v>
      </c>
      <c r="FJ107" s="62">
        <f ca="1">AVERAGE(OFFSET($FI$3,0,0,'Données projet'!$E$16+1,1))-AVERAGE(OFFSET($H$3,0,0,'Données projet'!$E$16+1,1))</f>
        <v>175.08726167127026</v>
      </c>
      <c r="FK107" s="62">
        <f t="shared" si="102"/>
        <v>196.05343924817117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8.5265128291212022E-14</v>
      </c>
      <c r="GA107" s="18">
        <f>FZ107*VLOOKUP('Données projet'!$B$17,Paramètres!$A$1:$I$89,3,0)*VLOOKUP('Données projet'!$B$17,Paramètres!$A$1:$I$89,5,0)</f>
        <v>5.5865712056402117E-14</v>
      </c>
      <c r="GB107" s="14">
        <f t="shared" si="103"/>
        <v>8.9811031843713517E-13</v>
      </c>
      <c r="GC107" s="22">
        <f t="shared" si="79"/>
        <v>1.6615082531095774E-12</v>
      </c>
      <c r="GD107" s="62">
        <f t="shared" si="80"/>
        <v>293.33333333333496</v>
      </c>
      <c r="GE107" s="62">
        <f ca="1">AVERAGE(OFFSET($GD$3,0,0,'Données projet'!$E$17+1,1))-AVERAGE(OFFSET($H$3,0,0,'Données projet'!$E$17+1,1))</f>
        <v>142.93037460866543</v>
      </c>
      <c r="GF107" s="62">
        <f t="shared" si="104"/>
        <v>146.18554498808049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2.8</v>
      </c>
      <c r="GU107" s="13">
        <f>IF('Données projet'!$A$270&gt;35,GU106+GT107-HC106,IF(A107&lt;'Données projet'!$A$270,$GR$205^A107,IF(A107='Données projet'!$A$270,'Données projet'!$B$270,GU106+GT107-HC106)))</f>
        <v>172.20000000000005</v>
      </c>
      <c r="GV107" s="18">
        <f>GU107*VLOOKUP('Données projet'!$B$18,Paramètres!$A$1:$I$89,3,0)*VLOOKUP('Données projet'!$B$18,Paramètres!$A$1:$I$89,5,0)</f>
        <v>147.74760000000006</v>
      </c>
      <c r="GW107" s="14">
        <f t="shared" si="105"/>
        <v>38.066269783031707</v>
      </c>
      <c r="GX107" s="22">
        <f t="shared" si="82"/>
        <v>323.62582320544698</v>
      </c>
      <c r="GY107" s="62">
        <f t="shared" si="83"/>
        <v>616.95915653878023</v>
      </c>
      <c r="GZ107" s="62">
        <f ca="1">AVERAGE(OFFSET($GY$3,0,0,'Données projet'!$E$18+1,1))-AVERAGE(OFFSET($H$3,0,0,'Données projet'!$E$18+1,1))</f>
        <v>188.08607733149256</v>
      </c>
      <c r="HA107" s="62">
        <f t="shared" si="106"/>
        <v>119.95698016603842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31.394999999999964</v>
      </c>
      <c r="D108" s="12">
        <f t="shared" si="86"/>
        <v>9.6867477721541881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317.12226350434787</v>
      </c>
      <c r="H108" s="70">
        <f t="shared" si="56"/>
        <v>328.21737736983516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175</v>
      </c>
      <c r="L108" s="13">
        <f>VLOOKUP(A108,'Données projet'!$A$35:$I$55,9,0)</f>
        <v>2.8</v>
      </c>
      <c r="M108" s="13">
        <f t="array" ref="M108">INDEX(L:L,MIN(IF(ISNUMBER(L108:L304),ROW(L108:L304),"")))</f>
        <v>2.8</v>
      </c>
      <c r="N108" s="14">
        <f>IF('Données projet'!$A$36&gt;35,N107+M108-V107,IF(A108&lt;'Données projet'!$A$36,$K$205^A108,IF(A108='Données projet'!$A$36,'Données projet'!$B$36,N107+M108-V107)))</f>
        <v>175.00000000000006</v>
      </c>
      <c r="O108" s="14">
        <f>N108*VLOOKUP('Données projet'!$B$9,Paramètres!$A$1:$I$89,3,0)*VLOOKUP('Données projet'!$B$9,Paramètres!$A$1:$I$89,5,0)</f>
        <v>188.37000000000006</v>
      </c>
      <c r="P108" s="14">
        <f t="shared" si="87"/>
        <v>47.179402486491298</v>
      </c>
      <c r="Q108" s="22">
        <f t="shared" si="107"/>
        <v>410.2485426639725</v>
      </c>
      <c r="R108" s="62">
        <f t="shared" si="55"/>
        <v>703.58187599730581</v>
      </c>
      <c r="S108" s="62">
        <f ca="1">AVERAGE(OFFSET($R$3,0,0,'Données projet'!$E$9+1,1))-AVERAGE(OFFSET($H$3,0,0,'Données projet'!$E$9+1,1))</f>
        <v>236.98575892380046</v>
      </c>
      <c r="T108" s="62">
        <f t="shared" si="88"/>
        <v>145.77678223659774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140.04898296125504</v>
      </c>
      <c r="AO108" s="62">
        <f t="shared" si="90"/>
        <v>129.5395511270716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5.4600000000000026</v>
      </c>
      <c r="BD108" s="13">
        <f>IF('Données projet'!$A$88&gt;35,BD107+BC108-BL107,IF(A108&lt;'Données projet'!$A$88,$BA$205^A108,IF(A108='Données projet'!$A$88,'Données projet'!$B$88,BD107+BC108-BL107)))</f>
        <v>234.25230769230706</v>
      </c>
      <c r="BE108" s="14">
        <f>BD108*VLOOKUP('Données projet'!$B$11,Paramètres!$A$1:$I$89,3,0)*VLOOKUP('Données projet'!$B$11,Paramètres!$A$1:$I$89,5,0)</f>
        <v>109.63007999999969</v>
      </c>
      <c r="BF108" s="14">
        <f t="shared" si="91"/>
        <v>29.243811455610157</v>
      </c>
      <c r="BG108" s="22">
        <f t="shared" si="61"/>
        <v>241.87202761852049</v>
      </c>
      <c r="BH108" s="62">
        <f t="shared" si="62"/>
        <v>535.20536095185378</v>
      </c>
      <c r="BI108" s="62">
        <f ca="1">AVERAGE(OFFSET($BH$3,0,0,'Données projet'!$E$11+1,1))-AVERAGE(OFFSET($H$3,0,0,'Données projet'!$E$11+1,1))</f>
        <v>207.84100251878419</v>
      </c>
      <c r="BJ108" s="62">
        <f t="shared" si="92"/>
        <v>124.34917784241952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-5.6843418860808015E-14</v>
      </c>
      <c r="BZ108" s="14">
        <f>BY108*VLOOKUP('Données projet'!$B$12,Paramètres!$A$1:$I$89,3,0)*VLOOKUP('Données projet'!$B$12,Paramètres!$A$1:$I$89,5,0)</f>
        <v>-2.9558577807620169E-14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211.05980622218578</v>
      </c>
      <c r="CE108" s="62">
        <f t="shared" si="94"/>
        <v>168.57746894604855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1.3833333333333342</v>
      </c>
      <c r="CT108" s="13">
        <f>IF('Données projet'!$A$140&gt;35,CT107+CS108-DB107,IF(A108&lt;'Données projet'!$A$140,$CQ$205^A108,IF(A108='Données projet'!$A$140,'Données projet'!$B$140,CT107+CS108-DB107)))</f>
        <v>109.61666666666662</v>
      </c>
      <c r="CU108" s="18">
        <f>CT108*VLOOKUP('Données projet'!$B$13,Paramètres!$A$1:$I$89,3,0)*VLOOKUP('Données projet'!$B$13,Paramètres!$A$1:$I$89,5,0)</f>
        <v>126.27839999999992</v>
      </c>
      <c r="CV108" s="14">
        <f t="shared" si="95"/>
        <v>33.134958547692797</v>
      </c>
      <c r="CW108" s="22">
        <f t="shared" si="67"/>
        <v>277.64493280389814</v>
      </c>
      <c r="CX108" s="62">
        <f t="shared" si="68"/>
        <v>570.97826613723146</v>
      </c>
      <c r="CY108" s="62">
        <f ca="1">AVERAGE(OFFSET($CX$3,0,0,'Données projet'!$E$13+1,1))-AVERAGE(OFFSET($H$3,0,0,'Données projet'!$E$13+1,1))</f>
        <v>191.79777926975839</v>
      </c>
      <c r="CZ108" s="62">
        <f t="shared" si="96"/>
        <v>156.66161375678712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4.4859999999999998</v>
      </c>
      <c r="DO108" s="13">
        <f>IF('Données projet'!$A$166&gt;35,DO107+DN108-DW107,IF(A108&lt;'Données projet'!$A$166,$DL$205^A108,IF(A108='Données projet'!$A$166,'Données projet'!$B$166,DO107+DN108-DW107)))</f>
        <v>251.91000000000025</v>
      </c>
      <c r="DP108" s="18">
        <f>DO108*VLOOKUP('Données projet'!$B$14,Paramètres!$A$1:$I$89,3,0)*VLOOKUP('Données projet'!$B$14,Paramètres!$A$1:$I$89,5,0)</f>
        <v>275.08572000000026</v>
      </c>
      <c r="DQ108" s="14">
        <f t="shared" si="97"/>
        <v>65.927412430679567</v>
      </c>
      <c r="DR108" s="22">
        <f t="shared" si="70"/>
        <v>593.93120565010065</v>
      </c>
      <c r="DS108" s="62">
        <f t="shared" si="71"/>
        <v>887.26453898343402</v>
      </c>
      <c r="DT108" s="62">
        <f ca="1">AVERAGE(OFFSET($DS$3,0,0,'Données projet'!$E$14+1,1))-AVERAGE(OFFSET($H$3,0,0,'Données projet'!$E$14+1,1))</f>
        <v>541.0854688453461</v>
      </c>
      <c r="DU108" s="62">
        <f t="shared" si="98"/>
        <v>171.04847168584473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5.1159076974727213E-13</v>
      </c>
      <c r="EK108" s="18">
        <f>EJ108*VLOOKUP('Données projet'!$B$15,Paramètres!$A$1:$I$89,3,0)*VLOOKUP('Données projet'!$B$15,Paramètres!$A$1:$I$89,5,0)</f>
        <v>3.0593128030886877E-13</v>
      </c>
      <c r="EL108" s="14">
        <f t="shared" si="99"/>
        <v>4.0350537939347394E-12</v>
      </c>
      <c r="EM108" s="22">
        <f t="shared" si="73"/>
        <v>7.5605490043076185E-12</v>
      </c>
      <c r="EN108" s="62">
        <f t="shared" si="74"/>
        <v>293.33333333334087</v>
      </c>
      <c r="EO108" s="62">
        <f ca="1">AVERAGE(OFFSET($EN$3,0,0,'Données projet'!$E$15+1,1))-AVERAGE(OFFSET($H$3,0,0,'Données projet'!$E$15+1,1))</f>
        <v>244.01698421598974</v>
      </c>
      <c r="EP108" s="62">
        <f t="shared" si="100"/>
        <v>156.96653202915024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0.44960470621186288</v>
      </c>
      <c r="EX108" s="23">
        <f>EXP(-LN(2)/2)*EX107+(1-EXP(-LN(2)/2))/(LN(2)/2)*ER108*EU108*VLOOKUP('Données projet'!$B$15,Paramètres!$A$1:$I$89,3,0)*0.475*44/12</f>
        <v>5.1234231103274288E-11</v>
      </c>
      <c r="EY108" s="24">
        <f t="shared" si="75"/>
        <v>0.44960470626309712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-5.6843418860808015E-14</v>
      </c>
      <c r="FF108" s="18">
        <f>FE108*VLOOKUP('Données projet'!$B$16,Paramètres!$A$1:$I$89,3,0)*VLOOKUP('Données projet'!$B$16,Paramètres!$A$1:$I$89,5,0)</f>
        <v>-4.9658410716801891E-14</v>
      </c>
      <c r="FG108" s="14" t="e">
        <f t="shared" si="101"/>
        <v>#NUM!</v>
      </c>
      <c r="FH108" s="22" t="e">
        <f t="shared" si="76"/>
        <v>#NUM!</v>
      </c>
      <c r="FI108" s="62" t="e">
        <f t="shared" si="77"/>
        <v>#NUM!</v>
      </c>
      <c r="FJ108" s="62">
        <f ca="1">AVERAGE(OFFSET($FI$3,0,0,'Données projet'!$E$16+1,1))-AVERAGE(OFFSET($H$3,0,0,'Données projet'!$E$16+1,1))</f>
        <v>175.08726167127026</v>
      </c>
      <c r="FK108" s="62">
        <f t="shared" si="102"/>
        <v>196.05343924817117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8.5265128291212022E-14</v>
      </c>
      <c r="GA108" s="18">
        <f>FZ108*VLOOKUP('Données projet'!$B$17,Paramètres!$A$1:$I$89,3,0)*VLOOKUP('Données projet'!$B$17,Paramètres!$A$1:$I$89,5,0)</f>
        <v>5.5865712056402117E-14</v>
      </c>
      <c r="GB108" s="14">
        <f t="shared" si="103"/>
        <v>8.9811031843713517E-13</v>
      </c>
      <c r="GC108" s="22">
        <f t="shared" si="79"/>
        <v>1.6615082531095774E-12</v>
      </c>
      <c r="GD108" s="62">
        <f t="shared" si="80"/>
        <v>293.33333333333496</v>
      </c>
      <c r="GE108" s="62">
        <f ca="1">AVERAGE(OFFSET($GD$3,0,0,'Données projet'!$E$17+1,1))-AVERAGE(OFFSET($H$3,0,0,'Données projet'!$E$17+1,1))</f>
        <v>142.93037460866543</v>
      </c>
      <c r="GF108" s="62">
        <f t="shared" si="104"/>
        <v>146.18554498808049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>
        <f>VLOOKUP(A108,'Données projet'!$A$269:$I$289,2,0)</f>
        <v>175</v>
      </c>
      <c r="GS108" s="13">
        <f>VLOOKUP(A108,'Données projet'!$A$269:$I$289,9,0)</f>
        <v>2.8</v>
      </c>
      <c r="GT108" s="13">
        <f t="array" ref="GT108">INDEX(GS:GS,MIN(IF(ISNUMBER(GS108:GS304),ROW(GS108:GS304),"")))</f>
        <v>2.8</v>
      </c>
      <c r="GU108" s="13">
        <f>IF('Données projet'!$A$270&gt;35,GU107+GT108-HC107,IF(A108&lt;'Données projet'!$A$270,$GR$205^A108,IF(A108='Données projet'!$A$270,'Données projet'!$B$270,GU107+GT108-HC107)))</f>
        <v>175.00000000000006</v>
      </c>
      <c r="GV108" s="18">
        <f>GU108*VLOOKUP('Données projet'!$B$18,Paramètres!$A$1:$I$89,3,0)*VLOOKUP('Données projet'!$B$18,Paramètres!$A$1:$I$89,5,0)</f>
        <v>150.15000000000006</v>
      </c>
      <c r="GW108" s="14">
        <f t="shared" si="105"/>
        <v>38.612671675922371</v>
      </c>
      <c r="GX108" s="22">
        <f t="shared" si="82"/>
        <v>328.76165316889825</v>
      </c>
      <c r="GY108" s="62">
        <f t="shared" si="83"/>
        <v>622.09498650223156</v>
      </c>
      <c r="GZ108" s="62">
        <f ca="1">AVERAGE(OFFSET($GY$3,0,0,'Données projet'!$E$18+1,1))-AVERAGE(OFFSET($H$3,0,0,'Données projet'!$E$18+1,1))</f>
        <v>188.08607733149256</v>
      </c>
      <c r="HA108" s="62">
        <f t="shared" si="106"/>
        <v>119.95698016603842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31.693999999999964</v>
      </c>
      <c r="D109" s="12">
        <f t="shared" si="86"/>
        <v>9.7682190370442061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320.05923467191991</v>
      </c>
      <c r="H109" s="70">
        <f t="shared" si="56"/>
        <v>328.88003148951861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</v>
      </c>
      <c r="N109" s="14">
        <f>IF('Données projet'!$A$36&gt;35,N108+M109-V108,IF(A109&lt;'Données projet'!$A$36,$K$205^A109,IF(A109='Données projet'!$A$36,'Données projet'!$B$36,N108+M109-V108)))</f>
        <v>178.00000000000006</v>
      </c>
      <c r="O109" s="14">
        <f>N109*VLOOKUP('Données projet'!$B$9,Paramètres!$A$1:$I$89,3,0)*VLOOKUP('Données projet'!$B$9,Paramètres!$A$1:$I$89,5,0)</f>
        <v>191.59920000000005</v>
      </c>
      <c r="P109" s="14">
        <f t="shared" si="87"/>
        <v>47.893340610341859</v>
      </c>
      <c r="Q109" s="22">
        <f t="shared" si="107"/>
        <v>417.11617489634546</v>
      </c>
      <c r="R109" s="62">
        <f t="shared" si="55"/>
        <v>710.44950822967871</v>
      </c>
      <c r="S109" s="62">
        <f ca="1">AVERAGE(OFFSET($R$3,0,0,'Données projet'!$E$9+1,1))-AVERAGE(OFFSET($H$3,0,0,'Données projet'!$E$9+1,1))</f>
        <v>236.98575892380046</v>
      </c>
      <c r="T109" s="62">
        <f t="shared" si="88"/>
        <v>145.77678223659774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140.04898296125504</v>
      </c>
      <c r="AO109" s="62">
        <f t="shared" si="90"/>
        <v>129.5395511270716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5.4600000000000026</v>
      </c>
      <c r="BD109" s="13">
        <f>IF('Données projet'!$A$88&gt;35,BD108+BC109-BL108,IF(A109&lt;'Données projet'!$A$88,$BA$205^A109,IF(A109='Données projet'!$A$88,'Données projet'!$B$88,BD108+BC109-BL108)))</f>
        <v>239.71230769230706</v>
      </c>
      <c r="BE109" s="14">
        <f>BD109*VLOOKUP('Données projet'!$B$11,Paramètres!$A$1:$I$89,3,0)*VLOOKUP('Données projet'!$B$11,Paramètres!$A$1:$I$89,5,0)</f>
        <v>112.1853599999997</v>
      </c>
      <c r="BF109" s="14">
        <f t="shared" si="91"/>
        <v>29.84528144827167</v>
      </c>
      <c r="BG109" s="22">
        <f t="shared" si="61"/>
        <v>247.37003385573931</v>
      </c>
      <c r="BH109" s="62">
        <f t="shared" si="62"/>
        <v>540.70336718907265</v>
      </c>
      <c r="BI109" s="62">
        <f ca="1">AVERAGE(OFFSET($BH$3,0,0,'Données projet'!$E$11+1,1))-AVERAGE(OFFSET($H$3,0,0,'Données projet'!$E$11+1,1))</f>
        <v>207.84100251878419</v>
      </c>
      <c r="BJ109" s="62">
        <f t="shared" si="92"/>
        <v>124.34917784241952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-5.6843418860808015E-14</v>
      </c>
      <c r="BZ109" s="14">
        <f>BY109*VLOOKUP('Données projet'!$B$12,Paramètres!$A$1:$I$89,3,0)*VLOOKUP('Données projet'!$B$12,Paramètres!$A$1:$I$89,5,0)</f>
        <v>-2.9558577807620169E-14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211.05980622218578</v>
      </c>
      <c r="CE109" s="62">
        <f t="shared" si="94"/>
        <v>168.57746894604855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1.3833333333333342</v>
      </c>
      <c r="CT109" s="13">
        <f>IF('Données projet'!$A$140&gt;35,CT108+CS109-DB108,IF(A109&lt;'Données projet'!$A$140,$CQ$205^A109,IF(A109='Données projet'!$A$140,'Données projet'!$B$140,CT108+CS109-DB108)))</f>
        <v>110.99999999999996</v>
      </c>
      <c r="CU109" s="18">
        <f>CT109*VLOOKUP('Données projet'!$B$13,Paramètres!$A$1:$I$89,3,0)*VLOOKUP('Données projet'!$B$13,Paramètres!$A$1:$I$89,5,0)</f>
        <v>127.87199999999994</v>
      </c>
      <c r="CV109" s="14">
        <f t="shared" si="95"/>
        <v>33.504169678639819</v>
      </c>
      <c r="CW109" s="22">
        <f t="shared" si="67"/>
        <v>281.06349552363093</v>
      </c>
      <c r="CX109" s="62">
        <f t="shared" si="68"/>
        <v>574.39682885696425</v>
      </c>
      <c r="CY109" s="62">
        <f ca="1">AVERAGE(OFFSET($CX$3,0,0,'Données projet'!$E$13+1,1))-AVERAGE(OFFSET($H$3,0,0,'Données projet'!$E$13+1,1))</f>
        <v>191.79777926975839</v>
      </c>
      <c r="CZ109" s="62">
        <f t="shared" si="96"/>
        <v>156.66161375678712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4.4859999999999998</v>
      </c>
      <c r="DO109" s="13">
        <f>IF('Données projet'!$A$166&gt;35,DO108+DN109-DW108,IF(A109&lt;'Données projet'!$A$166,$DL$205^A109,IF(A109='Données projet'!$A$166,'Données projet'!$B$166,DO108+DN109-DW108)))</f>
        <v>256.39600000000024</v>
      </c>
      <c r="DP109" s="18">
        <f>DO109*VLOOKUP('Données projet'!$B$14,Paramètres!$A$1:$I$89,3,0)*VLOOKUP('Données projet'!$B$14,Paramètres!$A$1:$I$89,5,0)</f>
        <v>279.98443200000025</v>
      </c>
      <c r="DQ109" s="14">
        <f t="shared" si="97"/>
        <v>66.963718904534701</v>
      </c>
      <c r="DR109" s="22">
        <f t="shared" si="70"/>
        <v>604.26802949206501</v>
      </c>
      <c r="DS109" s="62">
        <f t="shared" si="71"/>
        <v>897.60136282539838</v>
      </c>
      <c r="DT109" s="62">
        <f ca="1">AVERAGE(OFFSET($DS$3,0,0,'Données projet'!$E$14+1,1))-AVERAGE(OFFSET($H$3,0,0,'Données projet'!$E$14+1,1))</f>
        <v>541.0854688453461</v>
      </c>
      <c r="DU109" s="62">
        <f t="shared" si="98"/>
        <v>171.04847168584473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5.1159076974727213E-13</v>
      </c>
      <c r="EK109" s="18">
        <f>EJ109*VLOOKUP('Données projet'!$B$15,Paramètres!$A$1:$I$89,3,0)*VLOOKUP('Données projet'!$B$15,Paramètres!$A$1:$I$89,5,0)</f>
        <v>3.0593128030886877E-13</v>
      </c>
      <c r="EL109" s="14">
        <f t="shared" si="99"/>
        <v>4.0350537939347394E-12</v>
      </c>
      <c r="EM109" s="22">
        <f t="shared" si="73"/>
        <v>7.5605490043076185E-12</v>
      </c>
      <c r="EN109" s="62">
        <f t="shared" si="74"/>
        <v>293.33333333334087</v>
      </c>
      <c r="EO109" s="62">
        <f ca="1">AVERAGE(OFFSET($EN$3,0,0,'Données projet'!$E$15+1,1))-AVERAGE(OFFSET($H$3,0,0,'Données projet'!$E$15+1,1))</f>
        <v>244.01698421598974</v>
      </c>
      <c r="EP109" s="62">
        <f t="shared" si="100"/>
        <v>156.96653202915024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0.43731024187681555</v>
      </c>
      <c r="EX109" s="23">
        <f>EXP(-LN(2)/2)*EX108+(1-EXP(-LN(2)/2))/(LN(2)/2)*ER109*EU109*VLOOKUP('Données projet'!$B$15,Paramètres!$A$1:$I$89,3,0)*0.475*44/12</f>
        <v>3.6228072242003979E-11</v>
      </c>
      <c r="EY109" s="24">
        <f t="shared" si="75"/>
        <v>0.43731024191304363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-5.6843418860808015E-14</v>
      </c>
      <c r="FF109" s="18">
        <f>FE109*VLOOKUP('Données projet'!$B$16,Paramètres!$A$1:$I$89,3,0)*VLOOKUP('Données projet'!$B$16,Paramètres!$A$1:$I$89,5,0)</f>
        <v>-4.9658410716801891E-14</v>
      </c>
      <c r="FG109" s="14" t="e">
        <f t="shared" si="101"/>
        <v>#NUM!</v>
      </c>
      <c r="FH109" s="22" t="e">
        <f t="shared" si="76"/>
        <v>#NUM!</v>
      </c>
      <c r="FI109" s="62" t="e">
        <f t="shared" si="77"/>
        <v>#NUM!</v>
      </c>
      <c r="FJ109" s="62">
        <f ca="1">AVERAGE(OFFSET($FI$3,0,0,'Données projet'!$E$16+1,1))-AVERAGE(OFFSET($H$3,0,0,'Données projet'!$E$16+1,1))</f>
        <v>175.08726167127026</v>
      </c>
      <c r="FK109" s="62">
        <f t="shared" si="102"/>
        <v>196.05343924817117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8.5265128291212022E-14</v>
      </c>
      <c r="GA109" s="18">
        <f>FZ109*VLOOKUP('Données projet'!$B$17,Paramètres!$A$1:$I$89,3,0)*VLOOKUP('Données projet'!$B$17,Paramètres!$A$1:$I$89,5,0)</f>
        <v>5.5865712056402117E-14</v>
      </c>
      <c r="GB109" s="14">
        <f t="shared" si="103"/>
        <v>8.9811031843713517E-13</v>
      </c>
      <c r="GC109" s="22">
        <f t="shared" si="79"/>
        <v>1.6615082531095774E-12</v>
      </c>
      <c r="GD109" s="62">
        <f t="shared" si="80"/>
        <v>293.33333333333496</v>
      </c>
      <c r="GE109" s="62">
        <f ca="1">AVERAGE(OFFSET($GD$3,0,0,'Données projet'!$E$17+1,1))-AVERAGE(OFFSET($H$3,0,0,'Données projet'!$E$17+1,1))</f>
        <v>142.93037460866543</v>
      </c>
      <c r="GF109" s="62">
        <f t="shared" si="104"/>
        <v>146.18554498808049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3</v>
      </c>
      <c r="GU109" s="13">
        <f>IF('Données projet'!$A$270&gt;35,GU108+GT109-HC108,IF(A109&lt;'Données projet'!$A$270,$GR$205^A109,IF(A109='Données projet'!$A$270,'Données projet'!$B$270,GU108+GT109-HC108)))</f>
        <v>178.00000000000006</v>
      </c>
      <c r="GV109" s="18">
        <f>GU109*VLOOKUP('Données projet'!$B$18,Paramètres!$A$1:$I$89,3,0)*VLOOKUP('Données projet'!$B$18,Paramètres!$A$1:$I$89,5,0)</f>
        <v>152.72400000000005</v>
      </c>
      <c r="GW109" s="14">
        <f t="shared" si="105"/>
        <v>39.196974505553527</v>
      </c>
      <c r="GX109" s="22">
        <f t="shared" si="82"/>
        <v>334.26236393050578</v>
      </c>
      <c r="GY109" s="62">
        <f t="shared" si="83"/>
        <v>627.59569726383916</v>
      </c>
      <c r="GZ109" s="62">
        <f ca="1">AVERAGE(OFFSET($GY$3,0,0,'Données projet'!$E$18+1,1))-AVERAGE(OFFSET($H$3,0,0,'Données projet'!$E$18+1,1))</f>
        <v>188.08607733149256</v>
      </c>
      <c r="HA109" s="62">
        <f t="shared" si="106"/>
        <v>119.95698016603842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31.992999999999963</v>
      </c>
      <c r="D110" s="12">
        <f t="shared" si="86"/>
        <v>9.8496008849626175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322.99551560321993</v>
      </c>
      <c r="H110" s="70">
        <f t="shared" si="56"/>
        <v>329.54252987464315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</v>
      </c>
      <c r="N110" s="14">
        <f>IF('Données projet'!$A$36&gt;35,N109+M110-V109,IF(A110&lt;'Données projet'!$A$36,$K$205^A110,IF(A110='Données projet'!$A$36,'Données projet'!$B$36,N109+M110-V109)))</f>
        <v>181.00000000000006</v>
      </c>
      <c r="O110" s="14">
        <f>N110*VLOOKUP('Données projet'!$B$9,Paramètres!$A$1:$I$89,3,0)*VLOOKUP('Données projet'!$B$9,Paramètres!$A$1:$I$89,5,0)</f>
        <v>194.82840000000004</v>
      </c>
      <c r="P110" s="14">
        <f t="shared" si="87"/>
        <v>48.605879434898533</v>
      </c>
      <c r="Q110" s="22">
        <f t="shared" si="107"/>
        <v>423.98137001578169</v>
      </c>
      <c r="R110" s="62">
        <f t="shared" si="55"/>
        <v>717.31470334911501</v>
      </c>
      <c r="S110" s="62">
        <f ca="1">AVERAGE(OFFSET($R$3,0,0,'Données projet'!$E$9+1,1))-AVERAGE(OFFSET($H$3,0,0,'Données projet'!$E$9+1,1))</f>
        <v>236.98575892380046</v>
      </c>
      <c r="T110" s="62">
        <f t="shared" si="88"/>
        <v>145.77678223659774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140.04898296125504</v>
      </c>
      <c r="AO110" s="62">
        <f t="shared" si="90"/>
        <v>129.5395511270716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5.4600000000000026</v>
      </c>
      <c r="BD110" s="13">
        <f>IF('Données projet'!$A$88&gt;35,BD109+BC110-BL109,IF(A110&lt;'Données projet'!$A$88,$BA$205^A110,IF(A110='Données projet'!$A$88,'Données projet'!$B$88,BD109+BC110-BL109)))</f>
        <v>245.17230769230707</v>
      </c>
      <c r="BE110" s="14">
        <f>BD110*VLOOKUP('Données projet'!$B$11,Paramètres!$A$1:$I$89,3,0)*VLOOKUP('Données projet'!$B$11,Paramètres!$A$1:$I$89,5,0)</f>
        <v>114.74063999999971</v>
      </c>
      <c r="BF110" s="14">
        <f t="shared" si="91"/>
        <v>30.445158743218197</v>
      </c>
      <c r="BG110" s="22">
        <f t="shared" si="61"/>
        <v>252.86526614443781</v>
      </c>
      <c r="BH110" s="62">
        <f t="shared" si="62"/>
        <v>546.19859947777115</v>
      </c>
      <c r="BI110" s="62">
        <f ca="1">AVERAGE(OFFSET($BH$3,0,0,'Données projet'!$E$11+1,1))-AVERAGE(OFFSET($H$3,0,0,'Données projet'!$E$11+1,1))</f>
        <v>207.84100251878419</v>
      </c>
      <c r="BJ110" s="62">
        <f t="shared" si="92"/>
        <v>124.34917784241952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-5.6843418860808015E-14</v>
      </c>
      <c r="BZ110" s="14">
        <f>BY110*VLOOKUP('Données projet'!$B$12,Paramètres!$A$1:$I$89,3,0)*VLOOKUP('Données projet'!$B$12,Paramètres!$A$1:$I$89,5,0)</f>
        <v>-2.9558577807620169E-14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211.05980622218578</v>
      </c>
      <c r="CE110" s="62">
        <f t="shared" si="94"/>
        <v>168.57746894604855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1.3833333333333342</v>
      </c>
      <c r="CT110" s="13">
        <f>IF('Données projet'!$A$140&gt;35,CT109+CS110-DB109,IF(A110&lt;'Données projet'!$A$140,$CQ$205^A110,IF(A110='Données projet'!$A$140,'Données projet'!$B$140,CT109+CS110-DB109)))</f>
        <v>112.3833333333333</v>
      </c>
      <c r="CU110" s="18">
        <f>CT110*VLOOKUP('Données projet'!$B$13,Paramètres!$A$1:$I$89,3,0)*VLOOKUP('Données projet'!$B$13,Paramètres!$A$1:$I$89,5,0)</f>
        <v>129.46559999999994</v>
      </c>
      <c r="CV110" s="14">
        <f t="shared" si="95"/>
        <v>33.872845594243692</v>
      </c>
      <c r="CW110" s="22">
        <f t="shared" si="67"/>
        <v>284.48112607664098</v>
      </c>
      <c r="CX110" s="62">
        <f t="shared" si="68"/>
        <v>577.81445940997423</v>
      </c>
      <c r="CY110" s="62">
        <f ca="1">AVERAGE(OFFSET($CX$3,0,0,'Données projet'!$E$13+1,1))-AVERAGE(OFFSET($H$3,0,0,'Données projet'!$E$13+1,1))</f>
        <v>191.79777926975839</v>
      </c>
      <c r="CZ110" s="62">
        <f t="shared" si="96"/>
        <v>156.66161375678712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4.4859999999999998</v>
      </c>
      <c r="DO110" s="13">
        <f>IF('Données projet'!$A$166&gt;35,DO109+DN110-DW109,IF(A110&lt;'Données projet'!$A$166,$DL$205^A110,IF(A110='Données projet'!$A$166,'Données projet'!$B$166,DO109+DN110-DW109)))</f>
        <v>260.88200000000023</v>
      </c>
      <c r="DP110" s="18">
        <f>DO110*VLOOKUP('Données projet'!$B$14,Paramètres!$A$1:$I$89,3,0)*VLOOKUP('Données projet'!$B$14,Paramètres!$A$1:$I$89,5,0)</f>
        <v>284.88314400000024</v>
      </c>
      <c r="DQ110" s="14">
        <f t="shared" si="97"/>
        <v>67.997916893567876</v>
      </c>
      <c r="DR110" s="22">
        <f t="shared" si="70"/>
        <v>614.60118105629783</v>
      </c>
      <c r="DS110" s="62">
        <f t="shared" si="71"/>
        <v>907.9345143896312</v>
      </c>
      <c r="DT110" s="62">
        <f ca="1">AVERAGE(OFFSET($DS$3,0,0,'Données projet'!$E$14+1,1))-AVERAGE(OFFSET($H$3,0,0,'Données projet'!$E$14+1,1))</f>
        <v>541.0854688453461</v>
      </c>
      <c r="DU110" s="62">
        <f t="shared" si="98"/>
        <v>171.04847168584473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5.1159076974727213E-13</v>
      </c>
      <c r="EK110" s="18">
        <f>EJ110*VLOOKUP('Données projet'!$B$15,Paramètres!$A$1:$I$89,3,0)*VLOOKUP('Données projet'!$B$15,Paramètres!$A$1:$I$89,5,0)</f>
        <v>3.0593128030886877E-13</v>
      </c>
      <c r="EL110" s="14">
        <f t="shared" si="99"/>
        <v>4.0350537939347394E-12</v>
      </c>
      <c r="EM110" s="22">
        <f t="shared" si="73"/>
        <v>7.5605490043076185E-12</v>
      </c>
      <c r="EN110" s="62">
        <f t="shared" si="74"/>
        <v>293.33333333334087</v>
      </c>
      <c r="EO110" s="62">
        <f ca="1">AVERAGE(OFFSET($EN$3,0,0,'Données projet'!$E$15+1,1))-AVERAGE(OFFSET($H$3,0,0,'Données projet'!$E$15+1,1))</f>
        <v>244.01698421598974</v>
      </c>
      <c r="EP110" s="62">
        <f t="shared" si="100"/>
        <v>156.96653202915024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0.42535197031554789</v>
      </c>
      <c r="EX110" s="23">
        <f>EXP(-LN(2)/2)*EX109+(1-EXP(-LN(2)/2))/(LN(2)/2)*ER110*EU110*VLOOKUP('Données projet'!$B$15,Paramètres!$A$1:$I$89,3,0)*0.475*44/12</f>
        <v>2.5617115551637144E-11</v>
      </c>
      <c r="EY110" s="24">
        <f t="shared" si="75"/>
        <v>0.42535197034116501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-5.6843418860808015E-14</v>
      </c>
      <c r="FF110" s="18">
        <f>FE110*VLOOKUP('Données projet'!$B$16,Paramètres!$A$1:$I$89,3,0)*VLOOKUP('Données projet'!$B$16,Paramètres!$A$1:$I$89,5,0)</f>
        <v>-4.9658410716801891E-14</v>
      </c>
      <c r="FG110" s="14" t="e">
        <f t="shared" si="101"/>
        <v>#NUM!</v>
      </c>
      <c r="FH110" s="22" t="e">
        <f t="shared" si="76"/>
        <v>#NUM!</v>
      </c>
      <c r="FI110" s="62" t="e">
        <f t="shared" si="77"/>
        <v>#NUM!</v>
      </c>
      <c r="FJ110" s="62">
        <f ca="1">AVERAGE(OFFSET($FI$3,0,0,'Données projet'!$E$16+1,1))-AVERAGE(OFFSET($H$3,0,0,'Données projet'!$E$16+1,1))</f>
        <v>175.08726167127026</v>
      </c>
      <c r="FK110" s="62">
        <f t="shared" si="102"/>
        <v>196.05343924817117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8.5265128291212022E-14</v>
      </c>
      <c r="GA110" s="18">
        <f>FZ110*VLOOKUP('Données projet'!$B$17,Paramètres!$A$1:$I$89,3,0)*VLOOKUP('Données projet'!$B$17,Paramètres!$A$1:$I$89,5,0)</f>
        <v>5.5865712056402117E-14</v>
      </c>
      <c r="GB110" s="14">
        <f t="shared" si="103"/>
        <v>8.9811031843713517E-13</v>
      </c>
      <c r="GC110" s="22">
        <f t="shared" si="79"/>
        <v>1.6615082531095774E-12</v>
      </c>
      <c r="GD110" s="62">
        <f t="shared" si="80"/>
        <v>293.33333333333496</v>
      </c>
      <c r="GE110" s="62">
        <f ca="1">AVERAGE(OFFSET($GD$3,0,0,'Données projet'!$E$17+1,1))-AVERAGE(OFFSET($H$3,0,0,'Données projet'!$E$17+1,1))</f>
        <v>142.93037460866543</v>
      </c>
      <c r="GF110" s="62">
        <f t="shared" si="104"/>
        <v>146.18554498808049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3</v>
      </c>
      <c r="GU110" s="13">
        <f>IF('Données projet'!$A$270&gt;35,GU109+GT110-HC109,IF(A110&lt;'Données projet'!$A$270,$GR$205^A110,IF(A110='Données projet'!$A$270,'Données projet'!$B$270,GU109+GT110-HC109)))</f>
        <v>181.00000000000006</v>
      </c>
      <c r="GV110" s="18">
        <f>GU110*VLOOKUP('Données projet'!$B$18,Paramètres!$A$1:$I$89,3,0)*VLOOKUP('Données projet'!$B$18,Paramètres!$A$1:$I$89,5,0)</f>
        <v>155.29800000000006</v>
      </c>
      <c r="GW110" s="14">
        <f t="shared" si="105"/>
        <v>39.780132117539679</v>
      </c>
      <c r="GX110" s="22">
        <f t="shared" si="82"/>
        <v>339.76108010471495</v>
      </c>
      <c r="GY110" s="62">
        <f t="shared" si="83"/>
        <v>633.09441343804826</v>
      </c>
      <c r="GZ110" s="62">
        <f ca="1">AVERAGE(OFFSET($GY$3,0,0,'Données projet'!$E$18+1,1))-AVERAGE(OFFSET($H$3,0,0,'Données projet'!$E$18+1,1))</f>
        <v>188.08607733149256</v>
      </c>
      <c r="HA110" s="62">
        <f t="shared" si="106"/>
        <v>119.95698016603842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32.291999999999966</v>
      </c>
      <c r="D111" s="12">
        <f t="shared" si="86"/>
        <v>9.9308942483743312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325.93111349622262</v>
      </c>
      <c r="H111" s="70">
        <f t="shared" si="56"/>
        <v>330.20487414925191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3</v>
      </c>
      <c r="N111" s="14">
        <f>IF('Données projet'!$A$36&gt;35,N110+M111-V110,IF(A111&lt;'Données projet'!$A$36,$K$205^A111,IF(A111='Données projet'!$A$36,'Données projet'!$B$36,N110+M111-V110)))</f>
        <v>184.00000000000006</v>
      </c>
      <c r="O111" s="14">
        <f>N111*VLOOKUP('Données projet'!$B$9,Paramètres!$A$1:$I$89,3,0)*VLOOKUP('Données projet'!$B$9,Paramètres!$A$1:$I$89,5,0)</f>
        <v>198.05760000000006</v>
      </c>
      <c r="P111" s="14">
        <f t="shared" si="87"/>
        <v>49.317044830035982</v>
      </c>
      <c r="Q111" s="22">
        <f t="shared" si="107"/>
        <v>430.8441730789794</v>
      </c>
      <c r="R111" s="62">
        <f t="shared" si="55"/>
        <v>724.17750641231271</v>
      </c>
      <c r="S111" s="62">
        <f ca="1">AVERAGE(OFFSET($R$3,0,0,'Données projet'!$E$9+1,1))-AVERAGE(OFFSET($H$3,0,0,'Données projet'!$E$9+1,1))</f>
        <v>236.98575892380046</v>
      </c>
      <c r="T111" s="62">
        <f t="shared" si="88"/>
        <v>145.77678223659774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140.04898296125504</v>
      </c>
      <c r="AO111" s="62">
        <f t="shared" si="90"/>
        <v>129.5395511270716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5.4600000000000026</v>
      </c>
      <c r="BD111" s="13">
        <f>IF('Données projet'!$A$88&gt;35,BD110+BC111-BL110,IF(A111&lt;'Données projet'!$A$88,$BA$205^A111,IF(A111='Données projet'!$A$88,'Données projet'!$B$88,BD110+BC111-BL110)))</f>
        <v>250.63230769230708</v>
      </c>
      <c r="BE111" s="14">
        <f>BD111*VLOOKUP('Données projet'!$B$11,Paramètres!$A$1:$I$89,3,0)*VLOOKUP('Données projet'!$B$11,Paramètres!$A$1:$I$89,5,0)</f>
        <v>117.29591999999971</v>
      </c>
      <c r="BF111" s="14">
        <f t="shared" si="91"/>
        <v>31.043482893881698</v>
      </c>
      <c r="BG111" s="22">
        <f t="shared" si="61"/>
        <v>258.35779337351011</v>
      </c>
      <c r="BH111" s="62">
        <f t="shared" si="62"/>
        <v>551.69112670684342</v>
      </c>
      <c r="BI111" s="62">
        <f ca="1">AVERAGE(OFFSET($BH$3,0,0,'Données projet'!$E$11+1,1))-AVERAGE(OFFSET($H$3,0,0,'Données projet'!$E$11+1,1))</f>
        <v>207.84100251878419</v>
      </c>
      <c r="BJ111" s="62">
        <f t="shared" si="92"/>
        <v>124.34917784241952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-5.6843418860808015E-14</v>
      </c>
      <c r="BZ111" s="14">
        <f>BY111*VLOOKUP('Données projet'!$B$12,Paramètres!$A$1:$I$89,3,0)*VLOOKUP('Données projet'!$B$12,Paramètres!$A$1:$I$89,5,0)</f>
        <v>-2.9558577807620169E-14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211.05980622218578</v>
      </c>
      <c r="CE111" s="62">
        <f t="shared" si="94"/>
        <v>168.57746894604855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1.3833333333333342</v>
      </c>
      <c r="CT111" s="13">
        <f>IF('Données projet'!$A$140&gt;35,CT110+CS111-DB110,IF(A111&lt;'Données projet'!$A$140,$CQ$205^A111,IF(A111='Données projet'!$A$140,'Données projet'!$B$140,CT110+CS111-DB110)))</f>
        <v>113.76666666666664</v>
      </c>
      <c r="CU111" s="18">
        <f>CT111*VLOOKUP('Données projet'!$B$13,Paramètres!$A$1:$I$89,3,0)*VLOOKUP('Données projet'!$B$13,Paramètres!$A$1:$I$89,5,0)</f>
        <v>131.05919999999995</v>
      </c>
      <c r="CV111" s="14">
        <f t="shared" si="95"/>
        <v>34.240993644452693</v>
      </c>
      <c r="CW111" s="22">
        <f t="shared" si="67"/>
        <v>287.89783726408837</v>
      </c>
      <c r="CX111" s="62">
        <f t="shared" si="68"/>
        <v>581.23117059742162</v>
      </c>
      <c r="CY111" s="62">
        <f ca="1">AVERAGE(OFFSET($CX$3,0,0,'Données projet'!$E$13+1,1))-AVERAGE(OFFSET($H$3,0,0,'Données projet'!$E$13+1,1))</f>
        <v>191.79777926975839</v>
      </c>
      <c r="CZ111" s="62">
        <f t="shared" si="96"/>
        <v>156.66161375678712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4.4859999999999998</v>
      </c>
      <c r="DO111" s="13">
        <f>IF('Données projet'!$A$166&gt;35,DO110+DN111-DW110,IF(A111&lt;'Données projet'!$A$166,$DL$205^A111,IF(A111='Données projet'!$A$166,'Données projet'!$B$166,DO110+DN111-DW110)))</f>
        <v>265.36800000000022</v>
      </c>
      <c r="DP111" s="18">
        <f>DO111*VLOOKUP('Données projet'!$B$14,Paramètres!$A$1:$I$89,3,0)*VLOOKUP('Données projet'!$B$14,Paramètres!$A$1:$I$89,5,0)</f>
        <v>289.78185600000023</v>
      </c>
      <c r="DQ111" s="14">
        <f t="shared" si="97"/>
        <v>69.030046838048563</v>
      </c>
      <c r="DR111" s="22">
        <f t="shared" si="70"/>
        <v>624.93073077626832</v>
      </c>
      <c r="DS111" s="62">
        <f t="shared" si="71"/>
        <v>918.26406410960158</v>
      </c>
      <c r="DT111" s="62">
        <f ca="1">AVERAGE(OFFSET($DS$3,0,0,'Données projet'!$E$14+1,1))-AVERAGE(OFFSET($H$3,0,0,'Données projet'!$E$14+1,1))</f>
        <v>541.0854688453461</v>
      </c>
      <c r="DU111" s="62">
        <f t="shared" si="98"/>
        <v>171.04847168584473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5.1159076974727213E-13</v>
      </c>
      <c r="EK111" s="18">
        <f>EJ111*VLOOKUP('Données projet'!$B$15,Paramètres!$A$1:$I$89,3,0)*VLOOKUP('Données projet'!$B$15,Paramètres!$A$1:$I$89,5,0)</f>
        <v>3.0593128030886877E-13</v>
      </c>
      <c r="EL111" s="14">
        <f t="shared" si="99"/>
        <v>4.0350537939347394E-12</v>
      </c>
      <c r="EM111" s="22">
        <f t="shared" si="73"/>
        <v>7.5605490043076185E-12</v>
      </c>
      <c r="EN111" s="62">
        <f t="shared" si="74"/>
        <v>293.33333333334087</v>
      </c>
      <c r="EO111" s="62">
        <f ca="1">AVERAGE(OFFSET($EN$3,0,0,'Données projet'!$E$15+1,1))-AVERAGE(OFFSET($H$3,0,0,'Données projet'!$E$15+1,1))</f>
        <v>244.01698421598974</v>
      </c>
      <c r="EP111" s="62">
        <f t="shared" si="100"/>
        <v>156.96653202915024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0.41372069831898128</v>
      </c>
      <c r="EX111" s="23">
        <f>EXP(-LN(2)/2)*EX110+(1-EXP(-LN(2)/2))/(LN(2)/2)*ER111*EU111*VLOOKUP('Données projet'!$B$15,Paramètres!$A$1:$I$89,3,0)*0.475*44/12</f>
        <v>1.8114036121001989E-11</v>
      </c>
      <c r="EY111" s="24">
        <f t="shared" si="75"/>
        <v>0.41372069833709529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-5.6843418860808015E-14</v>
      </c>
      <c r="FF111" s="18">
        <f>FE111*VLOOKUP('Données projet'!$B$16,Paramètres!$A$1:$I$89,3,0)*VLOOKUP('Données projet'!$B$16,Paramètres!$A$1:$I$89,5,0)</f>
        <v>-4.9658410716801891E-14</v>
      </c>
      <c r="FG111" s="14" t="e">
        <f t="shared" si="101"/>
        <v>#NUM!</v>
      </c>
      <c r="FH111" s="22" t="e">
        <f t="shared" si="76"/>
        <v>#NUM!</v>
      </c>
      <c r="FI111" s="62" t="e">
        <f t="shared" si="77"/>
        <v>#NUM!</v>
      </c>
      <c r="FJ111" s="62">
        <f ca="1">AVERAGE(OFFSET($FI$3,0,0,'Données projet'!$E$16+1,1))-AVERAGE(OFFSET($H$3,0,0,'Données projet'!$E$16+1,1))</f>
        <v>175.08726167127026</v>
      </c>
      <c r="FK111" s="62">
        <f t="shared" si="102"/>
        <v>196.05343924817117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8.5265128291212022E-14</v>
      </c>
      <c r="GA111" s="18">
        <f>FZ111*VLOOKUP('Données projet'!$B$17,Paramètres!$A$1:$I$89,3,0)*VLOOKUP('Données projet'!$B$17,Paramètres!$A$1:$I$89,5,0)</f>
        <v>5.5865712056402117E-14</v>
      </c>
      <c r="GB111" s="14">
        <f t="shared" si="103"/>
        <v>8.9811031843713517E-13</v>
      </c>
      <c r="GC111" s="22">
        <f t="shared" si="79"/>
        <v>1.6615082531095774E-12</v>
      </c>
      <c r="GD111" s="62">
        <f t="shared" si="80"/>
        <v>293.33333333333496</v>
      </c>
      <c r="GE111" s="62">
        <f ca="1">AVERAGE(OFFSET($GD$3,0,0,'Données projet'!$E$17+1,1))-AVERAGE(OFFSET($H$3,0,0,'Données projet'!$E$17+1,1))</f>
        <v>142.93037460866543</v>
      </c>
      <c r="GF111" s="62">
        <f t="shared" si="104"/>
        <v>146.18554498808049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3</v>
      </c>
      <c r="GU111" s="13">
        <f>IF('Données projet'!$A$270&gt;35,GU110+GT111-HC110,IF(A111&lt;'Données projet'!$A$270,$GR$205^A111,IF(A111='Données projet'!$A$270,'Données projet'!$B$270,GU110+GT111-HC110)))</f>
        <v>184.00000000000006</v>
      </c>
      <c r="GV111" s="18">
        <f>GU111*VLOOKUP('Données projet'!$B$18,Paramètres!$A$1:$I$89,3,0)*VLOOKUP('Données projet'!$B$18,Paramètres!$A$1:$I$89,5,0)</f>
        <v>157.87200000000007</v>
      </c>
      <c r="GW111" s="14">
        <f t="shared" si="105"/>
        <v>40.362165684361159</v>
      </c>
      <c r="GX111" s="22">
        <f t="shared" si="82"/>
        <v>345.25783856692919</v>
      </c>
      <c r="GY111" s="62">
        <f t="shared" si="83"/>
        <v>638.59117190026245</v>
      </c>
      <c r="GZ111" s="62">
        <f ca="1">AVERAGE(OFFSET($GY$3,0,0,'Données projet'!$E$18+1,1))-AVERAGE(OFFSET($H$3,0,0,'Données projet'!$E$18+1,1))</f>
        <v>188.08607733149256</v>
      </c>
      <c r="HA111" s="62">
        <f t="shared" si="106"/>
        <v>119.95698016603842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32.590999999999966</v>
      </c>
      <c r="D112" s="12">
        <f t="shared" si="86"/>
        <v>10.012100041480474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328.86603540791918</v>
      </c>
      <c r="H112" s="70">
        <f t="shared" si="56"/>
        <v>330.86706590557844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3</v>
      </c>
      <c r="N112" s="14">
        <f>IF('Données projet'!$A$36&gt;35,N111+M112-V111,IF(A112&lt;'Données projet'!$A$36,$K$205^A112,IF(A112='Données projet'!$A$36,'Données projet'!$B$36,N111+M112-V111)))</f>
        <v>187.00000000000006</v>
      </c>
      <c r="O112" s="14">
        <f>N112*VLOOKUP('Données projet'!$B$9,Paramètres!$A$1:$I$89,3,0)*VLOOKUP('Données projet'!$B$9,Paramètres!$A$1:$I$89,5,0)</f>
        <v>201.28680000000006</v>
      </c>
      <c r="P112" s="14">
        <f t="shared" si="87"/>
        <v>50.026861773677666</v>
      </c>
      <c r="Q112" s="22">
        <f t="shared" si="107"/>
        <v>437.70462758915534</v>
      </c>
      <c r="R112" s="62">
        <f t="shared" si="55"/>
        <v>731.03796092248865</v>
      </c>
      <c r="S112" s="62">
        <f ca="1">AVERAGE(OFFSET($R$3,0,0,'Données projet'!$E$9+1,1))-AVERAGE(OFFSET($H$3,0,0,'Données projet'!$E$9+1,1))</f>
        <v>236.98575892380046</v>
      </c>
      <c r="T112" s="62">
        <f t="shared" si="88"/>
        <v>145.77678223659774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140.04898296125504</v>
      </c>
      <c r="AO112" s="62">
        <f t="shared" si="90"/>
        <v>129.5395511270716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>
        <f>VLOOKUP(A112,'Données projet'!$A$87:$I$107,2,0)</f>
        <v>256.09230769230771</v>
      </c>
      <c r="BB112" s="13">
        <f>VLOOKUP(A112,'Données projet'!$A$87:$I$107,9,0)</f>
        <v>5.4600000000000026</v>
      </c>
      <c r="BC112" s="13">
        <f t="array" ref="BC112">INDEX(BB:BB,MIN(IF(ISNUMBER(BB112:BB308),ROW(BB112:BB308),"")))</f>
        <v>5.4600000000000026</v>
      </c>
      <c r="BD112" s="13">
        <f>IF('Données projet'!$A$88&gt;35,BD111+BC112-BL111,IF(A112&lt;'Données projet'!$A$88,$BA$205^A112,IF(A112='Données projet'!$A$88,'Données projet'!$B$88,BD111+BC112-BL111)))</f>
        <v>256.09230769230709</v>
      </c>
      <c r="BE112" s="14">
        <f>BD112*VLOOKUP('Données projet'!$B$11,Paramètres!$A$1:$I$89,3,0)*VLOOKUP('Données projet'!$B$11,Paramètres!$A$1:$I$89,5,0)</f>
        <v>119.85119999999972</v>
      </c>
      <c r="BF112" s="14">
        <f t="shared" si="91"/>
        <v>31.640291631938162</v>
      </c>
      <c r="BG112" s="22">
        <f t="shared" si="61"/>
        <v>263.84768125895852</v>
      </c>
      <c r="BH112" s="62">
        <f t="shared" si="62"/>
        <v>557.18101459229183</v>
      </c>
      <c r="BI112" s="62">
        <f ca="1">AVERAGE(OFFSET($BH$3,0,0,'Données projet'!$E$11+1,1))-AVERAGE(OFFSET($H$3,0,0,'Données projet'!$E$11+1,1))</f>
        <v>207.84100251878419</v>
      </c>
      <c r="BJ112" s="62">
        <f t="shared" si="92"/>
        <v>124.34917784241952</v>
      </c>
      <c r="BK112" s="16">
        <f>IF(ISNA(VLOOKUP(A112,'Données projet'!$A$87:$I$107,3,0)),0,VLOOKUP(A112,'Données projet'!$A$87:$I$107,3,0))</f>
        <v>6</v>
      </c>
      <c r="BL112" s="16">
        <f>IF(ISNA(VLOOKUP(A112,'Données projet'!$A$87:$I$107,4,0)),0,VLOOKUP(A112,'Données projet'!$A$87:$I$107,4,0))</f>
        <v>256.09230769230771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-5.6843418860808015E-14</v>
      </c>
      <c r="BZ112" s="14">
        <f>BY112*VLOOKUP('Données projet'!$B$12,Paramètres!$A$1:$I$89,3,0)*VLOOKUP('Données projet'!$B$12,Paramètres!$A$1:$I$89,5,0)</f>
        <v>-2.9558577807620169E-14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211.05980622218578</v>
      </c>
      <c r="CE112" s="62">
        <f t="shared" si="94"/>
        <v>168.57746894604855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1.3833333333333342</v>
      </c>
      <c r="CT112" s="13">
        <f>IF('Données projet'!$A$140&gt;35,CT111+CS112-DB111,IF(A112&lt;'Données projet'!$A$140,$CQ$205^A112,IF(A112='Données projet'!$A$140,'Données projet'!$B$140,CT111+CS112-DB111)))</f>
        <v>115.14999999999998</v>
      </c>
      <c r="CU112" s="18">
        <f>CT112*VLOOKUP('Données projet'!$B$13,Paramètres!$A$1:$I$89,3,0)*VLOOKUP('Données projet'!$B$13,Paramètres!$A$1:$I$89,5,0)</f>
        <v>132.65279999999996</v>
      </c>
      <c r="CV112" s="14">
        <f t="shared" si="95"/>
        <v>34.608620990190566</v>
      </c>
      <c r="CW112" s="22">
        <f t="shared" si="67"/>
        <v>291.31364155791516</v>
      </c>
      <c r="CX112" s="62">
        <f t="shared" si="68"/>
        <v>584.64697489124842</v>
      </c>
      <c r="CY112" s="62">
        <f ca="1">AVERAGE(OFFSET($CX$3,0,0,'Données projet'!$E$13+1,1))-AVERAGE(OFFSET($H$3,0,0,'Données projet'!$E$13+1,1))</f>
        <v>191.79777926975839</v>
      </c>
      <c r="CZ112" s="62">
        <f t="shared" si="96"/>
        <v>156.66161375678712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4.4859999999999998</v>
      </c>
      <c r="DO112" s="13">
        <f>IF('Données projet'!$A$166&gt;35,DO111+DN112-DW111,IF(A112&lt;'Données projet'!$A$166,$DL$205^A112,IF(A112='Données projet'!$A$166,'Données projet'!$B$166,DO111+DN112-DW111)))</f>
        <v>269.85400000000021</v>
      </c>
      <c r="DP112" s="18">
        <f>DO112*VLOOKUP('Données projet'!$B$14,Paramètres!$A$1:$I$89,3,0)*VLOOKUP('Données projet'!$B$14,Paramètres!$A$1:$I$89,5,0)</f>
        <v>294.68056800000022</v>
      </c>
      <c r="DQ112" s="14">
        <f t="shared" si="97"/>
        <v>70.0601477326164</v>
      </c>
      <c r="DR112" s="22">
        <f t="shared" si="70"/>
        <v>635.25674656764068</v>
      </c>
      <c r="DS112" s="62">
        <f t="shared" si="71"/>
        <v>928.59007990097393</v>
      </c>
      <c r="DT112" s="62">
        <f ca="1">AVERAGE(OFFSET($DS$3,0,0,'Données projet'!$E$14+1,1))-AVERAGE(OFFSET($H$3,0,0,'Données projet'!$E$14+1,1))</f>
        <v>541.0854688453461</v>
      </c>
      <c r="DU112" s="62">
        <f t="shared" si="98"/>
        <v>171.04847168584473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5.1159076974727213E-13</v>
      </c>
      <c r="EK112" s="18">
        <f>EJ112*VLOOKUP('Données projet'!$B$15,Paramètres!$A$1:$I$89,3,0)*VLOOKUP('Données projet'!$B$15,Paramètres!$A$1:$I$89,5,0)</f>
        <v>3.0593128030886877E-13</v>
      </c>
      <c r="EL112" s="14">
        <f t="shared" si="99"/>
        <v>4.0350537939347394E-12</v>
      </c>
      <c r="EM112" s="22">
        <f t="shared" si="73"/>
        <v>7.5605490043076185E-12</v>
      </c>
      <c r="EN112" s="62">
        <f t="shared" si="74"/>
        <v>293.33333333334087</v>
      </c>
      <c r="EO112" s="62">
        <f ca="1">AVERAGE(OFFSET($EN$3,0,0,'Données projet'!$E$15+1,1))-AVERAGE(OFFSET($H$3,0,0,'Données projet'!$E$15+1,1))</f>
        <v>244.01698421598974</v>
      </c>
      <c r="EP112" s="62">
        <f t="shared" si="100"/>
        <v>156.96653202915024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0.40240748406682281</v>
      </c>
      <c r="EX112" s="23">
        <f>EXP(-LN(2)/2)*EX111+(1-EXP(-LN(2)/2))/(LN(2)/2)*ER112*EU112*VLOOKUP('Données projet'!$B$15,Paramètres!$A$1:$I$89,3,0)*0.475*44/12</f>
        <v>1.2808557775818572E-11</v>
      </c>
      <c r="EY112" s="24">
        <f t="shared" si="75"/>
        <v>0.40240748407963134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-5.6843418860808015E-14</v>
      </c>
      <c r="FF112" s="18">
        <f>FE112*VLOOKUP('Données projet'!$B$16,Paramètres!$A$1:$I$89,3,0)*VLOOKUP('Données projet'!$B$16,Paramètres!$A$1:$I$89,5,0)</f>
        <v>-4.9658410716801891E-14</v>
      </c>
      <c r="FG112" s="14" t="e">
        <f t="shared" si="101"/>
        <v>#NUM!</v>
      </c>
      <c r="FH112" s="22" t="e">
        <f t="shared" si="76"/>
        <v>#NUM!</v>
      </c>
      <c r="FI112" s="62" t="e">
        <f t="shared" si="77"/>
        <v>#NUM!</v>
      </c>
      <c r="FJ112" s="62">
        <f ca="1">AVERAGE(OFFSET($FI$3,0,0,'Données projet'!$E$16+1,1))-AVERAGE(OFFSET($H$3,0,0,'Données projet'!$E$16+1,1))</f>
        <v>175.08726167127026</v>
      </c>
      <c r="FK112" s="62">
        <f t="shared" si="102"/>
        <v>196.05343924817117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8.5265128291212022E-14</v>
      </c>
      <c r="GA112" s="18">
        <f>FZ112*VLOOKUP('Données projet'!$B$17,Paramètres!$A$1:$I$89,3,0)*VLOOKUP('Données projet'!$B$17,Paramètres!$A$1:$I$89,5,0)</f>
        <v>5.5865712056402117E-14</v>
      </c>
      <c r="GB112" s="14">
        <f t="shared" si="103"/>
        <v>8.9811031843713517E-13</v>
      </c>
      <c r="GC112" s="22">
        <f t="shared" si="79"/>
        <v>1.6615082531095774E-12</v>
      </c>
      <c r="GD112" s="62">
        <f t="shared" si="80"/>
        <v>293.33333333333496</v>
      </c>
      <c r="GE112" s="62">
        <f ca="1">AVERAGE(OFFSET($GD$3,0,0,'Données projet'!$E$17+1,1))-AVERAGE(OFFSET($H$3,0,0,'Données projet'!$E$17+1,1))</f>
        <v>142.93037460866543</v>
      </c>
      <c r="GF112" s="62">
        <f t="shared" si="104"/>
        <v>146.18554498808049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3</v>
      </c>
      <c r="GU112" s="13">
        <f>IF('Données projet'!$A$270&gt;35,GU111+GT112-HC111,IF(A112&lt;'Données projet'!$A$270,$GR$205^A112,IF(A112='Données projet'!$A$270,'Données projet'!$B$270,GU111+GT112-HC111)))</f>
        <v>187.00000000000006</v>
      </c>
      <c r="GV112" s="18">
        <f>GU112*VLOOKUP('Données projet'!$B$18,Paramètres!$A$1:$I$89,3,0)*VLOOKUP('Données projet'!$B$18,Paramètres!$A$1:$I$89,5,0)</f>
        <v>160.44600000000005</v>
      </c>
      <c r="GW112" s="14">
        <f t="shared" si="105"/>
        <v>40.943095648505796</v>
      </c>
      <c r="GX112" s="22">
        <f t="shared" si="82"/>
        <v>350.75267492114767</v>
      </c>
      <c r="GY112" s="62">
        <f t="shared" si="83"/>
        <v>644.08600825448093</v>
      </c>
      <c r="GZ112" s="62">
        <f ca="1">AVERAGE(OFFSET($GY$3,0,0,'Données projet'!$E$18+1,1))-AVERAGE(OFFSET($H$3,0,0,'Données projet'!$E$18+1,1))</f>
        <v>188.08607733149256</v>
      </c>
      <c r="HA112" s="62">
        <f t="shared" si="106"/>
        <v>119.95698016603842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32.889999999999965</v>
      </c>
      <c r="D113" s="12">
        <f t="shared" si="86"/>
        <v>10.093219160740313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331.80028825834603</v>
      </c>
      <c r="H113" s="70">
        <f t="shared" si="56"/>
        <v>331.52910670495601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190</v>
      </c>
      <c r="L113" s="13">
        <f>VLOOKUP(A113,'Données projet'!$A$35:$I$55,9,0)</f>
        <v>3</v>
      </c>
      <c r="M113" s="13">
        <f t="array" ref="M113">INDEX(L:L,MIN(IF(ISNUMBER(L113:L309),ROW(L113:L309),"")))</f>
        <v>3</v>
      </c>
      <c r="N113" s="14">
        <f>IF('Données projet'!$A$36&gt;35,N112+M113-V112,IF(A113&lt;'Données projet'!$A$36,$K$205^A113,IF(A113='Données projet'!$A$36,'Données projet'!$B$36,N112+M113-V112)))</f>
        <v>190.00000000000006</v>
      </c>
      <c r="O113" s="14">
        <f>N113*VLOOKUP('Données projet'!$B$9,Paramètres!$A$1:$I$89,3,0)*VLOOKUP('Données projet'!$B$9,Paramètres!$A$1:$I$89,5,0)</f>
        <v>204.51600000000005</v>
      </c>
      <c r="P113" s="14">
        <f t="shared" si="87"/>
        <v>50.735354396355888</v>
      </c>
      <c r="Q113" s="22">
        <f t="shared" si="107"/>
        <v>444.5627755736532</v>
      </c>
      <c r="R113" s="62">
        <f t="shared" si="55"/>
        <v>737.89610890698646</v>
      </c>
      <c r="S113" s="62">
        <f ca="1">AVERAGE(OFFSET($R$3,0,0,'Données projet'!$E$9+1,1))-AVERAGE(OFFSET($H$3,0,0,'Données projet'!$E$9+1,1))</f>
        <v>236.98575892380046</v>
      </c>
      <c r="T113" s="62">
        <f t="shared" si="88"/>
        <v>145.77678223659774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140.04898296125504</v>
      </c>
      <c r="AO113" s="62">
        <f t="shared" si="90"/>
        <v>129.5395511270716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-6.2527760746888816E-13</v>
      </c>
      <c r="BE113" s="14">
        <f>BD113*VLOOKUP('Données projet'!$B$11,Paramètres!$A$1:$I$89,3,0)*VLOOKUP('Données projet'!$B$11,Paramètres!$A$1:$I$89,5,0)</f>
        <v>-2.9262992029543964E-13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207.84100251878419</v>
      </c>
      <c r="BJ113" s="62">
        <f t="shared" si="92"/>
        <v>124.34917784241952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-5.6843418860808015E-14</v>
      </c>
      <c r="BZ113" s="14">
        <f>BY113*VLOOKUP('Données projet'!$B$12,Paramètres!$A$1:$I$89,3,0)*VLOOKUP('Données projet'!$B$12,Paramètres!$A$1:$I$89,5,0)</f>
        <v>-2.9558577807620169E-14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211.05980622218578</v>
      </c>
      <c r="CE113" s="62">
        <f t="shared" si="94"/>
        <v>168.57746894604855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116.53333333333335</v>
      </c>
      <c r="CR113" s="13">
        <f>VLOOKUP(A113,'Données projet'!$A$139:$I$159,9,0)</f>
        <v>1.3833333333333342</v>
      </c>
      <c r="CS113" s="13">
        <f t="array" ref="CS113">INDEX(CR:CR,MIN(IF(ISNUMBER(CR113:CR309),ROW(CR113:CR309),"")))</f>
        <v>1.3833333333333342</v>
      </c>
      <c r="CT113" s="13">
        <f>IF('Données projet'!$A$140&gt;35,CT112+CS113-DB112,IF(A113&lt;'Données projet'!$A$140,$CQ$205^A113,IF(A113='Données projet'!$A$140,'Données projet'!$B$140,CT112+CS113-DB112)))</f>
        <v>116.53333333333332</v>
      </c>
      <c r="CU113" s="18">
        <f>CT113*VLOOKUP('Données projet'!$B$13,Paramètres!$A$1:$I$89,3,0)*VLOOKUP('Données projet'!$B$13,Paramètres!$A$1:$I$89,5,0)</f>
        <v>134.24639999999997</v>
      </c>
      <c r="CV113" s="14">
        <f t="shared" si="95"/>
        <v>34.975734610428823</v>
      </c>
      <c r="CW113" s="22">
        <f t="shared" si="67"/>
        <v>294.72855111316346</v>
      </c>
      <c r="CX113" s="62">
        <f t="shared" si="68"/>
        <v>588.06188444649683</v>
      </c>
      <c r="CY113" s="62">
        <f ca="1">AVERAGE(OFFSET($CX$3,0,0,'Données projet'!$E$13+1,1))-AVERAGE(OFFSET($H$3,0,0,'Données projet'!$E$13+1,1))</f>
        <v>191.79777926975839</v>
      </c>
      <c r="CZ113" s="62">
        <f t="shared" si="96"/>
        <v>156.66161375678712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9.0416666666666661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4.4859999999999998</v>
      </c>
      <c r="DO113" s="13">
        <f>IF('Données projet'!$A$166&gt;35,DO112+DN113-DW112,IF(A113&lt;'Données projet'!$A$166,$DL$205^A113,IF(A113='Données projet'!$A$166,'Données projet'!$B$166,DO112+DN113-DW112)))</f>
        <v>274.3400000000002</v>
      </c>
      <c r="DP113" s="18">
        <f>DO113*VLOOKUP('Données projet'!$B$14,Paramètres!$A$1:$I$89,3,0)*VLOOKUP('Données projet'!$B$14,Paramètres!$A$1:$I$89,5,0)</f>
        <v>299.57928000000021</v>
      </c>
      <c r="DQ113" s="14">
        <f t="shared" si="97"/>
        <v>71.088257201115098</v>
      </c>
      <c r="DR113" s="22">
        <f t="shared" si="70"/>
        <v>645.57929395860913</v>
      </c>
      <c r="DS113" s="62">
        <f t="shared" si="71"/>
        <v>938.9126272919425</v>
      </c>
      <c r="DT113" s="62">
        <f ca="1">AVERAGE(OFFSET($DS$3,0,0,'Données projet'!$E$14+1,1))-AVERAGE(OFFSET($H$3,0,0,'Données projet'!$E$14+1,1))</f>
        <v>541.0854688453461</v>
      </c>
      <c r="DU113" s="62">
        <f t="shared" si="98"/>
        <v>171.04847168584473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5.1159076974727213E-13</v>
      </c>
      <c r="EK113" s="18">
        <f>EJ113*VLOOKUP('Données projet'!$B$15,Paramètres!$A$1:$I$89,3,0)*VLOOKUP('Données projet'!$B$15,Paramètres!$A$1:$I$89,5,0)</f>
        <v>3.0593128030886877E-13</v>
      </c>
      <c r="EL113" s="14">
        <f t="shared" si="99"/>
        <v>4.0350537939347394E-12</v>
      </c>
      <c r="EM113" s="22">
        <f t="shared" si="73"/>
        <v>7.5605490043076185E-12</v>
      </c>
      <c r="EN113" s="62">
        <f t="shared" si="74"/>
        <v>293.33333333334087</v>
      </c>
      <c r="EO113" s="62">
        <f ca="1">AVERAGE(OFFSET($EN$3,0,0,'Données projet'!$E$15+1,1))-AVERAGE(OFFSET($H$3,0,0,'Données projet'!$E$15+1,1))</f>
        <v>244.01698421598974</v>
      </c>
      <c r="EP113" s="62">
        <f t="shared" si="100"/>
        <v>156.96653202915024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0.39140363025332564</v>
      </c>
      <c r="EX113" s="23">
        <f>EXP(-LN(2)/2)*EX112+(1-EXP(-LN(2)/2))/(LN(2)/2)*ER113*EU113*VLOOKUP('Données projet'!$B$15,Paramètres!$A$1:$I$89,3,0)*0.475*44/12</f>
        <v>9.0570180605009947E-12</v>
      </c>
      <c r="EY113" s="24">
        <f t="shared" si="75"/>
        <v>0.39140363026238267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-5.6843418860808015E-14</v>
      </c>
      <c r="FF113" s="18">
        <f>FE113*VLOOKUP('Données projet'!$B$16,Paramètres!$A$1:$I$89,3,0)*VLOOKUP('Données projet'!$B$16,Paramètres!$A$1:$I$89,5,0)</f>
        <v>-4.9658410716801891E-14</v>
      </c>
      <c r="FG113" s="14" t="e">
        <f t="shared" si="101"/>
        <v>#NUM!</v>
      </c>
      <c r="FH113" s="22" t="e">
        <f t="shared" si="76"/>
        <v>#NUM!</v>
      </c>
      <c r="FI113" s="62" t="e">
        <f t="shared" si="77"/>
        <v>#NUM!</v>
      </c>
      <c r="FJ113" s="62">
        <f ca="1">AVERAGE(OFFSET($FI$3,0,0,'Données projet'!$E$16+1,1))-AVERAGE(OFFSET($H$3,0,0,'Données projet'!$E$16+1,1))</f>
        <v>175.08726167127026</v>
      </c>
      <c r="FK113" s="62">
        <f t="shared" si="102"/>
        <v>196.05343924817117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8.5265128291212022E-14</v>
      </c>
      <c r="GA113" s="18">
        <f>FZ113*VLOOKUP('Données projet'!$B$17,Paramètres!$A$1:$I$89,3,0)*VLOOKUP('Données projet'!$B$17,Paramètres!$A$1:$I$89,5,0)</f>
        <v>5.5865712056402117E-14</v>
      </c>
      <c r="GB113" s="14">
        <f t="shared" si="103"/>
        <v>8.9811031843713517E-13</v>
      </c>
      <c r="GC113" s="22">
        <f t="shared" si="79"/>
        <v>1.6615082531095774E-12</v>
      </c>
      <c r="GD113" s="62">
        <f t="shared" si="80"/>
        <v>293.33333333333496</v>
      </c>
      <c r="GE113" s="62">
        <f ca="1">AVERAGE(OFFSET($GD$3,0,0,'Données projet'!$E$17+1,1))-AVERAGE(OFFSET($H$3,0,0,'Données projet'!$E$17+1,1))</f>
        <v>142.93037460866543</v>
      </c>
      <c r="GF113" s="62">
        <f t="shared" si="104"/>
        <v>146.18554498808049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>
        <f>VLOOKUP(A113,'Données projet'!$A$269:$I$289,2,0)</f>
        <v>190</v>
      </c>
      <c r="GS113" s="13">
        <f>VLOOKUP(A113,'Données projet'!$A$269:$I$289,9,0)</f>
        <v>3</v>
      </c>
      <c r="GT113" s="13">
        <f t="array" ref="GT113">INDEX(GS:GS,MIN(IF(ISNUMBER(GS113:GS309),ROW(GS113:GS309),"")))</f>
        <v>3</v>
      </c>
      <c r="GU113" s="13">
        <f>IF('Données projet'!$A$270&gt;35,GU112+GT113-HC112,IF(A113&lt;'Données projet'!$A$270,$GR$205^A113,IF(A113='Données projet'!$A$270,'Données projet'!$B$270,GU112+GT113-HC112)))</f>
        <v>190.00000000000006</v>
      </c>
      <c r="GV113" s="18">
        <f>GU113*VLOOKUP('Données projet'!$B$18,Paramètres!$A$1:$I$89,3,0)*VLOOKUP('Données projet'!$B$18,Paramètres!$A$1:$I$89,5,0)</f>
        <v>163.02000000000007</v>
      </c>
      <c r="GW113" s="14">
        <f t="shared" si="105"/>
        <v>41.52294175893757</v>
      </c>
      <c r="GX113" s="22">
        <f t="shared" si="82"/>
        <v>356.24562356348309</v>
      </c>
      <c r="GY113" s="62">
        <f t="shared" si="83"/>
        <v>649.57895689681641</v>
      </c>
      <c r="GZ113" s="62">
        <f ca="1">AVERAGE(OFFSET($GY$3,0,0,'Données projet'!$E$18+1,1))-AVERAGE(OFFSET($H$3,0,0,'Données projet'!$E$18+1,1))</f>
        <v>188.08607733149256</v>
      </c>
      <c r="HA113" s="62">
        <f t="shared" si="106"/>
        <v>119.95698016603842</v>
      </c>
      <c r="HB113" s="16">
        <f>IF(ISNA(VLOOKUP(A113,'Données projet'!$A$269:$I$289,3,0)),0,VLOOKUP(A113,'Données projet'!$A$269:$I$289,3,0))</f>
        <v>9</v>
      </c>
      <c r="HC113" s="16">
        <f>IF(ISNA(VLOOKUP(A113,'Données projet'!$A$269:$I$289,4,0)),0,VLOOKUP(A113,'Données projet'!$A$269:$I$289,4,0))</f>
        <v>19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33.188999999999965</v>
      </c>
      <c r="D114" s="12">
        <f t="shared" si="86"/>
        <v>10.174252485373664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334.73387883446316</v>
      </c>
      <c r="H114" s="70">
        <f t="shared" si="56"/>
        <v>332.19099807869242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</v>
      </c>
      <c r="N114" s="14">
        <f>IF('Données projet'!$A$36&gt;35,N113+M114-V113,IF(A114&lt;'Données projet'!$A$36,$K$205^A114,IF(A114='Données projet'!$A$36,'Données projet'!$B$36,N113+M114-V113)))</f>
        <v>174.00000000000006</v>
      </c>
      <c r="O114" s="14">
        <f>N114*VLOOKUP('Données projet'!$B$9,Paramètres!$A$1:$I$89,3,0)*VLOOKUP('Données projet'!$B$9,Paramètres!$A$1:$I$89,5,0)</f>
        <v>187.29360000000005</v>
      </c>
      <c r="P114" s="14">
        <f t="shared" si="87"/>
        <v>46.941107550760456</v>
      </c>
      <c r="Q114" s="22">
        <f t="shared" si="107"/>
        <v>407.9587823175745</v>
      </c>
      <c r="R114" s="62">
        <f t="shared" si="55"/>
        <v>701.29211565090782</v>
      </c>
      <c r="S114" s="62">
        <f ca="1">AVERAGE(OFFSET($R$3,0,0,'Données projet'!$E$9+1,1))-AVERAGE(OFFSET($H$3,0,0,'Données projet'!$E$9+1,1))</f>
        <v>236.98575892380046</v>
      </c>
      <c r="T114" s="62">
        <f t="shared" si="88"/>
        <v>145.77678223659774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140.04898296125504</v>
      </c>
      <c r="AO114" s="62">
        <f t="shared" si="90"/>
        <v>129.5395511270716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-6.2527760746888816E-13</v>
      </c>
      <c r="BE114" s="14">
        <f>BD114*VLOOKUP('Données projet'!$B$11,Paramètres!$A$1:$I$89,3,0)*VLOOKUP('Données projet'!$B$11,Paramètres!$A$1:$I$89,5,0)</f>
        <v>-2.9262992029543964E-13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207.84100251878419</v>
      </c>
      <c r="BJ114" s="62">
        <f t="shared" si="92"/>
        <v>124.34917784241952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-5.6843418860808015E-14</v>
      </c>
      <c r="BZ114" s="14">
        <f>BY114*VLOOKUP('Données projet'!$B$12,Paramètres!$A$1:$I$89,3,0)*VLOOKUP('Données projet'!$B$12,Paramètres!$A$1:$I$89,5,0)</f>
        <v>-2.9558577807620169E-14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211.05980622218578</v>
      </c>
      <c r="CE114" s="62">
        <f t="shared" si="94"/>
        <v>168.57746894604855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1.3150000000000006</v>
      </c>
      <c r="CT114" s="13">
        <f>IF('Données projet'!$A$140&gt;35,CT113+CS114-DB113,IF(A114&lt;'Données projet'!$A$140,$CQ$205^A114,IF(A114='Données projet'!$A$140,'Données projet'!$B$140,CT113+CS114-DB113)))</f>
        <v>108.80666666666664</v>
      </c>
      <c r="CU114" s="18">
        <f>CT114*VLOOKUP('Données projet'!$B$13,Paramètres!$A$1:$I$89,3,0)*VLOOKUP('Données projet'!$B$13,Paramètres!$A$1:$I$89,5,0)</f>
        <v>125.34527999999997</v>
      </c>
      <c r="CV114" s="14">
        <f t="shared" si="95"/>
        <v>32.918518403213277</v>
      </c>
      <c r="CW114" s="22">
        <f t="shared" si="67"/>
        <v>275.64278221892977</v>
      </c>
      <c r="CX114" s="62">
        <f t="shared" si="68"/>
        <v>568.97611555226308</v>
      </c>
      <c r="CY114" s="62">
        <f ca="1">AVERAGE(OFFSET($CX$3,0,0,'Données projet'!$E$13+1,1))-AVERAGE(OFFSET($H$3,0,0,'Données projet'!$E$13+1,1))</f>
        <v>191.79777926975839</v>
      </c>
      <c r="CZ114" s="62">
        <f t="shared" si="96"/>
        <v>156.66161375678712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4.4859999999999998</v>
      </c>
      <c r="DO114" s="13">
        <f>IF('Données projet'!$A$166&gt;35,DO113+DN114-DW113,IF(A114&lt;'Données projet'!$A$166,$DL$205^A114,IF(A114='Données projet'!$A$166,'Données projet'!$B$166,DO113+DN114-DW113)))</f>
        <v>278.82600000000019</v>
      </c>
      <c r="DP114" s="18">
        <f>DO114*VLOOKUP('Données projet'!$B$14,Paramètres!$A$1:$I$89,3,0)*VLOOKUP('Données projet'!$B$14,Paramètres!$A$1:$I$89,5,0)</f>
        <v>304.4779920000002</v>
      </c>
      <c r="DQ114" s="14">
        <f t="shared" si="97"/>
        <v>72.1144115663934</v>
      </c>
      <c r="DR114" s="22">
        <f t="shared" si="70"/>
        <v>655.89843621146883</v>
      </c>
      <c r="DS114" s="62">
        <f t="shared" si="71"/>
        <v>949.23176954480209</v>
      </c>
      <c r="DT114" s="62">
        <f ca="1">AVERAGE(OFFSET($DS$3,0,0,'Données projet'!$E$14+1,1))-AVERAGE(OFFSET($H$3,0,0,'Données projet'!$E$14+1,1))</f>
        <v>541.0854688453461</v>
      </c>
      <c r="DU114" s="62">
        <f t="shared" si="98"/>
        <v>171.04847168584473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5.1159076974727213E-13</v>
      </c>
      <c r="EK114" s="18">
        <f>EJ114*VLOOKUP('Données projet'!$B$15,Paramètres!$A$1:$I$89,3,0)*VLOOKUP('Données projet'!$B$15,Paramètres!$A$1:$I$89,5,0)</f>
        <v>3.0593128030886877E-13</v>
      </c>
      <c r="EL114" s="14">
        <f t="shared" si="99"/>
        <v>4.0350537939347394E-12</v>
      </c>
      <c r="EM114" s="22">
        <f t="shared" si="73"/>
        <v>7.5605490043076185E-12</v>
      </c>
      <c r="EN114" s="62">
        <f t="shared" si="74"/>
        <v>293.33333333334087</v>
      </c>
      <c r="EO114" s="62">
        <f ca="1">AVERAGE(OFFSET($EN$3,0,0,'Données projet'!$E$15+1,1))-AVERAGE(OFFSET($H$3,0,0,'Données projet'!$E$15+1,1))</f>
        <v>244.01698421598974</v>
      </c>
      <c r="EP114" s="62">
        <f t="shared" si="100"/>
        <v>156.96653202915024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0.38070067740102609</v>
      </c>
      <c r="EX114" s="23">
        <f>EXP(-LN(2)/2)*EX113+(1-EXP(-LN(2)/2))/(LN(2)/2)*ER114*EU114*VLOOKUP('Données projet'!$B$15,Paramètres!$A$1:$I$89,3,0)*0.475*44/12</f>
        <v>6.404278887909286E-12</v>
      </c>
      <c r="EY114" s="24">
        <f t="shared" si="75"/>
        <v>0.38070067740743035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-5.6843418860808015E-14</v>
      </c>
      <c r="FF114" s="18">
        <f>FE114*VLOOKUP('Données projet'!$B$16,Paramètres!$A$1:$I$89,3,0)*VLOOKUP('Données projet'!$B$16,Paramètres!$A$1:$I$89,5,0)</f>
        <v>-4.9658410716801891E-14</v>
      </c>
      <c r="FG114" s="14" t="e">
        <f t="shared" si="101"/>
        <v>#NUM!</v>
      </c>
      <c r="FH114" s="22" t="e">
        <f t="shared" si="76"/>
        <v>#NUM!</v>
      </c>
      <c r="FI114" s="62" t="e">
        <f t="shared" si="77"/>
        <v>#NUM!</v>
      </c>
      <c r="FJ114" s="62">
        <f ca="1">AVERAGE(OFFSET($FI$3,0,0,'Données projet'!$E$16+1,1))-AVERAGE(OFFSET($H$3,0,0,'Données projet'!$E$16+1,1))</f>
        <v>175.08726167127026</v>
      </c>
      <c r="FK114" s="62">
        <f t="shared" si="102"/>
        <v>196.05343924817117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8.5265128291212022E-14</v>
      </c>
      <c r="GA114" s="18">
        <f>FZ114*VLOOKUP('Données projet'!$B$17,Paramètres!$A$1:$I$89,3,0)*VLOOKUP('Données projet'!$B$17,Paramètres!$A$1:$I$89,5,0)</f>
        <v>5.5865712056402117E-14</v>
      </c>
      <c r="GB114" s="14">
        <f t="shared" si="103"/>
        <v>8.9811031843713517E-13</v>
      </c>
      <c r="GC114" s="22">
        <f t="shared" si="79"/>
        <v>1.6615082531095774E-12</v>
      </c>
      <c r="GD114" s="62">
        <f t="shared" si="80"/>
        <v>293.33333333333496</v>
      </c>
      <c r="GE114" s="62">
        <f ca="1">AVERAGE(OFFSET($GD$3,0,0,'Données projet'!$E$17+1,1))-AVERAGE(OFFSET($H$3,0,0,'Données projet'!$E$17+1,1))</f>
        <v>142.93037460866543</v>
      </c>
      <c r="GF114" s="62">
        <f t="shared" si="104"/>
        <v>146.18554498808049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3</v>
      </c>
      <c r="GU114" s="13">
        <f>IF('Données projet'!$A$270&gt;35,GU113+GT114-HC113,IF(A114&lt;'Données projet'!$A$270,$GR$205^A114,IF(A114='Données projet'!$A$270,'Données projet'!$B$270,GU113+GT114-HC113)))</f>
        <v>174.00000000000006</v>
      </c>
      <c r="GV114" s="18">
        <f>GU114*VLOOKUP('Données projet'!$B$18,Paramètres!$A$1:$I$89,3,0)*VLOOKUP('Données projet'!$B$18,Paramètres!$A$1:$I$89,5,0)</f>
        <v>149.29200000000009</v>
      </c>
      <c r="GW114" s="14">
        <f t="shared" si="105"/>
        <v>38.417645803815446</v>
      </c>
      <c r="GX114" s="22">
        <f t="shared" si="82"/>
        <v>326.92763310831202</v>
      </c>
      <c r="GY114" s="62">
        <f t="shared" si="83"/>
        <v>620.26096644164534</v>
      </c>
      <c r="GZ114" s="62">
        <f ca="1">AVERAGE(OFFSET($GY$3,0,0,'Données projet'!$E$18+1,1))-AVERAGE(OFFSET($H$3,0,0,'Données projet'!$E$18+1,1))</f>
        <v>188.08607733149256</v>
      </c>
      <c r="HA114" s="62">
        <f t="shared" si="106"/>
        <v>119.95698016603842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33.487999999999964</v>
      </c>
      <c r="D115" s="12">
        <f t="shared" si="86"/>
        <v>10.255200877844658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337.66681379388837</v>
      </c>
      <c r="H115" s="70">
        <f t="shared" si="56"/>
        <v>332.8527415289127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</v>
      </c>
      <c r="N115" s="14">
        <f>IF('Données projet'!$A$36&gt;35,N114+M115-V114,IF(A115&lt;'Données projet'!$A$36,$K$205^A115,IF(A115='Données projet'!$A$36,'Données projet'!$B$36,N114+M115-V114)))</f>
        <v>177.00000000000006</v>
      </c>
      <c r="O115" s="14">
        <f>N115*VLOOKUP('Données projet'!$B$9,Paramètres!$A$1:$I$89,3,0)*VLOOKUP('Données projet'!$B$9,Paramètres!$A$1:$I$89,5,0)</f>
        <v>190.52280000000005</v>
      </c>
      <c r="P115" s="14">
        <f t="shared" si="87"/>
        <v>47.655518017541539</v>
      </c>
      <c r="Q115" s="22">
        <f t="shared" si="107"/>
        <v>414.82723721388493</v>
      </c>
      <c r="R115" s="62">
        <f t="shared" si="55"/>
        <v>708.16057054721819</v>
      </c>
      <c r="S115" s="62">
        <f ca="1">AVERAGE(OFFSET($R$3,0,0,'Données projet'!$E$9+1,1))-AVERAGE(OFFSET($H$3,0,0,'Données projet'!$E$9+1,1))</f>
        <v>236.98575892380046</v>
      </c>
      <c r="T115" s="62">
        <f t="shared" si="88"/>
        <v>145.77678223659774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140.04898296125504</v>
      </c>
      <c r="AO115" s="62">
        <f t="shared" si="90"/>
        <v>129.5395511270716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-6.2527760746888816E-13</v>
      </c>
      <c r="BE115" s="14">
        <f>BD115*VLOOKUP('Données projet'!$B$11,Paramètres!$A$1:$I$89,3,0)*VLOOKUP('Données projet'!$B$11,Paramètres!$A$1:$I$89,5,0)</f>
        <v>-2.9262992029543964E-13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207.84100251878419</v>
      </c>
      <c r="BJ115" s="62">
        <f t="shared" si="92"/>
        <v>124.34917784241952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-5.6843418860808015E-14</v>
      </c>
      <c r="BZ115" s="14">
        <f>BY115*VLOOKUP('Données projet'!$B$12,Paramètres!$A$1:$I$89,3,0)*VLOOKUP('Données projet'!$B$12,Paramètres!$A$1:$I$89,5,0)</f>
        <v>-2.9558577807620169E-14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211.05980622218578</v>
      </c>
      <c r="CE115" s="62">
        <f t="shared" si="94"/>
        <v>168.57746894604855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1.3150000000000006</v>
      </c>
      <c r="CT115" s="13">
        <f>IF('Données projet'!$A$140&gt;35,CT114+CS115-DB114,IF(A115&lt;'Données projet'!$A$140,$CQ$205^A115,IF(A115='Données projet'!$A$140,'Données projet'!$B$140,CT114+CS115-DB114)))</f>
        <v>110.12166666666664</v>
      </c>
      <c r="CU115" s="18">
        <f>CT115*VLOOKUP('Données projet'!$B$13,Paramètres!$A$1:$I$89,3,0)*VLOOKUP('Données projet'!$B$13,Paramètres!$A$1:$I$89,5,0)</f>
        <v>126.86015999999996</v>
      </c>
      <c r="CV115" s="14">
        <f t="shared" si="95"/>
        <v>33.269805353558191</v>
      </c>
      <c r="CW115" s="22">
        <f t="shared" si="67"/>
        <v>278.89302299078042</v>
      </c>
      <c r="CX115" s="62">
        <f t="shared" si="68"/>
        <v>572.22635632411379</v>
      </c>
      <c r="CY115" s="62">
        <f ca="1">AVERAGE(OFFSET($CX$3,0,0,'Données projet'!$E$13+1,1))-AVERAGE(OFFSET($H$3,0,0,'Données projet'!$E$13+1,1))</f>
        <v>191.79777926975839</v>
      </c>
      <c r="CZ115" s="62">
        <f t="shared" si="96"/>
        <v>156.66161375678712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4.4859999999999998</v>
      </c>
      <c r="DO115" s="13">
        <f>IF('Données projet'!$A$166&gt;35,DO114+DN115-DW114,IF(A115&lt;'Données projet'!$A$166,$DL$205^A115,IF(A115='Données projet'!$A$166,'Données projet'!$B$166,DO114+DN115-DW114)))</f>
        <v>283.31200000000018</v>
      </c>
      <c r="DP115" s="18">
        <f>DO115*VLOOKUP('Données projet'!$B$14,Paramètres!$A$1:$I$89,3,0)*VLOOKUP('Données projet'!$B$14,Paramètres!$A$1:$I$89,5,0)</f>
        <v>309.37670400000019</v>
      </c>
      <c r="DQ115" s="14">
        <f t="shared" si="97"/>
        <v>73.138645915486293</v>
      </c>
      <c r="DR115" s="22">
        <f t="shared" si="70"/>
        <v>666.21423443613901</v>
      </c>
      <c r="DS115" s="62">
        <f t="shared" si="71"/>
        <v>959.54756776947238</v>
      </c>
      <c r="DT115" s="62">
        <f ca="1">AVERAGE(OFFSET($DS$3,0,0,'Données projet'!$E$14+1,1))-AVERAGE(OFFSET($H$3,0,0,'Données projet'!$E$14+1,1))</f>
        <v>541.0854688453461</v>
      </c>
      <c r="DU115" s="62">
        <f t="shared" si="98"/>
        <v>171.04847168584473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5.1159076974727213E-13</v>
      </c>
      <c r="EK115" s="18">
        <f>EJ115*VLOOKUP('Données projet'!$B$15,Paramètres!$A$1:$I$89,3,0)*VLOOKUP('Données projet'!$B$15,Paramètres!$A$1:$I$89,5,0)</f>
        <v>3.0593128030886877E-13</v>
      </c>
      <c r="EL115" s="14">
        <f t="shared" si="99"/>
        <v>4.0350537939347394E-12</v>
      </c>
      <c r="EM115" s="22">
        <f t="shared" si="73"/>
        <v>7.5605490043076185E-12</v>
      </c>
      <c r="EN115" s="62">
        <f t="shared" si="74"/>
        <v>293.33333333334087</v>
      </c>
      <c r="EO115" s="62">
        <f ca="1">AVERAGE(OFFSET($EN$3,0,0,'Données projet'!$E$15+1,1))-AVERAGE(OFFSET($H$3,0,0,'Données projet'!$E$15+1,1))</f>
        <v>244.01698421598974</v>
      </c>
      <c r="EP115" s="62">
        <f t="shared" si="100"/>
        <v>156.96653202915024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0.3702903973573165</v>
      </c>
      <c r="EX115" s="23">
        <f>EXP(-LN(2)/2)*EX114+(1-EXP(-LN(2)/2))/(LN(2)/2)*ER115*EU115*VLOOKUP('Données projet'!$B$15,Paramètres!$A$1:$I$89,3,0)*0.475*44/12</f>
        <v>4.5285090302504973E-12</v>
      </c>
      <c r="EY115" s="24">
        <f t="shared" si="75"/>
        <v>0.37029039736184499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-5.6843418860808015E-14</v>
      </c>
      <c r="FF115" s="18">
        <f>FE115*VLOOKUP('Données projet'!$B$16,Paramètres!$A$1:$I$89,3,0)*VLOOKUP('Données projet'!$B$16,Paramètres!$A$1:$I$89,5,0)</f>
        <v>-4.9658410716801891E-14</v>
      </c>
      <c r="FG115" s="14" t="e">
        <f t="shared" si="101"/>
        <v>#NUM!</v>
      </c>
      <c r="FH115" s="22" t="e">
        <f t="shared" si="76"/>
        <v>#NUM!</v>
      </c>
      <c r="FI115" s="62" t="e">
        <f t="shared" si="77"/>
        <v>#NUM!</v>
      </c>
      <c r="FJ115" s="62">
        <f ca="1">AVERAGE(OFFSET($FI$3,0,0,'Données projet'!$E$16+1,1))-AVERAGE(OFFSET($H$3,0,0,'Données projet'!$E$16+1,1))</f>
        <v>175.08726167127026</v>
      </c>
      <c r="FK115" s="62">
        <f t="shared" si="102"/>
        <v>196.05343924817117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8.5265128291212022E-14</v>
      </c>
      <c r="GA115" s="18">
        <f>FZ115*VLOOKUP('Données projet'!$B$17,Paramètres!$A$1:$I$89,3,0)*VLOOKUP('Données projet'!$B$17,Paramètres!$A$1:$I$89,5,0)</f>
        <v>5.5865712056402117E-14</v>
      </c>
      <c r="GB115" s="14">
        <f t="shared" si="103"/>
        <v>8.9811031843713517E-13</v>
      </c>
      <c r="GC115" s="22">
        <f t="shared" si="79"/>
        <v>1.6615082531095774E-12</v>
      </c>
      <c r="GD115" s="62">
        <f t="shared" si="80"/>
        <v>293.33333333333496</v>
      </c>
      <c r="GE115" s="62">
        <f ca="1">AVERAGE(OFFSET($GD$3,0,0,'Données projet'!$E$17+1,1))-AVERAGE(OFFSET($H$3,0,0,'Données projet'!$E$17+1,1))</f>
        <v>142.93037460866543</v>
      </c>
      <c r="GF115" s="62">
        <f t="shared" si="104"/>
        <v>146.18554498808049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3</v>
      </c>
      <c r="GU115" s="13">
        <f>IF('Données projet'!$A$270&gt;35,GU114+GT115-HC114,IF(A115&lt;'Données projet'!$A$270,$GR$205^A115,IF(A115='Données projet'!$A$270,'Données projet'!$B$270,GU114+GT115-HC114)))</f>
        <v>177.00000000000006</v>
      </c>
      <c r="GV115" s="18">
        <f>GU115*VLOOKUP('Données projet'!$B$18,Paramètres!$A$1:$I$89,3,0)*VLOOKUP('Données projet'!$B$18,Paramètres!$A$1:$I$89,5,0)</f>
        <v>151.86600000000007</v>
      </c>
      <c r="GW115" s="14">
        <f t="shared" si="105"/>
        <v>39.002335209400016</v>
      </c>
      <c r="GX115" s="22">
        <f t="shared" si="82"/>
        <v>332.42901715637174</v>
      </c>
      <c r="GY115" s="62">
        <f t="shared" si="83"/>
        <v>625.76235048970511</v>
      </c>
      <c r="GZ115" s="62">
        <f ca="1">AVERAGE(OFFSET($GY$3,0,0,'Données projet'!$E$18+1,1))-AVERAGE(OFFSET($H$3,0,0,'Données projet'!$E$18+1,1))</f>
        <v>188.08607733149256</v>
      </c>
      <c r="HA115" s="62">
        <f t="shared" si="106"/>
        <v>119.95698016603842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33.786999999999964</v>
      </c>
      <c r="D116" s="12">
        <f t="shared" si="86"/>
        <v>10.336065184327753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340.59909966849466</v>
      </c>
      <c r="H116" s="70">
        <f t="shared" si="56"/>
        <v>333.51433852937078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</v>
      </c>
      <c r="N116" s="14">
        <f>IF('Données projet'!$A$36&gt;35,N115+M116-V115,IF(A116&lt;'Données projet'!$A$36,$K$205^A116,IF(A116='Données projet'!$A$36,'Données projet'!$B$36,N115+M116-V115)))</f>
        <v>180.00000000000006</v>
      </c>
      <c r="O116" s="14">
        <f>N116*VLOOKUP('Données projet'!$B$9,Paramètres!$A$1:$I$89,3,0)*VLOOKUP('Données projet'!$B$9,Paramètres!$A$1:$I$89,5,0)</f>
        <v>193.75200000000007</v>
      </c>
      <c r="P116" s="14">
        <f t="shared" si="87"/>
        <v>48.368520355376113</v>
      </c>
      <c r="Q116" s="22">
        <f t="shared" si="107"/>
        <v>421.69323961894685</v>
      </c>
      <c r="R116" s="62">
        <f t="shared" si="55"/>
        <v>715.02657295228016</v>
      </c>
      <c r="S116" s="62">
        <f ca="1">AVERAGE(OFFSET($R$3,0,0,'Données projet'!$E$9+1,1))-AVERAGE(OFFSET($H$3,0,0,'Données projet'!$E$9+1,1))</f>
        <v>236.98575892380046</v>
      </c>
      <c r="T116" s="62">
        <f t="shared" si="88"/>
        <v>145.77678223659774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140.04898296125504</v>
      </c>
      <c r="AO116" s="62">
        <f t="shared" si="90"/>
        <v>129.5395511270716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-6.2527760746888816E-13</v>
      </c>
      <c r="BE116" s="14">
        <f>BD116*VLOOKUP('Données projet'!$B$11,Paramètres!$A$1:$I$89,3,0)*VLOOKUP('Données projet'!$B$11,Paramètres!$A$1:$I$89,5,0)</f>
        <v>-2.9262992029543964E-13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207.84100251878419</v>
      </c>
      <c r="BJ116" s="62">
        <f t="shared" si="92"/>
        <v>124.34917784241952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-5.6843418860808015E-14</v>
      </c>
      <c r="BZ116" s="14">
        <f>BY116*VLOOKUP('Données projet'!$B$12,Paramètres!$A$1:$I$89,3,0)*VLOOKUP('Données projet'!$B$12,Paramètres!$A$1:$I$89,5,0)</f>
        <v>-2.9558577807620169E-14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211.05980622218578</v>
      </c>
      <c r="CE116" s="62">
        <f t="shared" si="94"/>
        <v>168.57746894604855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1.3150000000000006</v>
      </c>
      <c r="CT116" s="13">
        <f>IF('Données projet'!$A$140&gt;35,CT115+CS116-DB115,IF(A116&lt;'Données projet'!$A$140,$CQ$205^A116,IF(A116='Données projet'!$A$140,'Données projet'!$B$140,CT115+CS116-DB115)))</f>
        <v>111.43666666666664</v>
      </c>
      <c r="CU116" s="18">
        <f>CT116*VLOOKUP('Données projet'!$B$13,Paramètres!$A$1:$I$89,3,0)*VLOOKUP('Données projet'!$B$13,Paramètres!$A$1:$I$89,5,0)</f>
        <v>128.37503999999996</v>
      </c>
      <c r="CV116" s="14">
        <f t="shared" si="95"/>
        <v>33.6206043519106</v>
      </c>
      <c r="CW116" s="22">
        <f t="shared" si="67"/>
        <v>282.14241391291085</v>
      </c>
      <c r="CX116" s="62">
        <f t="shared" si="68"/>
        <v>575.47574724624417</v>
      </c>
      <c r="CY116" s="62">
        <f ca="1">AVERAGE(OFFSET($CX$3,0,0,'Données projet'!$E$13+1,1))-AVERAGE(OFFSET($H$3,0,0,'Données projet'!$E$13+1,1))</f>
        <v>191.79777926975839</v>
      </c>
      <c r="CZ116" s="62">
        <f t="shared" si="96"/>
        <v>156.66161375678712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4.4859999999999998</v>
      </c>
      <c r="DO116" s="13">
        <f>IF('Données projet'!$A$166&gt;35,DO115+DN116-DW115,IF(A116&lt;'Données projet'!$A$166,$DL$205^A116,IF(A116='Données projet'!$A$166,'Données projet'!$B$166,DO115+DN116-DW115)))</f>
        <v>287.79800000000017</v>
      </c>
      <c r="DP116" s="18">
        <f>DO116*VLOOKUP('Données projet'!$B$14,Paramètres!$A$1:$I$89,3,0)*VLOOKUP('Données projet'!$B$14,Paramètres!$A$1:$I$89,5,0)</f>
        <v>314.27541600000018</v>
      </c>
      <c r="DQ116" s="14">
        <f t="shared" si="97"/>
        <v>74.160994160550487</v>
      </c>
      <c r="DR116" s="22">
        <f t="shared" si="70"/>
        <v>676.52674769629232</v>
      </c>
      <c r="DS116" s="62">
        <f t="shared" si="71"/>
        <v>969.86008102962569</v>
      </c>
      <c r="DT116" s="62">
        <f ca="1">AVERAGE(OFFSET($DS$3,0,0,'Données projet'!$E$14+1,1))-AVERAGE(OFFSET($H$3,0,0,'Données projet'!$E$14+1,1))</f>
        <v>541.0854688453461</v>
      </c>
      <c r="DU116" s="62">
        <f t="shared" si="98"/>
        <v>171.04847168584473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5.1159076974727213E-13</v>
      </c>
      <c r="EK116" s="18">
        <f>EJ116*VLOOKUP('Données projet'!$B$15,Paramètres!$A$1:$I$89,3,0)*VLOOKUP('Données projet'!$B$15,Paramètres!$A$1:$I$89,5,0)</f>
        <v>3.0593128030886877E-13</v>
      </c>
      <c r="EL116" s="14">
        <f t="shared" si="99"/>
        <v>4.0350537939347394E-12</v>
      </c>
      <c r="EM116" s="22">
        <f t="shared" si="73"/>
        <v>7.5605490043076185E-12</v>
      </c>
      <c r="EN116" s="62">
        <f t="shared" si="74"/>
        <v>293.33333333334087</v>
      </c>
      <c r="EO116" s="62">
        <f ca="1">AVERAGE(OFFSET($EN$3,0,0,'Données projet'!$E$15+1,1))-AVERAGE(OFFSET($H$3,0,0,'Données projet'!$E$15+1,1))</f>
        <v>244.01698421598974</v>
      </c>
      <c r="EP116" s="62">
        <f t="shared" si="100"/>
        <v>156.96653202915024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0.36016478696885501</v>
      </c>
      <c r="EX116" s="23">
        <f>EXP(-LN(2)/2)*EX115+(1-EXP(-LN(2)/2))/(LN(2)/2)*ER116*EU116*VLOOKUP('Données projet'!$B$15,Paramètres!$A$1:$I$89,3,0)*0.475*44/12</f>
        <v>3.202139443954643E-12</v>
      </c>
      <c r="EY116" s="24">
        <f t="shared" si="75"/>
        <v>0.36016478697205717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-5.6843418860808015E-14</v>
      </c>
      <c r="FF116" s="18">
        <f>FE116*VLOOKUP('Données projet'!$B$16,Paramètres!$A$1:$I$89,3,0)*VLOOKUP('Données projet'!$B$16,Paramètres!$A$1:$I$89,5,0)</f>
        <v>-4.9658410716801891E-14</v>
      </c>
      <c r="FG116" s="14" t="e">
        <f t="shared" si="101"/>
        <v>#NUM!</v>
      </c>
      <c r="FH116" s="22" t="e">
        <f t="shared" si="76"/>
        <v>#NUM!</v>
      </c>
      <c r="FI116" s="62" t="e">
        <f t="shared" si="77"/>
        <v>#NUM!</v>
      </c>
      <c r="FJ116" s="62">
        <f ca="1">AVERAGE(OFFSET($FI$3,0,0,'Données projet'!$E$16+1,1))-AVERAGE(OFFSET($H$3,0,0,'Données projet'!$E$16+1,1))</f>
        <v>175.08726167127026</v>
      </c>
      <c r="FK116" s="62">
        <f t="shared" si="102"/>
        <v>196.05343924817117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8.5265128291212022E-14</v>
      </c>
      <c r="GA116" s="18">
        <f>FZ116*VLOOKUP('Données projet'!$B$17,Paramètres!$A$1:$I$89,3,0)*VLOOKUP('Données projet'!$B$17,Paramètres!$A$1:$I$89,5,0)</f>
        <v>5.5865712056402117E-14</v>
      </c>
      <c r="GB116" s="14">
        <f t="shared" si="103"/>
        <v>8.9811031843713517E-13</v>
      </c>
      <c r="GC116" s="22">
        <f t="shared" si="79"/>
        <v>1.6615082531095774E-12</v>
      </c>
      <c r="GD116" s="62">
        <f t="shared" si="80"/>
        <v>293.33333333333496</v>
      </c>
      <c r="GE116" s="62">
        <f ca="1">AVERAGE(OFFSET($GD$3,0,0,'Données projet'!$E$17+1,1))-AVERAGE(OFFSET($H$3,0,0,'Données projet'!$E$17+1,1))</f>
        <v>142.93037460866543</v>
      </c>
      <c r="GF116" s="62">
        <f t="shared" si="104"/>
        <v>146.18554498808049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3</v>
      </c>
      <c r="GU116" s="13">
        <f>IF('Données projet'!$A$270&gt;35,GU115+GT116-HC115,IF(A116&lt;'Données projet'!$A$270,$GR$205^A116,IF(A116='Données projet'!$A$270,'Données projet'!$B$270,GU115+GT116-HC115)))</f>
        <v>180.00000000000006</v>
      </c>
      <c r="GV116" s="18">
        <f>GU116*VLOOKUP('Données projet'!$B$18,Paramètres!$A$1:$I$89,3,0)*VLOOKUP('Données projet'!$B$18,Paramètres!$A$1:$I$89,5,0)</f>
        <v>154.44000000000008</v>
      </c>
      <c r="GW116" s="14">
        <f t="shared" si="105"/>
        <v>39.58587217095549</v>
      </c>
      <c r="GX116" s="22">
        <f t="shared" si="82"/>
        <v>337.92839403108093</v>
      </c>
      <c r="GY116" s="62">
        <f t="shared" si="83"/>
        <v>631.26172736441424</v>
      </c>
      <c r="GZ116" s="62">
        <f ca="1">AVERAGE(OFFSET($GY$3,0,0,'Données projet'!$E$18+1,1))-AVERAGE(OFFSET($H$3,0,0,'Données projet'!$E$18+1,1))</f>
        <v>188.08607733149256</v>
      </c>
      <c r="HA116" s="62">
        <f t="shared" si="106"/>
        <v>119.95698016603842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34.085999999999963</v>
      </c>
      <c r="D117" s="12">
        <f t="shared" si="86"/>
        <v>10.416846235156784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343.53074286787665</v>
      </c>
      <c r="H117" s="70">
        <f t="shared" si="56"/>
        <v>334.17579052623137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</v>
      </c>
      <c r="N117" s="14">
        <f>IF('Données projet'!$A$36&gt;35,N116+M117-V116,IF(A117&lt;'Données projet'!$A$36,$K$205^A117,IF(A117='Données projet'!$A$36,'Données projet'!$B$36,N116+M117-V116)))</f>
        <v>183.00000000000006</v>
      </c>
      <c r="O117" s="14">
        <f>N117*VLOOKUP('Données projet'!$B$9,Paramètres!$A$1:$I$89,3,0)*VLOOKUP('Données projet'!$B$9,Paramètres!$A$1:$I$89,5,0)</f>
        <v>196.98120000000006</v>
      </c>
      <c r="P117" s="14">
        <f t="shared" si="87"/>
        <v>49.080140741894134</v>
      </c>
      <c r="Q117" s="22">
        <f t="shared" si="107"/>
        <v>428.55683512546574</v>
      </c>
      <c r="R117" s="62">
        <f t="shared" si="55"/>
        <v>721.89016845879905</v>
      </c>
      <c r="S117" s="62">
        <f ca="1">AVERAGE(OFFSET($R$3,0,0,'Données projet'!$E$9+1,1))-AVERAGE(OFFSET($H$3,0,0,'Données projet'!$E$9+1,1))</f>
        <v>236.98575892380046</v>
      </c>
      <c r="T117" s="62">
        <f t="shared" si="88"/>
        <v>145.77678223659774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140.04898296125504</v>
      </c>
      <c r="AO117" s="62">
        <f t="shared" si="90"/>
        <v>129.5395511270716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-6.2527760746888816E-13</v>
      </c>
      <c r="BE117" s="14">
        <f>BD117*VLOOKUP('Données projet'!$B$11,Paramètres!$A$1:$I$89,3,0)*VLOOKUP('Données projet'!$B$11,Paramètres!$A$1:$I$89,5,0)</f>
        <v>-2.9262992029543964E-13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207.84100251878419</v>
      </c>
      <c r="BJ117" s="62">
        <f t="shared" si="92"/>
        <v>124.34917784241952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-5.6843418860808015E-14</v>
      </c>
      <c r="BZ117" s="14">
        <f>BY117*VLOOKUP('Données projet'!$B$12,Paramètres!$A$1:$I$89,3,0)*VLOOKUP('Données projet'!$B$12,Paramètres!$A$1:$I$89,5,0)</f>
        <v>-2.9558577807620169E-14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211.05980622218578</v>
      </c>
      <c r="CE117" s="62">
        <f t="shared" si="94"/>
        <v>168.57746894604855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1.3150000000000006</v>
      </c>
      <c r="CT117" s="13">
        <f>IF('Données projet'!$A$140&gt;35,CT116+CS117-DB116,IF(A117&lt;'Données projet'!$A$140,$CQ$205^A117,IF(A117='Données projet'!$A$140,'Données projet'!$B$140,CT116+CS117-DB116)))</f>
        <v>112.75166666666664</v>
      </c>
      <c r="CU117" s="18">
        <f>CT117*VLOOKUP('Données projet'!$B$13,Paramètres!$A$1:$I$89,3,0)*VLOOKUP('Données projet'!$B$13,Paramètres!$A$1:$I$89,5,0)</f>
        <v>129.88991999999996</v>
      </c>
      <c r="CV117" s="14">
        <f t="shared" si="95"/>
        <v>33.970921822434136</v>
      </c>
      <c r="CW117" s="22">
        <f t="shared" si="67"/>
        <v>285.39096617407273</v>
      </c>
      <c r="CX117" s="62">
        <f t="shared" si="68"/>
        <v>578.72429950740604</v>
      </c>
      <c r="CY117" s="62">
        <f ca="1">AVERAGE(OFFSET($CX$3,0,0,'Données projet'!$E$13+1,1))-AVERAGE(OFFSET($H$3,0,0,'Données projet'!$E$13+1,1))</f>
        <v>191.79777926975839</v>
      </c>
      <c r="CZ117" s="62">
        <f t="shared" si="96"/>
        <v>156.66161375678712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4.4859999999999998</v>
      </c>
      <c r="DO117" s="13">
        <f>IF('Données projet'!$A$166&gt;35,DO116+DN117-DW116,IF(A117&lt;'Données projet'!$A$166,$DL$205^A117,IF(A117='Données projet'!$A$166,'Données projet'!$B$166,DO116+DN117-DW116)))</f>
        <v>292.28400000000016</v>
      </c>
      <c r="DP117" s="18">
        <f>DO117*VLOOKUP('Données projet'!$B$14,Paramètres!$A$1:$I$89,3,0)*VLOOKUP('Données projet'!$B$14,Paramètres!$A$1:$I$89,5,0)</f>
        <v>319.17412800000017</v>
      </c>
      <c r="DQ117" s="14">
        <f t="shared" si="97"/>
        <v>75.181489095893653</v>
      </c>
      <c r="DR117" s="22">
        <f t="shared" si="70"/>
        <v>686.83603310868182</v>
      </c>
      <c r="DS117" s="62">
        <f t="shared" si="71"/>
        <v>980.16936644201519</v>
      </c>
      <c r="DT117" s="62">
        <f ca="1">AVERAGE(OFFSET($DS$3,0,0,'Données projet'!$E$14+1,1))-AVERAGE(OFFSET($H$3,0,0,'Données projet'!$E$14+1,1))</f>
        <v>541.0854688453461</v>
      </c>
      <c r="DU117" s="62">
        <f t="shared" si="98"/>
        <v>171.04847168584473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5.1159076974727213E-13</v>
      </c>
      <c r="EK117" s="18">
        <f>EJ117*VLOOKUP('Données projet'!$B$15,Paramètres!$A$1:$I$89,3,0)*VLOOKUP('Données projet'!$B$15,Paramètres!$A$1:$I$89,5,0)</f>
        <v>3.0593128030886877E-13</v>
      </c>
      <c r="EL117" s="14">
        <f t="shared" si="99"/>
        <v>4.0350537939347394E-12</v>
      </c>
      <c r="EM117" s="22">
        <f t="shared" si="73"/>
        <v>7.5605490043076185E-12</v>
      </c>
      <c r="EN117" s="62">
        <f t="shared" si="74"/>
        <v>293.33333333334087</v>
      </c>
      <c r="EO117" s="62">
        <f ca="1">AVERAGE(OFFSET($EN$3,0,0,'Données projet'!$E$15+1,1))-AVERAGE(OFFSET($H$3,0,0,'Données projet'!$E$15+1,1))</f>
        <v>244.01698421598974</v>
      </c>
      <c r="EP117" s="62">
        <f t="shared" si="100"/>
        <v>156.96653202915024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0.35031606192894871</v>
      </c>
      <c r="EX117" s="23">
        <f>EXP(-LN(2)/2)*EX116+(1-EXP(-LN(2)/2))/(LN(2)/2)*ER117*EU117*VLOOKUP('Données projet'!$B$15,Paramètres!$A$1:$I$89,3,0)*0.475*44/12</f>
        <v>2.2642545151252487E-12</v>
      </c>
      <c r="EY117" s="24">
        <f t="shared" si="75"/>
        <v>0.35031606193121295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-5.6843418860808015E-14</v>
      </c>
      <c r="FF117" s="18">
        <f>FE117*VLOOKUP('Données projet'!$B$16,Paramètres!$A$1:$I$89,3,0)*VLOOKUP('Données projet'!$B$16,Paramètres!$A$1:$I$89,5,0)</f>
        <v>-4.9658410716801891E-14</v>
      </c>
      <c r="FG117" s="14" t="e">
        <f t="shared" si="101"/>
        <v>#NUM!</v>
      </c>
      <c r="FH117" s="22" t="e">
        <f t="shared" si="76"/>
        <v>#NUM!</v>
      </c>
      <c r="FI117" s="62" t="e">
        <f t="shared" si="77"/>
        <v>#NUM!</v>
      </c>
      <c r="FJ117" s="62">
        <f ca="1">AVERAGE(OFFSET($FI$3,0,0,'Données projet'!$E$16+1,1))-AVERAGE(OFFSET($H$3,0,0,'Données projet'!$E$16+1,1))</f>
        <v>175.08726167127026</v>
      </c>
      <c r="FK117" s="62">
        <f t="shared" si="102"/>
        <v>196.05343924817117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8.5265128291212022E-14</v>
      </c>
      <c r="GA117" s="18">
        <f>FZ117*VLOOKUP('Données projet'!$B$17,Paramètres!$A$1:$I$89,3,0)*VLOOKUP('Données projet'!$B$17,Paramètres!$A$1:$I$89,5,0)</f>
        <v>5.5865712056402117E-14</v>
      </c>
      <c r="GB117" s="14">
        <f t="shared" si="103"/>
        <v>8.9811031843713517E-13</v>
      </c>
      <c r="GC117" s="22">
        <f t="shared" si="79"/>
        <v>1.6615082531095774E-12</v>
      </c>
      <c r="GD117" s="62">
        <f t="shared" si="80"/>
        <v>293.33333333333496</v>
      </c>
      <c r="GE117" s="62">
        <f ca="1">AVERAGE(OFFSET($GD$3,0,0,'Données projet'!$E$17+1,1))-AVERAGE(OFFSET($H$3,0,0,'Données projet'!$E$17+1,1))</f>
        <v>142.93037460866543</v>
      </c>
      <c r="GF117" s="62">
        <f t="shared" si="104"/>
        <v>146.18554498808049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3</v>
      </c>
      <c r="GU117" s="13">
        <f>IF('Données projet'!$A$270&gt;35,GU116+GT117-HC116,IF(A117&lt;'Données projet'!$A$270,$GR$205^A117,IF(A117='Données projet'!$A$270,'Données projet'!$B$270,GU116+GT117-HC116)))</f>
        <v>183.00000000000006</v>
      </c>
      <c r="GV117" s="18">
        <f>GU117*VLOOKUP('Données projet'!$B$18,Paramètres!$A$1:$I$89,3,0)*VLOOKUP('Données projet'!$B$18,Paramètres!$A$1:$I$89,5,0)</f>
        <v>157.01400000000007</v>
      </c>
      <c r="GW117" s="14">
        <f t="shared" si="105"/>
        <v>40.168278112836219</v>
      </c>
      <c r="GX117" s="22">
        <f t="shared" si="82"/>
        <v>343.42580104652319</v>
      </c>
      <c r="GY117" s="62">
        <f t="shared" si="83"/>
        <v>636.7591343798565</v>
      </c>
      <c r="GZ117" s="62">
        <f ca="1">AVERAGE(OFFSET($GY$3,0,0,'Données projet'!$E$18+1,1))-AVERAGE(OFFSET($H$3,0,0,'Données projet'!$E$18+1,1))</f>
        <v>188.08607733149256</v>
      </c>
      <c r="HA117" s="62">
        <f t="shared" si="106"/>
        <v>119.95698016603842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34.384999999999962</v>
      </c>
      <c r="D118" s="12">
        <f t="shared" si="86"/>
        <v>10.497544845257801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346.46174968269156</v>
      </c>
      <c r="H118" s="70">
        <f t="shared" si="56"/>
        <v>334.83709893882394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</v>
      </c>
      <c r="N118" s="14">
        <f>IF('Données projet'!$A$36&gt;35,N117+M118-V117,IF(A118&lt;'Données projet'!$A$36,$K$205^A118,IF(A118='Données projet'!$A$36,'Données projet'!$B$36,N117+M118-V117)))</f>
        <v>186.00000000000006</v>
      </c>
      <c r="O118" s="14">
        <f>N118*VLOOKUP('Données projet'!$B$9,Paramètres!$A$1:$I$89,3,0)*VLOOKUP('Données projet'!$B$9,Paramètres!$A$1:$I$89,5,0)</f>
        <v>200.21040000000005</v>
      </c>
      <c r="P118" s="14">
        <f t="shared" si="87"/>
        <v>49.790404447235048</v>
      </c>
      <c r="Q118" s="22">
        <f t="shared" si="107"/>
        <v>435.41806774560109</v>
      </c>
      <c r="R118" s="62">
        <f t="shared" si="55"/>
        <v>728.75140107893435</v>
      </c>
      <c r="S118" s="62">
        <f ca="1">AVERAGE(OFFSET($R$3,0,0,'Données projet'!$E$9+1,1))-AVERAGE(OFFSET($H$3,0,0,'Données projet'!$E$9+1,1))</f>
        <v>236.98575892380046</v>
      </c>
      <c r="T118" s="62">
        <f t="shared" si="88"/>
        <v>145.77678223659774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140.04898296125504</v>
      </c>
      <c r="AO118" s="62">
        <f t="shared" si="90"/>
        <v>129.5395511270716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-6.2527760746888816E-13</v>
      </c>
      <c r="BE118" s="14">
        <f>BD118*VLOOKUP('Données projet'!$B$11,Paramètres!$A$1:$I$89,3,0)*VLOOKUP('Données projet'!$B$11,Paramètres!$A$1:$I$89,5,0)</f>
        <v>-2.9262992029543964E-13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207.84100251878419</v>
      </c>
      <c r="BJ118" s="62">
        <f t="shared" si="92"/>
        <v>124.34917784241952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-5.6843418860808015E-14</v>
      </c>
      <c r="BZ118" s="14">
        <f>BY118*VLOOKUP('Données projet'!$B$12,Paramètres!$A$1:$I$89,3,0)*VLOOKUP('Données projet'!$B$12,Paramètres!$A$1:$I$89,5,0)</f>
        <v>-2.9558577807620169E-14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211.05980622218578</v>
      </c>
      <c r="CE118" s="62">
        <f t="shared" si="94"/>
        <v>168.57746894604855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1.3150000000000006</v>
      </c>
      <c r="CT118" s="13">
        <f>IF('Données projet'!$A$140&gt;35,CT117+CS118-DB117,IF(A118&lt;'Données projet'!$A$140,$CQ$205^A118,IF(A118='Données projet'!$A$140,'Données projet'!$B$140,CT117+CS118-DB117)))</f>
        <v>114.06666666666663</v>
      </c>
      <c r="CU118" s="18">
        <f>CT118*VLOOKUP('Données projet'!$B$13,Paramètres!$A$1:$I$89,3,0)*VLOOKUP('Données projet'!$B$13,Paramètres!$A$1:$I$89,5,0)</f>
        <v>131.40479999999994</v>
      </c>
      <c r="CV118" s="14">
        <f t="shared" si="95"/>
        <v>34.320764030820762</v>
      </c>
      <c r="CW118" s="22">
        <f t="shared" si="67"/>
        <v>288.63869068701268</v>
      </c>
      <c r="CX118" s="62">
        <f t="shared" si="68"/>
        <v>581.972024020346</v>
      </c>
      <c r="CY118" s="62">
        <f ca="1">AVERAGE(OFFSET($CX$3,0,0,'Données projet'!$E$13+1,1))-AVERAGE(OFFSET($H$3,0,0,'Données projet'!$E$13+1,1))</f>
        <v>191.79777926975839</v>
      </c>
      <c r="CZ118" s="62">
        <f t="shared" si="96"/>
        <v>156.66161375678712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4.4859999999999998</v>
      </c>
      <c r="DO118" s="13">
        <f>IF('Données projet'!$A$166&gt;35,DO117+DN118-DW117,IF(A118&lt;'Données projet'!$A$166,$DL$205^A118,IF(A118='Données projet'!$A$166,'Données projet'!$B$166,DO117+DN118-DW117)))</f>
        <v>296.77000000000015</v>
      </c>
      <c r="DP118" s="18">
        <f>DO118*VLOOKUP('Données projet'!$B$14,Paramètres!$A$1:$I$89,3,0)*VLOOKUP('Données projet'!$B$14,Paramètres!$A$1:$I$89,5,0)</f>
        <v>324.07284000000016</v>
      </c>
      <c r="DQ118" s="14">
        <f t="shared" si="97"/>
        <v>76.200162451402335</v>
      </c>
      <c r="DR118" s="22">
        <f t="shared" si="70"/>
        <v>697.14214593619261</v>
      </c>
      <c r="DS118" s="62">
        <f t="shared" si="71"/>
        <v>990.47547926952598</v>
      </c>
      <c r="DT118" s="62">
        <f ca="1">AVERAGE(OFFSET($DS$3,0,0,'Données projet'!$E$14+1,1))-AVERAGE(OFFSET($H$3,0,0,'Données projet'!$E$14+1,1))</f>
        <v>541.0854688453461</v>
      </c>
      <c r="DU118" s="62">
        <f t="shared" si="98"/>
        <v>171.04847168584473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5.1159076974727213E-13</v>
      </c>
      <c r="EK118" s="18">
        <f>EJ118*VLOOKUP('Données projet'!$B$15,Paramètres!$A$1:$I$89,3,0)*VLOOKUP('Données projet'!$B$15,Paramètres!$A$1:$I$89,5,0)</f>
        <v>3.0593128030886877E-13</v>
      </c>
      <c r="EL118" s="14">
        <f t="shared" si="99"/>
        <v>4.0350537939347394E-12</v>
      </c>
      <c r="EM118" s="22">
        <f t="shared" si="73"/>
        <v>7.5605490043076185E-12</v>
      </c>
      <c r="EN118" s="62">
        <f t="shared" si="74"/>
        <v>293.33333333334087</v>
      </c>
      <c r="EO118" s="62">
        <f ca="1">AVERAGE(OFFSET($EN$3,0,0,'Données projet'!$E$15+1,1))-AVERAGE(OFFSET($H$3,0,0,'Données projet'!$E$15+1,1))</f>
        <v>244.01698421598974</v>
      </c>
      <c r="EP118" s="62">
        <f t="shared" si="100"/>
        <v>156.96653202915024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0.34073665079318055</v>
      </c>
      <c r="EX118" s="23">
        <f>EXP(-LN(2)/2)*EX117+(1-EXP(-LN(2)/2))/(LN(2)/2)*ER118*EU118*VLOOKUP('Données projet'!$B$15,Paramètres!$A$1:$I$89,3,0)*0.475*44/12</f>
        <v>1.6010697219773215E-12</v>
      </c>
      <c r="EY118" s="24">
        <f t="shared" si="75"/>
        <v>0.3407366507947816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-5.6843418860808015E-14</v>
      </c>
      <c r="FF118" s="18">
        <f>FE118*VLOOKUP('Données projet'!$B$16,Paramètres!$A$1:$I$89,3,0)*VLOOKUP('Données projet'!$B$16,Paramètres!$A$1:$I$89,5,0)</f>
        <v>-4.9658410716801891E-14</v>
      </c>
      <c r="FG118" s="14" t="e">
        <f t="shared" si="101"/>
        <v>#NUM!</v>
      </c>
      <c r="FH118" s="22" t="e">
        <f t="shared" si="76"/>
        <v>#NUM!</v>
      </c>
      <c r="FI118" s="62" t="e">
        <f t="shared" si="77"/>
        <v>#NUM!</v>
      </c>
      <c r="FJ118" s="62">
        <f ca="1">AVERAGE(OFFSET($FI$3,0,0,'Données projet'!$E$16+1,1))-AVERAGE(OFFSET($H$3,0,0,'Données projet'!$E$16+1,1))</f>
        <v>175.08726167127026</v>
      </c>
      <c r="FK118" s="62">
        <f t="shared" si="102"/>
        <v>196.05343924817117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8.5265128291212022E-14</v>
      </c>
      <c r="GA118" s="18">
        <f>FZ118*VLOOKUP('Données projet'!$B$17,Paramètres!$A$1:$I$89,3,0)*VLOOKUP('Données projet'!$B$17,Paramètres!$A$1:$I$89,5,0)</f>
        <v>5.5865712056402117E-14</v>
      </c>
      <c r="GB118" s="14">
        <f t="shared" si="103"/>
        <v>8.9811031843713517E-13</v>
      </c>
      <c r="GC118" s="22">
        <f t="shared" si="79"/>
        <v>1.6615082531095774E-12</v>
      </c>
      <c r="GD118" s="62">
        <f t="shared" si="80"/>
        <v>293.33333333333496</v>
      </c>
      <c r="GE118" s="62">
        <f ca="1">AVERAGE(OFFSET($GD$3,0,0,'Données projet'!$E$17+1,1))-AVERAGE(OFFSET($H$3,0,0,'Données projet'!$E$17+1,1))</f>
        <v>142.93037460866543</v>
      </c>
      <c r="GF118" s="62">
        <f t="shared" si="104"/>
        <v>146.18554498808049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3</v>
      </c>
      <c r="GU118" s="13">
        <f>IF('Données projet'!$A$270&gt;35,GU117+GT118-HC117,IF(A118&lt;'Données projet'!$A$270,$GR$205^A118,IF(A118='Données projet'!$A$270,'Données projet'!$B$270,GU117+GT118-HC117)))</f>
        <v>186.00000000000006</v>
      </c>
      <c r="GV118" s="18">
        <f>GU118*VLOOKUP('Données projet'!$B$18,Paramètres!$A$1:$I$89,3,0)*VLOOKUP('Données projet'!$B$18,Paramètres!$A$1:$I$89,5,0)</f>
        <v>159.58800000000008</v>
      </c>
      <c r="GW118" s="14">
        <f t="shared" si="105"/>
        <v>40.749573716685916</v>
      </c>
      <c r="GX118" s="22">
        <f t="shared" si="82"/>
        <v>348.92127422322807</v>
      </c>
      <c r="GY118" s="62">
        <f t="shared" si="83"/>
        <v>642.25460755656138</v>
      </c>
      <c r="GZ118" s="62">
        <f ca="1">AVERAGE(OFFSET($GY$3,0,0,'Données projet'!$E$18+1,1))-AVERAGE(OFFSET($H$3,0,0,'Données projet'!$E$18+1,1))</f>
        <v>188.08607733149256</v>
      </c>
      <c r="HA118" s="62">
        <f t="shared" si="106"/>
        <v>119.95698016603842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34.683999999999962</v>
      </c>
      <c r="D119" s="12">
        <f t="shared" si="86"/>
        <v>10.578161814566391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349.39212628788067</v>
      </c>
      <c r="H119" s="70">
        <f t="shared" si="56"/>
        <v>335.49826516036978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</v>
      </c>
      <c r="N119" s="14">
        <f>IF('Données projet'!$A$36&gt;35,N118+M119-V118,IF(A119&lt;'Données projet'!$A$36,$K$205^A119,IF(A119='Données projet'!$A$36,'Données projet'!$B$36,N118+M119-V118)))</f>
        <v>189.00000000000006</v>
      </c>
      <c r="O119" s="14">
        <f>N119*VLOOKUP('Données projet'!$B$9,Paramètres!$A$1:$I$89,3,0)*VLOOKUP('Données projet'!$B$9,Paramètres!$A$1:$I$89,5,0)</f>
        <v>203.43960000000004</v>
      </c>
      <c r="P119" s="14">
        <f t="shared" si="87"/>
        <v>50.499335879627502</v>
      </c>
      <c r="Q119" s="22">
        <f t="shared" si="107"/>
        <v>442.27697999035126</v>
      </c>
      <c r="R119" s="62">
        <f t="shared" si="55"/>
        <v>735.61031332368452</v>
      </c>
      <c r="S119" s="62">
        <f ca="1">AVERAGE(OFFSET($R$3,0,0,'Données projet'!$E$9+1,1))-AVERAGE(OFFSET($H$3,0,0,'Données projet'!$E$9+1,1))</f>
        <v>236.98575892380046</v>
      </c>
      <c r="T119" s="62">
        <f t="shared" si="88"/>
        <v>145.77678223659774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140.04898296125504</v>
      </c>
      <c r="AO119" s="62">
        <f t="shared" si="90"/>
        <v>129.5395511270716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-6.2527760746888816E-13</v>
      </c>
      <c r="BE119" s="14">
        <f>BD119*VLOOKUP('Données projet'!$B$11,Paramètres!$A$1:$I$89,3,0)*VLOOKUP('Données projet'!$B$11,Paramètres!$A$1:$I$89,5,0)</f>
        <v>-2.9262992029543964E-13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207.84100251878419</v>
      </c>
      <c r="BJ119" s="62">
        <f t="shared" si="92"/>
        <v>124.34917784241952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-5.6843418860808015E-14</v>
      </c>
      <c r="BZ119" s="14">
        <f>BY119*VLOOKUP('Données projet'!$B$12,Paramètres!$A$1:$I$89,3,0)*VLOOKUP('Données projet'!$B$12,Paramètres!$A$1:$I$89,5,0)</f>
        <v>-2.9558577807620169E-14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211.05980622218578</v>
      </c>
      <c r="CE119" s="62">
        <f t="shared" si="94"/>
        <v>168.57746894604855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1.3150000000000006</v>
      </c>
      <c r="CT119" s="13">
        <f>IF('Données projet'!$A$140&gt;35,CT118+CS119-DB118,IF(A119&lt;'Données projet'!$A$140,$CQ$205^A119,IF(A119='Données projet'!$A$140,'Données projet'!$B$140,CT118+CS119-DB118)))</f>
        <v>115.38166666666663</v>
      </c>
      <c r="CU119" s="18">
        <f>CT119*VLOOKUP('Données projet'!$B$13,Paramètres!$A$1:$I$89,3,0)*VLOOKUP('Données projet'!$B$13,Paramètres!$A$1:$I$89,5,0)</f>
        <v>132.91967999999994</v>
      </c>
      <c r="CV119" s="14">
        <f t="shared" si="95"/>
        <v>34.670137089980948</v>
      </c>
      <c r="CW119" s="22">
        <f t="shared" si="67"/>
        <v>291.88559809838341</v>
      </c>
      <c r="CX119" s="62">
        <f t="shared" si="68"/>
        <v>585.21893143171678</v>
      </c>
      <c r="CY119" s="62">
        <f ca="1">AVERAGE(OFFSET($CX$3,0,0,'Données projet'!$E$13+1,1))-AVERAGE(OFFSET($H$3,0,0,'Données projet'!$E$13+1,1))</f>
        <v>191.79777926975839</v>
      </c>
      <c r="CZ119" s="62">
        <f t="shared" si="96"/>
        <v>156.66161375678712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4.4859999999999998</v>
      </c>
      <c r="DO119" s="13">
        <f>IF('Données projet'!$A$166&gt;35,DO118+DN119-DW118,IF(A119&lt;'Données projet'!$A$166,$DL$205^A119,IF(A119='Données projet'!$A$166,'Données projet'!$B$166,DO118+DN119-DW118)))</f>
        <v>301.25600000000014</v>
      </c>
      <c r="DP119" s="18">
        <f>DO119*VLOOKUP('Données projet'!$B$14,Paramètres!$A$1:$I$89,3,0)*VLOOKUP('Données projet'!$B$14,Paramètres!$A$1:$I$89,5,0)</f>
        <v>328.97155200000014</v>
      </c>
      <c r="DQ119" s="14">
        <f t="shared" si="97"/>
        <v>77.217044942647959</v>
      </c>
      <c r="DR119" s="22">
        <f t="shared" si="70"/>
        <v>707.44513967511205</v>
      </c>
      <c r="DS119" s="62">
        <f t="shared" si="71"/>
        <v>1000.7784730084454</v>
      </c>
      <c r="DT119" s="62">
        <f ca="1">AVERAGE(OFFSET($DS$3,0,0,'Données projet'!$E$14+1,1))-AVERAGE(OFFSET($H$3,0,0,'Données projet'!$E$14+1,1))</f>
        <v>541.0854688453461</v>
      </c>
      <c r="DU119" s="62">
        <f t="shared" si="98"/>
        <v>171.04847168584473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5.1159076974727213E-13</v>
      </c>
      <c r="EK119" s="18">
        <f>EJ119*VLOOKUP('Données projet'!$B$15,Paramètres!$A$1:$I$89,3,0)*VLOOKUP('Données projet'!$B$15,Paramètres!$A$1:$I$89,5,0)</f>
        <v>3.0593128030886877E-13</v>
      </c>
      <c r="EL119" s="14">
        <f t="shared" si="99"/>
        <v>4.0350537939347394E-12</v>
      </c>
      <c r="EM119" s="22">
        <f t="shared" si="73"/>
        <v>7.5605490043076185E-12</v>
      </c>
      <c r="EN119" s="62">
        <f t="shared" si="74"/>
        <v>293.33333333334087</v>
      </c>
      <c r="EO119" s="62">
        <f ca="1">AVERAGE(OFFSET($EN$3,0,0,'Données projet'!$E$15+1,1))-AVERAGE(OFFSET($H$3,0,0,'Données projet'!$E$15+1,1))</f>
        <v>244.01698421598974</v>
      </c>
      <c r="EP119" s="62">
        <f t="shared" si="100"/>
        <v>156.96653202915024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0.33141918915867935</v>
      </c>
      <c r="EX119" s="23">
        <f>EXP(-LN(2)/2)*EX118+(1-EXP(-LN(2)/2))/(LN(2)/2)*ER119*EU119*VLOOKUP('Données projet'!$B$15,Paramètres!$A$1:$I$89,3,0)*0.475*44/12</f>
        <v>1.1321272575626243E-12</v>
      </c>
      <c r="EY119" s="24">
        <f t="shared" si="75"/>
        <v>0.3314191891598115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-5.6843418860808015E-14</v>
      </c>
      <c r="FF119" s="18">
        <f>FE119*VLOOKUP('Données projet'!$B$16,Paramètres!$A$1:$I$89,3,0)*VLOOKUP('Données projet'!$B$16,Paramètres!$A$1:$I$89,5,0)</f>
        <v>-4.9658410716801891E-14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175.08726167127026</v>
      </c>
      <c r="FK119" s="62">
        <f t="shared" si="102"/>
        <v>196.05343924817117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8.5265128291212022E-14</v>
      </c>
      <c r="GA119" s="18">
        <f>FZ119*VLOOKUP('Données projet'!$B$17,Paramètres!$A$1:$I$89,3,0)*VLOOKUP('Données projet'!$B$17,Paramètres!$A$1:$I$89,5,0)</f>
        <v>5.5865712056402117E-14</v>
      </c>
      <c r="GB119" s="14">
        <f t="shared" si="103"/>
        <v>8.9811031843713517E-13</v>
      </c>
      <c r="GC119" s="22">
        <f t="shared" si="79"/>
        <v>1.6615082531095774E-12</v>
      </c>
      <c r="GD119" s="62">
        <f t="shared" si="80"/>
        <v>293.33333333333496</v>
      </c>
      <c r="GE119" s="62">
        <f ca="1">AVERAGE(OFFSET($GD$3,0,0,'Données projet'!$E$17+1,1))-AVERAGE(OFFSET($H$3,0,0,'Données projet'!$E$17+1,1))</f>
        <v>142.93037460866543</v>
      </c>
      <c r="GF119" s="62">
        <f t="shared" si="104"/>
        <v>146.18554498808049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3</v>
      </c>
      <c r="GU119" s="13">
        <f>IF('Données projet'!$A$270&gt;35,GU118+GT119-HC118,IF(A119&lt;'Données projet'!$A$270,$GR$205^A119,IF(A119='Données projet'!$A$270,'Données projet'!$B$270,GU118+GT119-HC118)))</f>
        <v>189.00000000000006</v>
      </c>
      <c r="GV119" s="18">
        <f>GU119*VLOOKUP('Données projet'!$B$18,Paramètres!$A$1:$I$89,3,0)*VLOOKUP('Données projet'!$B$18,Paramètres!$A$1:$I$89,5,0)</f>
        <v>162.16200000000006</v>
      </c>
      <c r="GW119" s="14">
        <f t="shared" si="105"/>
        <v>41.329778958741436</v>
      </c>
      <c r="GX119" s="22">
        <f t="shared" si="82"/>
        <v>354.41484835314145</v>
      </c>
      <c r="GY119" s="62">
        <f t="shared" si="83"/>
        <v>647.74818168647471</v>
      </c>
      <c r="GZ119" s="62">
        <f ca="1">AVERAGE(OFFSET($GY$3,0,0,'Données projet'!$E$18+1,1))-AVERAGE(OFFSET($H$3,0,0,'Données projet'!$E$18+1,1))</f>
        <v>188.08607733149256</v>
      </c>
      <c r="HA119" s="62">
        <f t="shared" si="106"/>
        <v>119.95698016603842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34.982999999999961</v>
      </c>
      <c r="D120" s="12">
        <f t="shared" si="86"/>
        <v>10.658697928430257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352.32187874577716</v>
      </c>
      <c r="H120" s="70">
        <f t="shared" si="56"/>
        <v>336.15929055868264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</v>
      </c>
      <c r="N120" s="14">
        <f>IF('Données projet'!$A$36&gt;35,N119+M120-V119,IF(A120&lt;'Données projet'!$A$36,$K$205^A120,IF(A120='Données projet'!$A$36,'Données projet'!$B$36,N119+M120-V119)))</f>
        <v>192.00000000000006</v>
      </c>
      <c r="O120" s="14">
        <f>N120*VLOOKUP('Données projet'!$B$9,Paramètres!$A$1:$I$89,3,0)*VLOOKUP('Données projet'!$B$9,Paramètres!$A$1:$I$89,5,0)</f>
        <v>206.66880000000003</v>
      </c>
      <c r="P120" s="14">
        <f t="shared" si="87"/>
        <v>51.206958627992755</v>
      </c>
      <c r="Q120" s="22">
        <f t="shared" si="107"/>
        <v>449.13361294375409</v>
      </c>
      <c r="R120" s="62">
        <f t="shared" si="55"/>
        <v>742.46694627708735</v>
      </c>
      <c r="S120" s="62">
        <f ca="1">AVERAGE(OFFSET($R$3,0,0,'Données projet'!$E$9+1,1))-AVERAGE(OFFSET($H$3,0,0,'Données projet'!$E$9+1,1))</f>
        <v>236.98575892380046</v>
      </c>
      <c r="T120" s="62">
        <f t="shared" si="88"/>
        <v>145.77678223659774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140.04898296125504</v>
      </c>
      <c r="AO120" s="62">
        <f t="shared" si="90"/>
        <v>129.5395511270716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-6.2527760746888816E-13</v>
      </c>
      <c r="BE120" s="14">
        <f>BD120*VLOOKUP('Données projet'!$B$11,Paramètres!$A$1:$I$89,3,0)*VLOOKUP('Données projet'!$B$11,Paramètres!$A$1:$I$89,5,0)</f>
        <v>-2.9262992029543964E-13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207.84100251878419</v>
      </c>
      <c r="BJ120" s="62">
        <f t="shared" si="92"/>
        <v>124.34917784241952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-5.6843418860808015E-14</v>
      </c>
      <c r="BZ120" s="14">
        <f>BY120*VLOOKUP('Données projet'!$B$12,Paramètres!$A$1:$I$89,3,0)*VLOOKUP('Données projet'!$B$12,Paramètres!$A$1:$I$89,5,0)</f>
        <v>-2.9558577807620169E-14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211.05980622218578</v>
      </c>
      <c r="CE120" s="62">
        <f t="shared" si="94"/>
        <v>168.57746894604855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1.3150000000000006</v>
      </c>
      <c r="CT120" s="13">
        <f>IF('Données projet'!$A$140&gt;35,CT119+CS120-DB119,IF(A120&lt;'Données projet'!$A$140,$CQ$205^A120,IF(A120='Données projet'!$A$140,'Données projet'!$B$140,CT119+CS120-DB119)))</f>
        <v>116.69666666666663</v>
      </c>
      <c r="CU120" s="18">
        <f>CT120*VLOOKUP('Données projet'!$B$13,Paramètres!$A$1:$I$89,3,0)*VLOOKUP('Données projet'!$B$13,Paramètres!$A$1:$I$89,5,0)</f>
        <v>134.43455999999995</v>
      </c>
      <c r="CV120" s="14">
        <f t="shared" si="95"/>
        <v>35.019046965466664</v>
      </c>
      <c r="CW120" s="22">
        <f t="shared" si="67"/>
        <v>295.13169879818764</v>
      </c>
      <c r="CX120" s="62">
        <f t="shared" si="68"/>
        <v>588.46503213152096</v>
      </c>
      <c r="CY120" s="62">
        <f ca="1">AVERAGE(OFFSET($CX$3,0,0,'Données projet'!$E$13+1,1))-AVERAGE(OFFSET($H$3,0,0,'Données projet'!$E$13+1,1))</f>
        <v>191.79777926975839</v>
      </c>
      <c r="CZ120" s="62">
        <f t="shared" si="96"/>
        <v>156.66161375678712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4.4859999999999998</v>
      </c>
      <c r="DO120" s="13">
        <f>IF('Données projet'!$A$166&gt;35,DO119+DN120-DW119,IF(A120&lt;'Données projet'!$A$166,$DL$205^A120,IF(A120='Données projet'!$A$166,'Données projet'!$B$166,DO119+DN120-DW119)))</f>
        <v>305.74200000000013</v>
      </c>
      <c r="DP120" s="18">
        <f>DO120*VLOOKUP('Données projet'!$B$14,Paramètres!$A$1:$I$89,3,0)*VLOOKUP('Données projet'!$B$14,Paramètres!$A$1:$I$89,5,0)</f>
        <v>333.87026400000013</v>
      </c>
      <c r="DQ120" s="14">
        <f t="shared" si="97"/>
        <v>78.232166317923401</v>
      </c>
      <c r="DR120" s="22">
        <f t="shared" si="70"/>
        <v>717.74506613705023</v>
      </c>
      <c r="DS120" s="62">
        <f t="shared" si="71"/>
        <v>1011.0783994703836</v>
      </c>
      <c r="DT120" s="62">
        <f ca="1">AVERAGE(OFFSET($DS$3,0,0,'Données projet'!$E$14+1,1))-AVERAGE(OFFSET($H$3,0,0,'Données projet'!$E$14+1,1))</f>
        <v>541.0854688453461</v>
      </c>
      <c r="DU120" s="62">
        <f t="shared" si="98"/>
        <v>171.04847168584473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5.1159076974727213E-13</v>
      </c>
      <c r="EK120" s="18">
        <f>EJ120*VLOOKUP('Données projet'!$B$15,Paramètres!$A$1:$I$89,3,0)*VLOOKUP('Données projet'!$B$15,Paramètres!$A$1:$I$89,5,0)</f>
        <v>3.0593128030886877E-13</v>
      </c>
      <c r="EL120" s="14">
        <f t="shared" si="99"/>
        <v>4.0350537939347394E-12</v>
      </c>
      <c r="EM120" s="22">
        <f t="shared" si="73"/>
        <v>7.5605490043076185E-12</v>
      </c>
      <c r="EN120" s="62">
        <f t="shared" si="74"/>
        <v>293.33333333334087</v>
      </c>
      <c r="EO120" s="62">
        <f ca="1">AVERAGE(OFFSET($EN$3,0,0,'Données projet'!$E$15+1,1))-AVERAGE(OFFSET($H$3,0,0,'Données projet'!$E$15+1,1))</f>
        <v>244.01698421598974</v>
      </c>
      <c r="EP120" s="62">
        <f t="shared" si="100"/>
        <v>156.96653202915024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0.32235651400255755</v>
      </c>
      <c r="EX120" s="23">
        <f>EXP(-LN(2)/2)*EX119+(1-EXP(-LN(2)/2))/(LN(2)/2)*ER120*EU120*VLOOKUP('Données projet'!$B$15,Paramètres!$A$1:$I$89,3,0)*0.475*44/12</f>
        <v>8.0053486098866075E-13</v>
      </c>
      <c r="EY120" s="24">
        <f t="shared" si="75"/>
        <v>0.32235651400335807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-5.6843418860808015E-14</v>
      </c>
      <c r="FF120" s="18">
        <f>FE120*VLOOKUP('Données projet'!$B$16,Paramètres!$A$1:$I$89,3,0)*VLOOKUP('Données projet'!$B$16,Paramètres!$A$1:$I$89,5,0)</f>
        <v>-4.9658410716801891E-14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175.08726167127026</v>
      </c>
      <c r="FK120" s="62">
        <f t="shared" si="102"/>
        <v>196.05343924817117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8.5265128291212022E-14</v>
      </c>
      <c r="GA120" s="18">
        <f>FZ120*VLOOKUP('Données projet'!$B$17,Paramètres!$A$1:$I$89,3,0)*VLOOKUP('Données projet'!$B$17,Paramètres!$A$1:$I$89,5,0)</f>
        <v>5.5865712056402117E-14</v>
      </c>
      <c r="GB120" s="14">
        <f t="shared" si="103"/>
        <v>8.9811031843713517E-13</v>
      </c>
      <c r="GC120" s="22">
        <f t="shared" si="79"/>
        <v>1.6615082531095774E-12</v>
      </c>
      <c r="GD120" s="62">
        <f t="shared" si="80"/>
        <v>293.33333333333496</v>
      </c>
      <c r="GE120" s="62">
        <f ca="1">AVERAGE(OFFSET($GD$3,0,0,'Données projet'!$E$17+1,1))-AVERAGE(OFFSET($H$3,0,0,'Données projet'!$E$17+1,1))</f>
        <v>142.93037460866543</v>
      </c>
      <c r="GF120" s="62">
        <f t="shared" si="104"/>
        <v>146.18554498808049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3</v>
      </c>
      <c r="GU120" s="13">
        <f>IF('Données projet'!$A$270&gt;35,GU119+GT120-HC119,IF(A120&lt;'Données projet'!$A$270,$GR$205^A120,IF(A120='Données projet'!$A$270,'Données projet'!$B$270,GU119+GT120-HC119)))</f>
        <v>192.00000000000006</v>
      </c>
      <c r="GV120" s="18">
        <f>GU120*VLOOKUP('Données projet'!$B$18,Paramètres!$A$1:$I$89,3,0)*VLOOKUP('Données projet'!$B$18,Paramètres!$A$1:$I$89,5,0)</f>
        <v>164.73600000000008</v>
      </c>
      <c r="GW120" s="14">
        <f t="shared" si="105"/>
        <v>41.908913144700328</v>
      </c>
      <c r="GX120" s="22">
        <f t="shared" si="82"/>
        <v>359.90655706035318</v>
      </c>
      <c r="GY120" s="62">
        <f t="shared" si="83"/>
        <v>653.23989039368644</v>
      </c>
      <c r="GZ120" s="62">
        <f ca="1">AVERAGE(OFFSET($GY$3,0,0,'Données projet'!$E$18+1,1))-AVERAGE(OFFSET($H$3,0,0,'Données projet'!$E$18+1,1))</f>
        <v>188.08607733149256</v>
      </c>
      <c r="HA120" s="62">
        <f t="shared" si="106"/>
        <v>119.95698016603842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35.281999999999961</v>
      </c>
      <c r="D121" s="12">
        <f t="shared" si="86"/>
        <v>10.739153957997566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355.2510130091037</v>
      </c>
      <c r="H121" s="70">
        <f t="shared" si="56"/>
        <v>336.82017647684569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</v>
      </c>
      <c r="N121" s="14">
        <f>IF('Données projet'!$A$36&gt;35,N120+M121-V120,IF(A121&lt;'Données projet'!$A$36,$K$205^A121,IF(A121='Données projet'!$A$36,'Données projet'!$B$36,N120+M121-V120)))</f>
        <v>195.00000000000006</v>
      </c>
      <c r="O121" s="14">
        <f>N121*VLOOKUP('Données projet'!$B$9,Paramètres!$A$1:$I$89,3,0)*VLOOKUP('Données projet'!$B$9,Paramètres!$A$1:$I$89,5,0)</f>
        <v>209.89800000000008</v>
      </c>
      <c r="P121" s="14">
        <f t="shared" si="87"/>
        <v>51.913295501810218</v>
      </c>
      <c r="Q121" s="22">
        <f t="shared" si="107"/>
        <v>455.98800633231963</v>
      </c>
      <c r="R121" s="62">
        <f t="shared" si="55"/>
        <v>749.32133966565289</v>
      </c>
      <c r="S121" s="62">
        <f ca="1">AVERAGE(OFFSET($R$3,0,0,'Données projet'!$E$9+1,1))-AVERAGE(OFFSET($H$3,0,0,'Données projet'!$E$9+1,1))</f>
        <v>236.98575892380046</v>
      </c>
      <c r="T121" s="62">
        <f t="shared" si="88"/>
        <v>145.77678223659774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140.04898296125504</v>
      </c>
      <c r="AO121" s="62">
        <f t="shared" si="90"/>
        <v>129.5395511270716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-6.2527760746888816E-13</v>
      </c>
      <c r="BE121" s="14">
        <f>BD121*VLOOKUP('Données projet'!$B$11,Paramètres!$A$1:$I$89,3,0)*VLOOKUP('Données projet'!$B$11,Paramètres!$A$1:$I$89,5,0)</f>
        <v>-2.9262992029543964E-13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207.84100251878419</v>
      </c>
      <c r="BJ121" s="62">
        <f t="shared" si="92"/>
        <v>124.34917784241952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-5.6843418860808015E-14</v>
      </c>
      <c r="BZ121" s="14">
        <f>BY121*VLOOKUP('Données projet'!$B$12,Paramètres!$A$1:$I$89,3,0)*VLOOKUP('Données projet'!$B$12,Paramètres!$A$1:$I$89,5,0)</f>
        <v>-2.9558577807620169E-14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211.05980622218578</v>
      </c>
      <c r="CE121" s="62">
        <f t="shared" si="94"/>
        <v>168.57746894604855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1.3150000000000006</v>
      </c>
      <c r="CT121" s="13">
        <f>IF('Données projet'!$A$140&gt;35,CT120+CS121-DB120,IF(A121&lt;'Données projet'!$A$140,$CQ$205^A121,IF(A121='Données projet'!$A$140,'Données projet'!$B$140,CT120+CS121-DB120)))</f>
        <v>118.01166666666663</v>
      </c>
      <c r="CU121" s="18">
        <f>CT121*VLOOKUP('Données projet'!$B$13,Paramètres!$A$1:$I$89,3,0)*VLOOKUP('Données projet'!$B$13,Paramètres!$A$1:$I$89,5,0)</f>
        <v>135.94943999999995</v>
      </c>
      <c r="CV121" s="14">
        <f t="shared" si="95"/>
        <v>35.367499480643595</v>
      </c>
      <c r="CW121" s="22">
        <f t="shared" si="67"/>
        <v>298.37700292878753</v>
      </c>
      <c r="CX121" s="62">
        <f t="shared" si="68"/>
        <v>591.71033626212079</v>
      </c>
      <c r="CY121" s="62">
        <f ca="1">AVERAGE(OFFSET($CX$3,0,0,'Données projet'!$E$13+1,1))-AVERAGE(OFFSET($H$3,0,0,'Données projet'!$E$13+1,1))</f>
        <v>191.79777926975839</v>
      </c>
      <c r="CZ121" s="62">
        <f t="shared" si="96"/>
        <v>156.66161375678712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4.4859999999999998</v>
      </c>
      <c r="DO121" s="13">
        <f>IF('Données projet'!$A$166&gt;35,DO120+DN121-DW120,IF(A121&lt;'Données projet'!$A$166,$DL$205^A121,IF(A121='Données projet'!$A$166,'Données projet'!$B$166,DO120+DN121-DW120)))</f>
        <v>310.22800000000012</v>
      </c>
      <c r="DP121" s="18">
        <f>DO121*VLOOKUP('Données projet'!$B$14,Paramètres!$A$1:$I$89,3,0)*VLOOKUP('Données projet'!$B$14,Paramètres!$A$1:$I$89,5,0)</f>
        <v>338.76897600000012</v>
      </c>
      <c r="DQ121" s="14">
        <f t="shared" si="97"/>
        <v>79.245555402441013</v>
      </c>
      <c r="DR121" s="22">
        <f t="shared" si="70"/>
        <v>728.04197552591825</v>
      </c>
      <c r="DS121" s="62">
        <f t="shared" si="71"/>
        <v>1021.3753088592516</v>
      </c>
      <c r="DT121" s="62">
        <f ca="1">AVERAGE(OFFSET($DS$3,0,0,'Données projet'!$E$14+1,1))-AVERAGE(OFFSET($H$3,0,0,'Données projet'!$E$14+1,1))</f>
        <v>541.0854688453461</v>
      </c>
      <c r="DU121" s="62">
        <f t="shared" si="98"/>
        <v>171.04847168584473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5.1159076974727213E-13</v>
      </c>
      <c r="EK121" s="18">
        <f>EJ121*VLOOKUP('Données projet'!$B$15,Paramètres!$A$1:$I$89,3,0)*VLOOKUP('Données projet'!$B$15,Paramètres!$A$1:$I$89,5,0)</f>
        <v>3.0593128030886877E-13</v>
      </c>
      <c r="EL121" s="14">
        <f t="shared" si="99"/>
        <v>4.0350537939347394E-12</v>
      </c>
      <c r="EM121" s="22">
        <f t="shared" si="73"/>
        <v>7.5605490043076185E-12</v>
      </c>
      <c r="EN121" s="62">
        <f t="shared" si="74"/>
        <v>293.33333333334087</v>
      </c>
      <c r="EO121" s="62">
        <f ca="1">AVERAGE(OFFSET($EN$3,0,0,'Données projet'!$E$15+1,1))-AVERAGE(OFFSET($H$3,0,0,'Données projet'!$E$15+1,1))</f>
        <v>244.01698421598974</v>
      </c>
      <c r="EP121" s="62">
        <f t="shared" si="100"/>
        <v>156.96653202915024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0.31354165817516527</v>
      </c>
      <c r="EX121" s="23">
        <f>EXP(-LN(2)/2)*EX120+(1-EXP(-LN(2)/2))/(LN(2)/2)*ER121*EU121*VLOOKUP('Données projet'!$B$15,Paramètres!$A$1:$I$89,3,0)*0.475*44/12</f>
        <v>5.6606362878131217E-13</v>
      </c>
      <c r="EY121" s="24">
        <f t="shared" si="75"/>
        <v>0.31354165817573132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-5.6843418860808015E-14</v>
      </c>
      <c r="FF121" s="18">
        <f>FE121*VLOOKUP('Données projet'!$B$16,Paramètres!$A$1:$I$89,3,0)*VLOOKUP('Données projet'!$B$16,Paramètres!$A$1:$I$89,5,0)</f>
        <v>-4.9658410716801891E-14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175.08726167127026</v>
      </c>
      <c r="FK121" s="62">
        <f t="shared" si="102"/>
        <v>196.05343924817117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8.5265128291212022E-14</v>
      </c>
      <c r="GA121" s="18">
        <f>FZ121*VLOOKUP('Données projet'!$B$17,Paramètres!$A$1:$I$89,3,0)*VLOOKUP('Données projet'!$B$17,Paramètres!$A$1:$I$89,5,0)</f>
        <v>5.5865712056402117E-14</v>
      </c>
      <c r="GB121" s="14">
        <f t="shared" si="103"/>
        <v>8.9811031843713517E-13</v>
      </c>
      <c r="GC121" s="22">
        <f t="shared" si="79"/>
        <v>1.6615082531095774E-12</v>
      </c>
      <c r="GD121" s="62">
        <f t="shared" si="80"/>
        <v>293.33333333333496</v>
      </c>
      <c r="GE121" s="62">
        <f ca="1">AVERAGE(OFFSET($GD$3,0,0,'Données projet'!$E$17+1,1))-AVERAGE(OFFSET($H$3,0,0,'Données projet'!$E$17+1,1))</f>
        <v>142.93037460866543</v>
      </c>
      <c r="GF121" s="62">
        <f t="shared" si="104"/>
        <v>146.18554498808049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3</v>
      </c>
      <c r="GU121" s="13">
        <f>IF('Données projet'!$A$270&gt;35,GU120+GT121-HC120,IF(A121&lt;'Données projet'!$A$270,$GR$205^A121,IF(A121='Données projet'!$A$270,'Données projet'!$B$270,GU120+GT121-HC120)))</f>
        <v>195.00000000000006</v>
      </c>
      <c r="GV121" s="18">
        <f>GU121*VLOOKUP('Données projet'!$B$18,Paramètres!$A$1:$I$89,3,0)*VLOOKUP('Données projet'!$B$18,Paramètres!$A$1:$I$89,5,0)</f>
        <v>167.31000000000006</v>
      </c>
      <c r="GW121" s="14">
        <f t="shared" si="105"/>
        <v>42.486994942347515</v>
      </c>
      <c r="GX121" s="22">
        <f t="shared" si="82"/>
        <v>365.39643285792204</v>
      </c>
      <c r="GY121" s="62">
        <f t="shared" si="83"/>
        <v>658.72976619125529</v>
      </c>
      <c r="GZ121" s="62">
        <f ca="1">AVERAGE(OFFSET($GY$3,0,0,'Données projet'!$E$18+1,1))-AVERAGE(OFFSET($H$3,0,0,'Données projet'!$E$18+1,1))</f>
        <v>188.08607733149256</v>
      </c>
      <c r="HA121" s="62">
        <f t="shared" si="106"/>
        <v>119.95698016603842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35.58099999999996</v>
      </c>
      <c r="D122" s="12">
        <f t="shared" si="86"/>
        <v>10.81953066059183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358.17953492386647</v>
      </c>
      <c r="H122" s="70">
        <f t="shared" si="56"/>
        <v>337.48092423386407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</v>
      </c>
      <c r="N122" s="14">
        <f>IF('Données projet'!$A$36&gt;35,N121+M122-V121,IF(A122&lt;'Données projet'!$A$36,$K$205^A122,IF(A122='Données projet'!$A$36,'Données projet'!$B$36,N121+M122-V121)))</f>
        <v>198.00000000000006</v>
      </c>
      <c r="O122" s="14">
        <f>N122*VLOOKUP('Données projet'!$B$9,Paramètres!$A$1:$I$89,3,0)*VLOOKUP('Données projet'!$B$9,Paramètres!$A$1:$I$89,5,0)</f>
        <v>213.12720000000004</v>
      </c>
      <c r="P122" s="14">
        <f t="shared" si="87"/>
        <v>52.618368568459893</v>
      </c>
      <c r="Q122" s="22">
        <f t="shared" si="107"/>
        <v>462.8401985900677</v>
      </c>
      <c r="R122" s="62">
        <f t="shared" si="55"/>
        <v>756.17353192340101</v>
      </c>
      <c r="S122" s="62">
        <f ca="1">AVERAGE(OFFSET($R$3,0,0,'Données projet'!$E$9+1,1))-AVERAGE(OFFSET($H$3,0,0,'Données projet'!$E$9+1,1))</f>
        <v>236.98575892380046</v>
      </c>
      <c r="T122" s="62">
        <f t="shared" si="88"/>
        <v>145.77678223659774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140.04898296125504</v>
      </c>
      <c r="AO122" s="62">
        <f t="shared" si="90"/>
        <v>129.5395511270716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-6.2527760746888816E-13</v>
      </c>
      <c r="BE122" s="14">
        <f>BD122*VLOOKUP('Données projet'!$B$11,Paramètres!$A$1:$I$89,3,0)*VLOOKUP('Données projet'!$B$11,Paramètres!$A$1:$I$89,5,0)</f>
        <v>-2.9262992029543964E-13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207.84100251878419</v>
      </c>
      <c r="BJ122" s="62">
        <f t="shared" si="92"/>
        <v>124.34917784241952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-5.6843418860808015E-14</v>
      </c>
      <c r="BZ122" s="14">
        <f>BY122*VLOOKUP('Données projet'!$B$12,Paramètres!$A$1:$I$89,3,0)*VLOOKUP('Données projet'!$B$12,Paramètres!$A$1:$I$89,5,0)</f>
        <v>-2.9558577807620169E-14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211.05980622218578</v>
      </c>
      <c r="CE122" s="62">
        <f t="shared" si="94"/>
        <v>168.57746894604855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1.3150000000000006</v>
      </c>
      <c r="CT122" s="13">
        <f>IF('Données projet'!$A$140&gt;35,CT121+CS122-DB121,IF(A122&lt;'Données projet'!$A$140,$CQ$205^A122,IF(A122='Données projet'!$A$140,'Données projet'!$B$140,CT121+CS122-DB121)))</f>
        <v>119.32666666666663</v>
      </c>
      <c r="CU122" s="18">
        <f>CT122*VLOOKUP('Données projet'!$B$13,Paramètres!$A$1:$I$89,3,0)*VLOOKUP('Données projet'!$B$13,Paramètres!$A$1:$I$89,5,0)</f>
        <v>137.46431999999996</v>
      </c>
      <c r="CV122" s="14">
        <f t="shared" si="95"/>
        <v>35.715500321625576</v>
      </c>
      <c r="CW122" s="22">
        <f t="shared" si="67"/>
        <v>301.6215203934978</v>
      </c>
      <c r="CX122" s="62">
        <f t="shared" si="68"/>
        <v>594.95485372683106</v>
      </c>
      <c r="CY122" s="62">
        <f ca="1">AVERAGE(OFFSET($CX$3,0,0,'Données projet'!$E$13+1,1))-AVERAGE(OFFSET($H$3,0,0,'Données projet'!$E$13+1,1))</f>
        <v>191.79777926975839</v>
      </c>
      <c r="CZ122" s="62">
        <f t="shared" si="96"/>
        <v>156.66161375678712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4.4859999999999998</v>
      </c>
      <c r="DO122" s="13">
        <f>IF('Données projet'!$A$166&gt;35,DO121+DN122-DW121,IF(A122&lt;'Données projet'!$A$166,$DL$205^A122,IF(A122='Données projet'!$A$166,'Données projet'!$B$166,DO121+DN122-DW121)))</f>
        <v>314.71400000000011</v>
      </c>
      <c r="DP122" s="18">
        <f>DO122*VLOOKUP('Données projet'!$B$14,Paramètres!$A$1:$I$89,3,0)*VLOOKUP('Données projet'!$B$14,Paramètres!$A$1:$I$89,5,0)</f>
        <v>343.66768800000011</v>
      </c>
      <c r="DQ122" s="14">
        <f t="shared" si="97"/>
        <v>80.257240139901057</v>
      </c>
      <c r="DR122" s="22">
        <f t="shared" si="70"/>
        <v>738.33591651032782</v>
      </c>
      <c r="DS122" s="62">
        <f t="shared" si="71"/>
        <v>1031.6692498436612</v>
      </c>
      <c r="DT122" s="62">
        <f ca="1">AVERAGE(OFFSET($DS$3,0,0,'Données projet'!$E$14+1,1))-AVERAGE(OFFSET($H$3,0,0,'Données projet'!$E$14+1,1))</f>
        <v>541.0854688453461</v>
      </c>
      <c r="DU122" s="62">
        <f t="shared" si="98"/>
        <v>171.04847168584473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5.1159076974727213E-13</v>
      </c>
      <c r="EK122" s="18">
        <f>EJ122*VLOOKUP('Données projet'!$B$15,Paramètres!$A$1:$I$89,3,0)*VLOOKUP('Données projet'!$B$15,Paramètres!$A$1:$I$89,5,0)</f>
        <v>3.0593128030886877E-13</v>
      </c>
      <c r="EL122" s="14">
        <f t="shared" si="99"/>
        <v>4.0350537939347394E-12</v>
      </c>
      <c r="EM122" s="22">
        <f t="shared" si="73"/>
        <v>7.5605490043076185E-12</v>
      </c>
      <c r="EN122" s="62">
        <f t="shared" si="74"/>
        <v>293.33333333334087</v>
      </c>
      <c r="EO122" s="62">
        <f ca="1">AVERAGE(OFFSET($EN$3,0,0,'Données projet'!$E$15+1,1))-AVERAGE(OFFSET($H$3,0,0,'Données projet'!$E$15+1,1))</f>
        <v>244.01698421598974</v>
      </c>
      <c r="EP122" s="62">
        <f t="shared" si="100"/>
        <v>156.96653202915024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0.30496784504392616</v>
      </c>
      <c r="EX122" s="23">
        <f>EXP(-LN(2)/2)*EX121+(1-EXP(-LN(2)/2))/(LN(2)/2)*ER122*EU122*VLOOKUP('Données projet'!$B$15,Paramètres!$A$1:$I$89,3,0)*0.475*44/12</f>
        <v>4.0026743049433037E-13</v>
      </c>
      <c r="EY122" s="24">
        <f t="shared" si="75"/>
        <v>0.30496784504432645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-5.6843418860808015E-14</v>
      </c>
      <c r="FF122" s="18">
        <f>FE122*VLOOKUP('Données projet'!$B$16,Paramètres!$A$1:$I$89,3,0)*VLOOKUP('Données projet'!$B$16,Paramètres!$A$1:$I$89,5,0)</f>
        <v>-4.9658410716801891E-14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175.08726167127026</v>
      </c>
      <c r="FK122" s="62">
        <f t="shared" si="102"/>
        <v>196.05343924817117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8.5265128291212022E-14</v>
      </c>
      <c r="GA122" s="18">
        <f>FZ122*VLOOKUP('Données projet'!$B$17,Paramètres!$A$1:$I$89,3,0)*VLOOKUP('Données projet'!$B$17,Paramètres!$A$1:$I$89,5,0)</f>
        <v>5.5865712056402117E-14</v>
      </c>
      <c r="GB122" s="14">
        <f t="shared" si="103"/>
        <v>8.9811031843713517E-13</v>
      </c>
      <c r="GC122" s="22">
        <f t="shared" si="79"/>
        <v>1.6615082531095774E-12</v>
      </c>
      <c r="GD122" s="62">
        <f t="shared" si="80"/>
        <v>293.33333333333496</v>
      </c>
      <c r="GE122" s="62">
        <f ca="1">AVERAGE(OFFSET($GD$3,0,0,'Données projet'!$E$17+1,1))-AVERAGE(OFFSET($H$3,0,0,'Données projet'!$E$17+1,1))</f>
        <v>142.93037460866543</v>
      </c>
      <c r="GF122" s="62">
        <f t="shared" si="104"/>
        <v>146.18554498808049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3</v>
      </c>
      <c r="GU122" s="13">
        <f>IF('Données projet'!$A$270&gt;35,GU121+GT122-HC121,IF(A122&lt;'Données projet'!$A$270,$GR$205^A122,IF(A122='Données projet'!$A$270,'Données projet'!$B$270,GU121+GT122-HC121)))</f>
        <v>198.00000000000006</v>
      </c>
      <c r="GV122" s="18">
        <f>GU122*VLOOKUP('Données projet'!$B$18,Paramètres!$A$1:$I$89,3,0)*VLOOKUP('Données projet'!$B$18,Paramètres!$A$1:$I$89,5,0)</f>
        <v>169.88400000000007</v>
      </c>
      <c r="GW122" s="14">
        <f t="shared" si="105"/>
        <v>43.064042412117296</v>
      </c>
      <c r="GX122" s="22">
        <f t="shared" si="82"/>
        <v>370.88450720110444</v>
      </c>
      <c r="GY122" s="62">
        <f t="shared" si="83"/>
        <v>664.21784053443776</v>
      </c>
      <c r="GZ122" s="62">
        <f ca="1">AVERAGE(OFFSET($GY$3,0,0,'Données projet'!$E$18+1,1))-AVERAGE(OFFSET($H$3,0,0,'Données projet'!$E$18+1,1))</f>
        <v>188.08607733149256</v>
      </c>
      <c r="HA122" s="62">
        <f t="shared" si="106"/>
        <v>119.95698016603842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35.87999999999996</v>
      </c>
      <c r="D123" s="12">
        <f t="shared" si="86"/>
        <v>10.899828780073765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361.1074502321481</v>
      </c>
      <c r="H123" s="70">
        <f t="shared" si="56"/>
        <v>338.14153512529509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201</v>
      </c>
      <c r="L123" s="13">
        <f>VLOOKUP(A123,'Données projet'!$A$35:$I$55,9,0)</f>
        <v>3</v>
      </c>
      <c r="M123" s="13">
        <f t="array" ref="M123">INDEX(L:L,MIN(IF(ISNUMBER(L123:L319),ROW(L123:L319),"")))</f>
        <v>3</v>
      </c>
      <c r="N123" s="14">
        <f>IF('Données projet'!$A$36&gt;35,N122+M123-V122,IF(A123&lt;'Données projet'!$A$36,$K$205^A123,IF(A123='Données projet'!$A$36,'Données projet'!$B$36,N122+M123-V122)))</f>
        <v>201.00000000000006</v>
      </c>
      <c r="O123" s="14">
        <f>N123*VLOOKUP('Données projet'!$B$9,Paramètres!$A$1:$I$89,3,0)*VLOOKUP('Données projet'!$B$9,Paramètres!$A$1:$I$89,5,0)</f>
        <v>216.35640000000004</v>
      </c>
      <c r="P123" s="14">
        <f t="shared" si="87"/>
        <v>53.322199188237285</v>
      </c>
      <c r="Q123" s="22">
        <f t="shared" si="107"/>
        <v>469.69022691951341</v>
      </c>
      <c r="R123" s="62">
        <f t="shared" si="55"/>
        <v>763.02356025284666</v>
      </c>
      <c r="S123" s="62">
        <f ca="1">AVERAGE(OFFSET($R$3,0,0,'Données projet'!$E$9+1,1))-AVERAGE(OFFSET($H$3,0,0,'Données projet'!$E$9+1,1))</f>
        <v>236.98575892380046</v>
      </c>
      <c r="T123" s="62">
        <f t="shared" si="88"/>
        <v>145.77678223659774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201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140.04898296125504</v>
      </c>
      <c r="AO123" s="62">
        <f t="shared" si="90"/>
        <v>129.5395511270716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-6.2527760746888816E-13</v>
      </c>
      <c r="BE123" s="14">
        <f>BD123*VLOOKUP('Données projet'!$B$11,Paramètres!$A$1:$I$89,3,0)*VLOOKUP('Données projet'!$B$11,Paramètres!$A$1:$I$89,5,0)</f>
        <v>-2.9262992029543964E-13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207.84100251878419</v>
      </c>
      <c r="BJ123" s="62">
        <f t="shared" si="92"/>
        <v>124.34917784241952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-5.6843418860808015E-14</v>
      </c>
      <c r="BZ123" s="14">
        <f>BY123*VLOOKUP('Données projet'!$B$12,Paramètres!$A$1:$I$89,3,0)*VLOOKUP('Données projet'!$B$12,Paramètres!$A$1:$I$89,5,0)</f>
        <v>-2.9558577807620169E-14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211.05980622218578</v>
      </c>
      <c r="CE123" s="62">
        <f t="shared" si="94"/>
        <v>168.57746894604855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120.64166666666668</v>
      </c>
      <c r="CR123" s="13">
        <f>VLOOKUP(A123,'Données projet'!$A$139:$I$159,9,0)</f>
        <v>1.3150000000000006</v>
      </c>
      <c r="CS123" s="13">
        <f t="array" ref="CS123">INDEX(CR:CR,MIN(IF(ISNUMBER(CR123:CR319),ROW(CR123:CR319),"")))</f>
        <v>1.3150000000000006</v>
      </c>
      <c r="CT123" s="13">
        <f>IF('Données projet'!$A$140&gt;35,CT122+CS123-DB122,IF(A123&lt;'Données projet'!$A$140,$CQ$205^A123,IF(A123='Données projet'!$A$140,'Données projet'!$B$140,CT122+CS123-DB122)))</f>
        <v>120.64166666666662</v>
      </c>
      <c r="CU123" s="18">
        <f>CT123*VLOOKUP('Données projet'!$B$13,Paramètres!$A$1:$I$89,3,0)*VLOOKUP('Données projet'!$B$13,Paramètres!$A$1:$I$89,5,0)</f>
        <v>138.97919999999993</v>
      </c>
      <c r="CV123" s="14">
        <f t="shared" si="95"/>
        <v>36.063055041985905</v>
      </c>
      <c r="CW123" s="22">
        <f t="shared" si="67"/>
        <v>304.86526086479199</v>
      </c>
      <c r="CX123" s="62">
        <f t="shared" si="68"/>
        <v>598.19859419812531</v>
      </c>
      <c r="CY123" s="62">
        <f ca="1">AVERAGE(OFFSET($CX$3,0,0,'Données projet'!$E$13+1,1))-AVERAGE(OFFSET($H$3,0,0,'Données projet'!$E$13+1,1))</f>
        <v>191.79777926975839</v>
      </c>
      <c r="CZ123" s="62">
        <f t="shared" si="96"/>
        <v>156.66161375678712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8.875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4.4859999999999998</v>
      </c>
      <c r="DO123" s="13">
        <f>IF('Données projet'!$A$166&gt;35,DO122+DN123-DW122,IF(A123&lt;'Données projet'!$A$166,$DL$205^A123,IF(A123='Données projet'!$A$166,'Données projet'!$B$166,DO122+DN123-DW122)))</f>
        <v>319.2000000000001</v>
      </c>
      <c r="DP123" s="18">
        <f>DO123*VLOOKUP('Données projet'!$B$14,Paramètres!$A$1:$I$89,3,0)*VLOOKUP('Données projet'!$B$14,Paramètres!$A$1:$I$89,5,0)</f>
        <v>348.5664000000001</v>
      </c>
      <c r="DQ123" s="14">
        <f t="shared" si="97"/>
        <v>81.267247631622993</v>
      </c>
      <c r="DR123" s="22">
        <f t="shared" si="70"/>
        <v>748.62693629174339</v>
      </c>
      <c r="DS123" s="62">
        <f t="shared" si="71"/>
        <v>1041.9602696250768</v>
      </c>
      <c r="DT123" s="62">
        <f ca="1">AVERAGE(OFFSET($DS$3,0,0,'Données projet'!$E$14+1,1))-AVERAGE(OFFSET($H$3,0,0,'Données projet'!$E$14+1,1))</f>
        <v>541.0854688453461</v>
      </c>
      <c r="DU123" s="62">
        <f t="shared" si="98"/>
        <v>171.04847168584473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5.1159076974727213E-13</v>
      </c>
      <c r="EK123" s="18">
        <f>EJ123*VLOOKUP('Données projet'!$B$15,Paramètres!$A$1:$I$89,3,0)*VLOOKUP('Données projet'!$B$15,Paramètres!$A$1:$I$89,5,0)</f>
        <v>3.0593128030886877E-13</v>
      </c>
      <c r="EL123" s="14">
        <f t="shared" si="99"/>
        <v>4.0350537939347394E-12</v>
      </c>
      <c r="EM123" s="22">
        <f t="shared" si="73"/>
        <v>7.5605490043076185E-12</v>
      </c>
      <c r="EN123" s="62">
        <f t="shared" si="74"/>
        <v>293.33333333334087</v>
      </c>
      <c r="EO123" s="62">
        <f ca="1">AVERAGE(OFFSET($EN$3,0,0,'Données projet'!$E$15+1,1))-AVERAGE(OFFSET($H$3,0,0,'Données projet'!$E$15+1,1))</f>
        <v>244.01698421598974</v>
      </c>
      <c r="EP123" s="62">
        <f t="shared" si="100"/>
        <v>156.96653202915024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0.29662848328363806</v>
      </c>
      <c r="EX123" s="23">
        <f>EXP(-LN(2)/2)*EX122+(1-EXP(-LN(2)/2))/(LN(2)/2)*ER123*EU123*VLOOKUP('Données projet'!$B$15,Paramètres!$A$1:$I$89,3,0)*0.475*44/12</f>
        <v>2.8303181439065608E-13</v>
      </c>
      <c r="EY123" s="24">
        <f t="shared" si="75"/>
        <v>0.29662848328392111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-5.6843418860808015E-14</v>
      </c>
      <c r="FF123" s="18">
        <f>FE123*VLOOKUP('Données projet'!$B$16,Paramètres!$A$1:$I$89,3,0)*VLOOKUP('Données projet'!$B$16,Paramètres!$A$1:$I$89,5,0)</f>
        <v>-4.9658410716801891E-14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175.08726167127026</v>
      </c>
      <c r="FK123" s="62">
        <f t="shared" si="102"/>
        <v>196.05343924817117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8.5265128291212022E-14</v>
      </c>
      <c r="GA123" s="18">
        <f>FZ123*VLOOKUP('Données projet'!$B$17,Paramètres!$A$1:$I$89,3,0)*VLOOKUP('Données projet'!$B$17,Paramètres!$A$1:$I$89,5,0)</f>
        <v>5.5865712056402117E-14</v>
      </c>
      <c r="GB123" s="14">
        <f t="shared" si="103"/>
        <v>8.9811031843713517E-13</v>
      </c>
      <c r="GC123" s="22">
        <f t="shared" si="79"/>
        <v>1.6615082531095774E-12</v>
      </c>
      <c r="GD123" s="62">
        <f t="shared" si="80"/>
        <v>293.33333333333496</v>
      </c>
      <c r="GE123" s="62">
        <f ca="1">AVERAGE(OFFSET($GD$3,0,0,'Données projet'!$E$17+1,1))-AVERAGE(OFFSET($H$3,0,0,'Données projet'!$E$17+1,1))</f>
        <v>142.93037460866543</v>
      </c>
      <c r="GF123" s="62">
        <f t="shared" si="104"/>
        <v>146.18554498808049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>
        <f>VLOOKUP(A123,'Données projet'!$A$269:$I$289,2,0)</f>
        <v>201</v>
      </c>
      <c r="GS123" s="13">
        <f>VLOOKUP(A123,'Données projet'!$A$269:$I$289,9,0)</f>
        <v>3</v>
      </c>
      <c r="GT123" s="13">
        <f t="array" ref="GT123">INDEX(GS:GS,MIN(IF(ISNUMBER(GS123:GS319),ROW(GS123:GS319),"")))</f>
        <v>3</v>
      </c>
      <c r="GU123" s="13">
        <f>IF('Données projet'!$A$270&gt;35,GU122+GT123-HC122,IF(A123&lt;'Données projet'!$A$270,$GR$205^A123,IF(A123='Données projet'!$A$270,'Données projet'!$B$270,GU122+GT123-HC122)))</f>
        <v>201.00000000000006</v>
      </c>
      <c r="GV123" s="18">
        <f>GU123*VLOOKUP('Données projet'!$B$18,Paramètres!$A$1:$I$89,3,0)*VLOOKUP('Données projet'!$B$18,Paramètres!$A$1:$I$89,5,0)</f>
        <v>172.45800000000006</v>
      </c>
      <c r="GW123" s="14">
        <f t="shared" si="105"/>
        <v>43.640073035750284</v>
      </c>
      <c r="GX123" s="22">
        <f t="shared" si="82"/>
        <v>376.37081053726519</v>
      </c>
      <c r="GY123" s="62">
        <f t="shared" si="83"/>
        <v>669.7041438705985</v>
      </c>
      <c r="GZ123" s="62">
        <f ca="1">AVERAGE(OFFSET($GY$3,0,0,'Données projet'!$E$18+1,1))-AVERAGE(OFFSET($H$3,0,0,'Données projet'!$E$18+1,1))</f>
        <v>188.08607733149256</v>
      </c>
      <c r="HA123" s="62">
        <f t="shared" si="106"/>
        <v>119.95698016603842</v>
      </c>
      <c r="HB123" s="16">
        <f>IF(ISNA(VLOOKUP(A123,'Données projet'!$A$269:$I$289,3,0)),0,VLOOKUP(A123,'Données projet'!$A$269:$I$289,3,0))</f>
        <v>10</v>
      </c>
      <c r="HC123" s="16">
        <f>IF(ISNA(VLOOKUP(A123,'Données projet'!$A$269:$I$289,4,0)),0,VLOOKUP(A123,'Données projet'!$A$269:$I$289,4,0))</f>
        <v>201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36.178999999999959</v>
      </c>
      <c r="D124" s="12">
        <f t="shared" si="86"/>
        <v>10.980049047190777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364.03476457480571</v>
      </c>
      <c r="H124" s="70">
        <f t="shared" si="56"/>
        <v>338.80201042385721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6.1186256061773749E-14</v>
      </c>
      <c r="P124" s="14">
        <f t="shared" si="87"/>
        <v>9.7328366192051127E-13</v>
      </c>
      <c r="Q124" s="22">
        <f t="shared" si="107"/>
        <v>1.8017017738191463E-12</v>
      </c>
      <c r="R124" s="62">
        <f t="shared" si="55"/>
        <v>293.33333333333513</v>
      </c>
      <c r="S124" s="62">
        <f ca="1">AVERAGE(OFFSET($R$3,0,0,'Données projet'!$E$9+1,1))-AVERAGE(OFFSET($H$3,0,0,'Données projet'!$E$9+1,1))</f>
        <v>236.98575892380046</v>
      </c>
      <c r="T124" s="62">
        <f t="shared" si="88"/>
        <v>145.77678223659774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140.04898296125504</v>
      </c>
      <c r="AO124" s="62">
        <f t="shared" si="90"/>
        <v>129.5395511270716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-6.2527760746888816E-13</v>
      </c>
      <c r="BE124" s="14">
        <f>BD124*VLOOKUP('Données projet'!$B$11,Paramètres!$A$1:$I$89,3,0)*VLOOKUP('Données projet'!$B$11,Paramètres!$A$1:$I$89,5,0)</f>
        <v>-2.9262992029543964E-13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207.84100251878419</v>
      </c>
      <c r="BJ124" s="62">
        <f t="shared" si="92"/>
        <v>124.34917784241952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-2.9558577807620169E-14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211.05980622218578</v>
      </c>
      <c r="CE124" s="62">
        <f t="shared" si="94"/>
        <v>168.57746894604855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1.2474999999999994</v>
      </c>
      <c r="CT124" s="13">
        <f>IF('Données projet'!$A$140&gt;35,CT123+CS124-DB123,IF(A124&lt;'Données projet'!$A$140,$CQ$205^A124,IF(A124='Données projet'!$A$140,'Données projet'!$B$140,CT123+CS124-DB123)))</f>
        <v>113.01416666666663</v>
      </c>
      <c r="CU124" s="18">
        <f>CT124*VLOOKUP('Données projet'!$B$13,Paramètres!$A$1:$I$89,3,0)*VLOOKUP('Données projet'!$B$13,Paramètres!$A$1:$I$89,5,0)</f>
        <v>130.19231999999994</v>
      </c>
      <c r="CV124" s="14">
        <f t="shared" si="95"/>
        <v>34.040795013550785</v>
      </c>
      <c r="CW124" s="22">
        <f t="shared" si="67"/>
        <v>286.03934198193417</v>
      </c>
      <c r="CX124" s="62">
        <f t="shared" si="68"/>
        <v>579.37267531526754</v>
      </c>
      <c r="CY124" s="62">
        <f ca="1">AVERAGE(OFFSET($CX$3,0,0,'Données projet'!$E$13+1,1))-AVERAGE(OFFSET($H$3,0,0,'Données projet'!$E$13+1,1))</f>
        <v>191.79777926975839</v>
      </c>
      <c r="CZ124" s="62">
        <f t="shared" si="96"/>
        <v>156.66161375678712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4.4859999999999998</v>
      </c>
      <c r="DO124" s="13">
        <f>IF('Données projet'!$A$166&gt;35,DO123+DN124-DW123,IF(A124&lt;'Données projet'!$A$166,$DL$205^A124,IF(A124='Données projet'!$A$166,'Données projet'!$B$166,DO123+DN124-DW123)))</f>
        <v>323.68600000000009</v>
      </c>
      <c r="DP124" s="18">
        <f>DO124*VLOOKUP('Données projet'!$B$14,Paramètres!$A$1:$I$89,3,0)*VLOOKUP('Données projet'!$B$14,Paramètres!$A$1:$I$89,5,0)</f>
        <v>353.46511200000009</v>
      </c>
      <c r="DQ124" s="14">
        <f t="shared" si="97"/>
        <v>82.275604173414209</v>
      </c>
      <c r="DR124" s="22">
        <f t="shared" si="70"/>
        <v>758.91508066869653</v>
      </c>
      <c r="DS124" s="62">
        <f t="shared" si="71"/>
        <v>1052.2484140020299</v>
      </c>
      <c r="DT124" s="62">
        <f ca="1">AVERAGE(OFFSET($DS$3,0,0,'Données projet'!$E$14+1,1))-AVERAGE(OFFSET($H$3,0,0,'Données projet'!$E$14+1,1))</f>
        <v>541.0854688453461</v>
      </c>
      <c r="DU124" s="62">
        <f t="shared" si="98"/>
        <v>171.04847168584473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5.1159076974727213E-13</v>
      </c>
      <c r="EK124" s="18">
        <f>EJ124*VLOOKUP('Données projet'!$B$15,Paramètres!$A$1:$I$89,3,0)*VLOOKUP('Données projet'!$B$15,Paramètres!$A$1:$I$89,5,0)</f>
        <v>3.0593128030886877E-13</v>
      </c>
      <c r="EL124" s="14">
        <f t="shared" si="99"/>
        <v>4.0350537939347394E-12</v>
      </c>
      <c r="EM124" s="22">
        <f t="shared" si="73"/>
        <v>7.5605490043076185E-12</v>
      </c>
      <c r="EN124" s="62">
        <f t="shared" si="74"/>
        <v>293.33333333334087</v>
      </c>
      <c r="EO124" s="62">
        <f ca="1">AVERAGE(OFFSET($EN$3,0,0,'Données projet'!$E$15+1,1))-AVERAGE(OFFSET($H$3,0,0,'Données projet'!$E$15+1,1))</f>
        <v>244.01698421598974</v>
      </c>
      <c r="EP124" s="62">
        <f t="shared" si="100"/>
        <v>156.96653202915024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0.28851716180923298</v>
      </c>
      <c r="EX124" s="23">
        <f>EXP(-LN(2)/2)*EX123+(1-EXP(-LN(2)/2))/(LN(2)/2)*ER124*EU124*VLOOKUP('Données projet'!$B$15,Paramètres!$A$1:$I$89,3,0)*0.475*44/12</f>
        <v>2.0013371524716519E-13</v>
      </c>
      <c r="EY124" s="24">
        <f t="shared" si="75"/>
        <v>0.2885171618094331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-5.6843418860808015E-14</v>
      </c>
      <c r="FF124" s="18">
        <f>FE124*VLOOKUP('Données projet'!$B$16,Paramètres!$A$1:$I$89,3,0)*VLOOKUP('Données projet'!$B$16,Paramètres!$A$1:$I$89,5,0)</f>
        <v>-4.9658410716801891E-14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175.08726167127026</v>
      </c>
      <c r="FK124" s="62">
        <f t="shared" si="102"/>
        <v>196.05343924817117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8.5265128291212022E-14</v>
      </c>
      <c r="GA124" s="18">
        <f>FZ124*VLOOKUP('Données projet'!$B$17,Paramètres!$A$1:$I$89,3,0)*VLOOKUP('Données projet'!$B$17,Paramètres!$A$1:$I$89,5,0)</f>
        <v>5.5865712056402117E-14</v>
      </c>
      <c r="GB124" s="14">
        <f t="shared" si="103"/>
        <v>8.9811031843713517E-13</v>
      </c>
      <c r="GC124" s="22">
        <f t="shared" si="79"/>
        <v>1.6615082531095774E-12</v>
      </c>
      <c r="GD124" s="62">
        <f t="shared" si="80"/>
        <v>293.33333333333496</v>
      </c>
      <c r="GE124" s="62">
        <f ca="1">AVERAGE(OFFSET($GD$3,0,0,'Données projet'!$E$17+1,1))-AVERAGE(OFFSET($H$3,0,0,'Données projet'!$E$17+1,1))</f>
        <v>142.93037460866543</v>
      </c>
      <c r="GF124" s="62">
        <f t="shared" si="104"/>
        <v>146.18554498808049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5.6843418860808015E-14</v>
      </c>
      <c r="GV124" s="18">
        <f>GU124*VLOOKUP('Données projet'!$B$18,Paramètres!$A$1:$I$89,3,0)*VLOOKUP('Données projet'!$B$18,Paramètres!$A$1:$I$89,5,0)</f>
        <v>4.8771653382573282E-14</v>
      </c>
      <c r="GW124" s="14">
        <f t="shared" si="105"/>
        <v>7.9655698259503351E-13</v>
      </c>
      <c r="GX124" s="22">
        <f t="shared" si="82"/>
        <v>1.4722807076609983E-12</v>
      </c>
      <c r="GY124" s="62">
        <f t="shared" si="83"/>
        <v>293.33333333333479</v>
      </c>
      <c r="GZ124" s="62">
        <f ca="1">AVERAGE(OFFSET($GY$3,0,0,'Données projet'!$E$18+1,1))-AVERAGE(OFFSET($H$3,0,0,'Données projet'!$E$18+1,1))</f>
        <v>188.08607733149256</v>
      </c>
      <c r="HA124" s="62">
        <f t="shared" si="106"/>
        <v>119.95698016603842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36.477999999999959</v>
      </c>
      <c r="D125" s="12">
        <f t="shared" si="86"/>
        <v>11.060192179914555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366.96148349407696</v>
      </c>
      <c r="H125" s="70">
        <f t="shared" si="56"/>
        <v>339.46235138001782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6.1186256061773749E-14</v>
      </c>
      <c r="P125" s="14">
        <f t="shared" si="87"/>
        <v>9.7328366192051127E-13</v>
      </c>
      <c r="Q125" s="22">
        <f t="shared" si="107"/>
        <v>1.8017017738191463E-12</v>
      </c>
      <c r="R125" s="62">
        <f t="shared" si="55"/>
        <v>293.33333333333513</v>
      </c>
      <c r="S125" s="62">
        <f ca="1">AVERAGE(OFFSET($R$3,0,0,'Données projet'!$E$9+1,1))-AVERAGE(OFFSET($H$3,0,0,'Données projet'!$E$9+1,1))</f>
        <v>236.98575892380046</v>
      </c>
      <c r="T125" s="62">
        <f t="shared" si="88"/>
        <v>145.77678223659774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140.04898296125504</v>
      </c>
      <c r="AO125" s="62">
        <f t="shared" si="90"/>
        <v>129.5395511270716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-6.2527760746888816E-13</v>
      </c>
      <c r="BE125" s="14">
        <f>BD125*VLOOKUP('Données projet'!$B$11,Paramètres!$A$1:$I$89,3,0)*VLOOKUP('Données projet'!$B$11,Paramètres!$A$1:$I$89,5,0)</f>
        <v>-2.9262992029543964E-13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207.84100251878419</v>
      </c>
      <c r="BJ125" s="62">
        <f t="shared" si="92"/>
        <v>124.34917784241952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-2.9558577807620169E-14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211.05980622218578</v>
      </c>
      <c r="CE125" s="62">
        <f t="shared" si="94"/>
        <v>168.57746894604855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1.2474999999999994</v>
      </c>
      <c r="CT125" s="13">
        <f>IF('Données projet'!$A$140&gt;35,CT124+CS125-DB124,IF(A125&lt;'Données projet'!$A$140,$CQ$205^A125,IF(A125='Données projet'!$A$140,'Données projet'!$B$140,CT124+CS125-DB124)))</f>
        <v>114.26166666666663</v>
      </c>
      <c r="CU125" s="18">
        <f>CT125*VLOOKUP('Données projet'!$B$13,Paramètres!$A$1:$I$89,3,0)*VLOOKUP('Données projet'!$B$13,Paramètres!$A$1:$I$89,5,0)</f>
        <v>131.62943999999993</v>
      </c>
      <c r="CV125" s="14">
        <f t="shared" si="95"/>
        <v>34.372601683894764</v>
      </c>
      <c r="CW125" s="22">
        <f t="shared" si="67"/>
        <v>289.1202225994499</v>
      </c>
      <c r="CX125" s="62">
        <f t="shared" si="68"/>
        <v>582.45355593278327</v>
      </c>
      <c r="CY125" s="62">
        <f ca="1">AVERAGE(OFFSET($CX$3,0,0,'Données projet'!$E$13+1,1))-AVERAGE(OFFSET($H$3,0,0,'Données projet'!$E$13+1,1))</f>
        <v>191.79777926975839</v>
      </c>
      <c r="CZ125" s="62">
        <f t="shared" si="96"/>
        <v>156.66161375678712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4.4859999999999998</v>
      </c>
      <c r="DO125" s="13">
        <f>IF('Données projet'!$A$166&gt;35,DO124+DN125-DW124,IF(A125&lt;'Données projet'!$A$166,$DL$205^A125,IF(A125='Données projet'!$A$166,'Données projet'!$B$166,DO124+DN125-DW124)))</f>
        <v>328.17200000000008</v>
      </c>
      <c r="DP125" s="18">
        <f>DO125*VLOOKUP('Données projet'!$B$14,Paramètres!$A$1:$I$89,3,0)*VLOOKUP('Données projet'!$B$14,Paramètres!$A$1:$I$89,5,0)</f>
        <v>358.36382400000008</v>
      </c>
      <c r="DQ125" s="14">
        <f t="shared" si="97"/>
        <v>83.282335290336789</v>
      </c>
      <c r="DR125" s="22">
        <f t="shared" si="70"/>
        <v>769.2003940973367</v>
      </c>
      <c r="DS125" s="62">
        <f t="shared" si="71"/>
        <v>1062.5337274306701</v>
      </c>
      <c r="DT125" s="62">
        <f ca="1">AVERAGE(OFFSET($DS$3,0,0,'Données projet'!$E$14+1,1))-AVERAGE(OFFSET($H$3,0,0,'Données projet'!$E$14+1,1))</f>
        <v>541.0854688453461</v>
      </c>
      <c r="DU125" s="62">
        <f t="shared" si="98"/>
        <v>171.04847168584473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5.1159076974727213E-13</v>
      </c>
      <c r="EK125" s="18">
        <f>EJ125*VLOOKUP('Données projet'!$B$15,Paramètres!$A$1:$I$89,3,0)*VLOOKUP('Données projet'!$B$15,Paramètres!$A$1:$I$89,5,0)</f>
        <v>3.0593128030886877E-13</v>
      </c>
      <c r="EL125" s="14">
        <f t="shared" si="99"/>
        <v>4.0350537939347394E-12</v>
      </c>
      <c r="EM125" s="22">
        <f t="shared" si="73"/>
        <v>7.5605490043076185E-12</v>
      </c>
      <c r="EN125" s="62">
        <f t="shared" si="74"/>
        <v>293.33333333334087</v>
      </c>
      <c r="EO125" s="62">
        <f ca="1">AVERAGE(OFFSET($EN$3,0,0,'Données projet'!$E$15+1,1))-AVERAGE(OFFSET($H$3,0,0,'Données projet'!$E$15+1,1))</f>
        <v>244.01698421598974</v>
      </c>
      <c r="EP125" s="62">
        <f t="shared" si="100"/>
        <v>156.96653202915024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0.2806276448471014</v>
      </c>
      <c r="EX125" s="23">
        <f>EXP(-LN(2)/2)*EX124+(1-EXP(-LN(2)/2))/(LN(2)/2)*ER125*EU125*VLOOKUP('Données projet'!$B$15,Paramètres!$A$1:$I$89,3,0)*0.475*44/12</f>
        <v>1.4151590719532804E-13</v>
      </c>
      <c r="EY125" s="24">
        <f t="shared" si="75"/>
        <v>0.2806276448472429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-5.6843418860808015E-14</v>
      </c>
      <c r="FF125" s="18">
        <f>FE125*VLOOKUP('Données projet'!$B$16,Paramètres!$A$1:$I$89,3,0)*VLOOKUP('Données projet'!$B$16,Paramètres!$A$1:$I$89,5,0)</f>
        <v>-4.9658410716801891E-14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175.08726167127026</v>
      </c>
      <c r="FK125" s="62">
        <f t="shared" si="102"/>
        <v>196.05343924817117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8.5265128291212022E-14</v>
      </c>
      <c r="GA125" s="18">
        <f>FZ125*VLOOKUP('Données projet'!$B$17,Paramètres!$A$1:$I$89,3,0)*VLOOKUP('Données projet'!$B$17,Paramètres!$A$1:$I$89,5,0)</f>
        <v>5.5865712056402117E-14</v>
      </c>
      <c r="GB125" s="14">
        <f t="shared" si="103"/>
        <v>8.9811031843713517E-13</v>
      </c>
      <c r="GC125" s="22">
        <f t="shared" si="79"/>
        <v>1.6615082531095774E-12</v>
      </c>
      <c r="GD125" s="62">
        <f t="shared" si="80"/>
        <v>293.33333333333496</v>
      </c>
      <c r="GE125" s="62">
        <f ca="1">AVERAGE(OFFSET($GD$3,0,0,'Données projet'!$E$17+1,1))-AVERAGE(OFFSET($H$3,0,0,'Données projet'!$E$17+1,1))</f>
        <v>142.93037460866543</v>
      </c>
      <c r="GF125" s="62">
        <f t="shared" si="104"/>
        <v>146.18554498808049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5.6843418860808015E-14</v>
      </c>
      <c r="GV125" s="18">
        <f>GU125*VLOOKUP('Données projet'!$B$18,Paramètres!$A$1:$I$89,3,0)*VLOOKUP('Données projet'!$B$18,Paramètres!$A$1:$I$89,5,0)</f>
        <v>4.8771653382573282E-14</v>
      </c>
      <c r="GW125" s="14">
        <f t="shared" si="105"/>
        <v>7.9655698259503351E-13</v>
      </c>
      <c r="GX125" s="22">
        <f t="shared" si="82"/>
        <v>1.4722807076609983E-12</v>
      </c>
      <c r="GY125" s="62">
        <f t="shared" si="83"/>
        <v>293.33333333333479</v>
      </c>
      <c r="GZ125" s="62">
        <f ca="1">AVERAGE(OFFSET($GY$3,0,0,'Données projet'!$E$18+1,1))-AVERAGE(OFFSET($H$3,0,0,'Données projet'!$E$18+1,1))</f>
        <v>188.08607733149256</v>
      </c>
      <c r="HA125" s="62">
        <f t="shared" si="106"/>
        <v>119.95698016603842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36.776999999999958</v>
      </c>
      <c r="D126" s="12">
        <f t="shared" si="86"/>
        <v>11.140258883767249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369.8876124360977</v>
      </c>
      <c r="H126" s="70">
        <f t="shared" si="56"/>
        <v>340.12255922256122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6.1186256061773749E-14</v>
      </c>
      <c r="P126" s="14">
        <f t="shared" si="87"/>
        <v>9.7328366192051127E-13</v>
      </c>
      <c r="Q126" s="22">
        <f t="shared" si="107"/>
        <v>1.8017017738191463E-12</v>
      </c>
      <c r="R126" s="62">
        <f t="shared" si="55"/>
        <v>293.33333333333513</v>
      </c>
      <c r="S126" s="62">
        <f ca="1">AVERAGE(OFFSET($R$3,0,0,'Données projet'!$E$9+1,1))-AVERAGE(OFFSET($H$3,0,0,'Données projet'!$E$9+1,1))</f>
        <v>236.98575892380046</v>
      </c>
      <c r="T126" s="62">
        <f t="shared" si="88"/>
        <v>145.77678223659774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140.04898296125504</v>
      </c>
      <c r="AO126" s="62">
        <f t="shared" si="90"/>
        <v>129.5395511270716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-6.2527760746888816E-13</v>
      </c>
      <c r="BE126" s="14">
        <f>BD126*VLOOKUP('Données projet'!$B$11,Paramètres!$A$1:$I$89,3,0)*VLOOKUP('Données projet'!$B$11,Paramètres!$A$1:$I$89,5,0)</f>
        <v>-2.9262992029543964E-13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207.84100251878419</v>
      </c>
      <c r="BJ126" s="62">
        <f t="shared" si="92"/>
        <v>124.34917784241952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-2.9558577807620169E-14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211.05980622218578</v>
      </c>
      <c r="CE126" s="62">
        <f t="shared" si="94"/>
        <v>168.57746894604855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1.2474999999999994</v>
      </c>
      <c r="CT126" s="13">
        <f>IF('Données projet'!$A$140&gt;35,CT125+CS126-DB125,IF(A126&lt;'Données projet'!$A$140,$CQ$205^A126,IF(A126='Données projet'!$A$140,'Données projet'!$B$140,CT125+CS126-DB125)))</f>
        <v>115.50916666666663</v>
      </c>
      <c r="CU126" s="18">
        <f>CT126*VLOOKUP('Données projet'!$B$13,Paramètres!$A$1:$I$89,3,0)*VLOOKUP('Données projet'!$B$13,Paramètres!$A$1:$I$89,5,0)</f>
        <v>133.06655999999995</v>
      </c>
      <c r="CV126" s="14">
        <f t="shared" si="95"/>
        <v>34.703986937981455</v>
      </c>
      <c r="CW126" s="22">
        <f t="shared" si="67"/>
        <v>292.20036925031758</v>
      </c>
      <c r="CX126" s="62">
        <f t="shared" si="68"/>
        <v>585.53370258365089</v>
      </c>
      <c r="CY126" s="62">
        <f ca="1">AVERAGE(OFFSET($CX$3,0,0,'Données projet'!$E$13+1,1))-AVERAGE(OFFSET($H$3,0,0,'Données projet'!$E$13+1,1))</f>
        <v>191.79777926975839</v>
      </c>
      <c r="CZ126" s="62">
        <f t="shared" si="96"/>
        <v>156.66161375678712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4.4859999999999998</v>
      </c>
      <c r="DO126" s="13">
        <f>IF('Données projet'!$A$166&gt;35,DO125+DN126-DW125,IF(A126&lt;'Données projet'!$A$166,$DL$205^A126,IF(A126='Données projet'!$A$166,'Données projet'!$B$166,DO125+DN126-DW125)))</f>
        <v>332.65800000000007</v>
      </c>
      <c r="DP126" s="18">
        <f>DO126*VLOOKUP('Données projet'!$B$14,Paramètres!$A$1:$I$89,3,0)*VLOOKUP('Données projet'!$B$14,Paramètres!$A$1:$I$89,5,0)</f>
        <v>363.26253600000007</v>
      </c>
      <c r="DQ126" s="14">
        <f t="shared" si="97"/>
        <v>84.287465769519684</v>
      </c>
      <c r="DR126" s="22">
        <f t="shared" si="70"/>
        <v>779.48291974858023</v>
      </c>
      <c r="DS126" s="62">
        <f t="shared" si="71"/>
        <v>1072.8162530819136</v>
      </c>
      <c r="DT126" s="62">
        <f ca="1">AVERAGE(OFFSET($DS$3,0,0,'Données projet'!$E$14+1,1))-AVERAGE(OFFSET($H$3,0,0,'Données projet'!$E$14+1,1))</f>
        <v>541.0854688453461</v>
      </c>
      <c r="DU126" s="62">
        <f t="shared" si="98"/>
        <v>171.04847168584473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5.1159076974727213E-13</v>
      </c>
      <c r="EK126" s="18">
        <f>EJ126*VLOOKUP('Données projet'!$B$15,Paramètres!$A$1:$I$89,3,0)*VLOOKUP('Données projet'!$B$15,Paramètres!$A$1:$I$89,5,0)</f>
        <v>3.0593128030886877E-13</v>
      </c>
      <c r="EL126" s="14">
        <f t="shared" si="99"/>
        <v>4.0350537939347394E-12</v>
      </c>
      <c r="EM126" s="22">
        <f t="shared" si="73"/>
        <v>7.5605490043076185E-12</v>
      </c>
      <c r="EN126" s="62">
        <f t="shared" si="74"/>
        <v>293.33333333334087</v>
      </c>
      <c r="EO126" s="62">
        <f ca="1">AVERAGE(OFFSET($EN$3,0,0,'Données projet'!$E$15+1,1))-AVERAGE(OFFSET($H$3,0,0,'Données projet'!$E$15+1,1))</f>
        <v>244.01698421598974</v>
      </c>
      <c r="EP126" s="62">
        <f t="shared" si="100"/>
        <v>156.96653202915024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0.27295386714119096</v>
      </c>
      <c r="EX126" s="23">
        <f>EXP(-LN(2)/2)*EX125+(1-EXP(-LN(2)/2))/(LN(2)/2)*ER126*EU126*VLOOKUP('Données projet'!$B$15,Paramètres!$A$1:$I$89,3,0)*0.475*44/12</f>
        <v>1.0006685762358259E-13</v>
      </c>
      <c r="EY126" s="24">
        <f t="shared" si="75"/>
        <v>0.27295386714129105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-5.6843418860808015E-14</v>
      </c>
      <c r="FF126" s="18">
        <f>FE126*VLOOKUP('Données projet'!$B$16,Paramètres!$A$1:$I$89,3,0)*VLOOKUP('Données projet'!$B$16,Paramètres!$A$1:$I$89,5,0)</f>
        <v>-4.9658410716801891E-14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175.08726167127026</v>
      </c>
      <c r="FK126" s="62">
        <f t="shared" si="102"/>
        <v>196.05343924817117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8.5265128291212022E-14</v>
      </c>
      <c r="GA126" s="18">
        <f>FZ126*VLOOKUP('Données projet'!$B$17,Paramètres!$A$1:$I$89,3,0)*VLOOKUP('Données projet'!$B$17,Paramètres!$A$1:$I$89,5,0)</f>
        <v>5.5865712056402117E-14</v>
      </c>
      <c r="GB126" s="14">
        <f t="shared" si="103"/>
        <v>8.9811031843713517E-13</v>
      </c>
      <c r="GC126" s="22">
        <f t="shared" si="79"/>
        <v>1.6615082531095774E-12</v>
      </c>
      <c r="GD126" s="62">
        <f t="shared" si="80"/>
        <v>293.33333333333496</v>
      </c>
      <c r="GE126" s="62">
        <f ca="1">AVERAGE(OFFSET($GD$3,0,0,'Données projet'!$E$17+1,1))-AVERAGE(OFFSET($H$3,0,0,'Données projet'!$E$17+1,1))</f>
        <v>142.93037460866543</v>
      </c>
      <c r="GF126" s="62">
        <f t="shared" si="104"/>
        <v>146.18554498808049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5.6843418860808015E-14</v>
      </c>
      <c r="GV126" s="18">
        <f>GU126*VLOOKUP('Données projet'!$B$18,Paramètres!$A$1:$I$89,3,0)*VLOOKUP('Données projet'!$B$18,Paramètres!$A$1:$I$89,5,0)</f>
        <v>4.8771653382573282E-14</v>
      </c>
      <c r="GW126" s="14">
        <f t="shared" si="105"/>
        <v>7.9655698259503351E-13</v>
      </c>
      <c r="GX126" s="22">
        <f t="shared" si="82"/>
        <v>1.4722807076609983E-12</v>
      </c>
      <c r="GY126" s="62">
        <f t="shared" si="83"/>
        <v>293.33333333333479</v>
      </c>
      <c r="GZ126" s="62">
        <f ca="1">AVERAGE(OFFSET($GY$3,0,0,'Données projet'!$E$18+1,1))-AVERAGE(OFFSET($H$3,0,0,'Données projet'!$E$18+1,1))</f>
        <v>188.08607733149256</v>
      </c>
      <c r="HA126" s="62">
        <f t="shared" si="106"/>
        <v>119.95698016603842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37.075999999999958</v>
      </c>
      <c r="D127" s="12">
        <f t="shared" si="86"/>
        <v>11.220249852136817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372.8131567533365</v>
      </c>
      <c r="H127" s="70">
        <f t="shared" si="56"/>
        <v>340.78263515913824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6.1186256061773749E-14</v>
      </c>
      <c r="P127" s="14">
        <f t="shared" si="87"/>
        <v>9.7328366192051127E-13</v>
      </c>
      <c r="Q127" s="22">
        <f t="shared" si="107"/>
        <v>1.8017017738191463E-12</v>
      </c>
      <c r="R127" s="62">
        <f t="shared" si="55"/>
        <v>293.33333333333513</v>
      </c>
      <c r="S127" s="62">
        <f ca="1">AVERAGE(OFFSET($R$3,0,0,'Données projet'!$E$9+1,1))-AVERAGE(OFFSET($H$3,0,0,'Données projet'!$E$9+1,1))</f>
        <v>236.98575892380046</v>
      </c>
      <c r="T127" s="62">
        <f t="shared" si="88"/>
        <v>145.77678223659774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140.04898296125504</v>
      </c>
      <c r="AO127" s="62">
        <f t="shared" si="90"/>
        <v>129.5395511270716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-6.2527760746888816E-13</v>
      </c>
      <c r="BE127" s="14">
        <f>BD127*VLOOKUP('Données projet'!$B$11,Paramètres!$A$1:$I$89,3,0)*VLOOKUP('Données projet'!$B$11,Paramètres!$A$1:$I$89,5,0)</f>
        <v>-2.9262992029543964E-13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207.84100251878419</v>
      </c>
      <c r="BJ127" s="62">
        <f t="shared" si="92"/>
        <v>124.34917784241952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-2.9558577807620169E-14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211.05980622218578</v>
      </c>
      <c r="CE127" s="62">
        <f t="shared" si="94"/>
        <v>168.57746894604855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1.2474999999999994</v>
      </c>
      <c r="CT127" s="13">
        <f>IF('Données projet'!$A$140&gt;35,CT126+CS127-DB126,IF(A127&lt;'Données projet'!$A$140,$CQ$205^A127,IF(A127='Données projet'!$A$140,'Données projet'!$B$140,CT126+CS127-DB126)))</f>
        <v>116.75666666666663</v>
      </c>
      <c r="CU127" s="18">
        <f>CT127*VLOOKUP('Données projet'!$B$13,Paramètres!$A$1:$I$89,3,0)*VLOOKUP('Données projet'!$B$13,Paramètres!$A$1:$I$89,5,0)</f>
        <v>134.50367999999995</v>
      </c>
      <c r="CV127" s="14">
        <f t="shared" si="95"/>
        <v>35.034955853887169</v>
      </c>
      <c r="CW127" s="22">
        <f t="shared" si="67"/>
        <v>295.2797907788534</v>
      </c>
      <c r="CX127" s="62">
        <f t="shared" si="68"/>
        <v>588.61312411218671</v>
      </c>
      <c r="CY127" s="62">
        <f ca="1">AVERAGE(OFFSET($CX$3,0,0,'Données projet'!$E$13+1,1))-AVERAGE(OFFSET($H$3,0,0,'Données projet'!$E$13+1,1))</f>
        <v>191.79777926975839</v>
      </c>
      <c r="CZ127" s="62">
        <f t="shared" si="96"/>
        <v>156.66161375678712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4.4859999999999998</v>
      </c>
      <c r="DO127" s="13">
        <f>IF('Données projet'!$A$166&gt;35,DO126+DN127-DW126,IF(A127&lt;'Données projet'!$A$166,$DL$205^A127,IF(A127='Données projet'!$A$166,'Données projet'!$B$166,DO126+DN127-DW126)))</f>
        <v>337.14400000000006</v>
      </c>
      <c r="DP127" s="18">
        <f>DO127*VLOOKUP('Données projet'!$B$14,Paramètres!$A$1:$I$89,3,0)*VLOOKUP('Données projet'!$B$14,Paramètres!$A$1:$I$89,5,0)</f>
        <v>368.16124800000006</v>
      </c>
      <c r="DQ127" s="14">
        <f t="shared" si="97"/>
        <v>85.291019691149742</v>
      </c>
      <c r="DR127" s="22">
        <f t="shared" si="70"/>
        <v>789.76269956208591</v>
      </c>
      <c r="DS127" s="62">
        <f t="shared" si="71"/>
        <v>1083.0960328954193</v>
      </c>
      <c r="DT127" s="62">
        <f ca="1">AVERAGE(OFFSET($DS$3,0,0,'Données projet'!$E$14+1,1))-AVERAGE(OFFSET($H$3,0,0,'Données projet'!$E$14+1,1))</f>
        <v>541.0854688453461</v>
      </c>
      <c r="DU127" s="62">
        <f t="shared" si="98"/>
        <v>171.04847168584473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5.1159076974727213E-13</v>
      </c>
      <c r="EK127" s="18">
        <f>EJ127*VLOOKUP('Données projet'!$B$15,Paramètres!$A$1:$I$89,3,0)*VLOOKUP('Données projet'!$B$15,Paramètres!$A$1:$I$89,5,0)</f>
        <v>3.0593128030886877E-13</v>
      </c>
      <c r="EL127" s="14">
        <f t="shared" si="99"/>
        <v>4.0350537939347394E-12</v>
      </c>
      <c r="EM127" s="22">
        <f t="shared" si="73"/>
        <v>7.5605490043076185E-12</v>
      </c>
      <c r="EN127" s="62">
        <f t="shared" si="74"/>
        <v>293.33333333334087</v>
      </c>
      <c r="EO127" s="62">
        <f ca="1">AVERAGE(OFFSET($EN$3,0,0,'Données projet'!$E$15+1,1))-AVERAGE(OFFSET($H$3,0,0,'Données projet'!$E$15+1,1))</f>
        <v>244.01698421598974</v>
      </c>
      <c r="EP127" s="62">
        <f t="shared" si="100"/>
        <v>156.96653202915024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0.26548992929019505</v>
      </c>
      <c r="EX127" s="23">
        <f>EXP(-LN(2)/2)*EX126+(1-EXP(-LN(2)/2))/(LN(2)/2)*ER127*EU127*VLOOKUP('Données projet'!$B$15,Paramètres!$A$1:$I$89,3,0)*0.475*44/12</f>
        <v>7.0757953597664021E-14</v>
      </c>
      <c r="EY127" s="24">
        <f t="shared" si="75"/>
        <v>0.26548992929026582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-5.6843418860808015E-14</v>
      </c>
      <c r="FF127" s="18">
        <f>FE127*VLOOKUP('Données projet'!$B$16,Paramètres!$A$1:$I$89,3,0)*VLOOKUP('Données projet'!$B$16,Paramètres!$A$1:$I$89,5,0)</f>
        <v>-4.9658410716801891E-14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175.08726167127026</v>
      </c>
      <c r="FK127" s="62">
        <f t="shared" si="102"/>
        <v>196.05343924817117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8.5265128291212022E-14</v>
      </c>
      <c r="GA127" s="18">
        <f>FZ127*VLOOKUP('Données projet'!$B$17,Paramètres!$A$1:$I$89,3,0)*VLOOKUP('Données projet'!$B$17,Paramètres!$A$1:$I$89,5,0)</f>
        <v>5.5865712056402117E-14</v>
      </c>
      <c r="GB127" s="14">
        <f t="shared" si="103"/>
        <v>8.9811031843713517E-13</v>
      </c>
      <c r="GC127" s="22">
        <f t="shared" si="79"/>
        <v>1.6615082531095774E-12</v>
      </c>
      <c r="GD127" s="62">
        <f t="shared" si="80"/>
        <v>293.33333333333496</v>
      </c>
      <c r="GE127" s="62">
        <f ca="1">AVERAGE(OFFSET($GD$3,0,0,'Données projet'!$E$17+1,1))-AVERAGE(OFFSET($H$3,0,0,'Données projet'!$E$17+1,1))</f>
        <v>142.93037460866543</v>
      </c>
      <c r="GF127" s="62">
        <f t="shared" si="104"/>
        <v>146.18554498808049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5.6843418860808015E-14</v>
      </c>
      <c r="GV127" s="18">
        <f>GU127*VLOOKUP('Données projet'!$B$18,Paramètres!$A$1:$I$89,3,0)*VLOOKUP('Données projet'!$B$18,Paramètres!$A$1:$I$89,5,0)</f>
        <v>4.8771653382573282E-14</v>
      </c>
      <c r="GW127" s="14">
        <f t="shared" si="105"/>
        <v>7.9655698259503351E-13</v>
      </c>
      <c r="GX127" s="22">
        <f t="shared" si="82"/>
        <v>1.4722807076609983E-12</v>
      </c>
      <c r="GY127" s="62">
        <f t="shared" si="83"/>
        <v>293.33333333333479</v>
      </c>
      <c r="GZ127" s="62">
        <f ca="1">AVERAGE(OFFSET($GY$3,0,0,'Données projet'!$E$18+1,1))-AVERAGE(OFFSET($H$3,0,0,'Données projet'!$E$18+1,1))</f>
        <v>188.08607733149256</v>
      </c>
      <c r="HA127" s="62">
        <f t="shared" si="106"/>
        <v>119.95698016603842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37.374999999999957</v>
      </c>
      <c r="D128" s="12">
        <f t="shared" si="86"/>
        <v>11.300165766581802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375.73812170694691</v>
      </c>
      <c r="H128" s="70">
        <f t="shared" si="56"/>
        <v>341.44258037679657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6.1186256061773749E-14</v>
      </c>
      <c r="P128" s="14">
        <f t="shared" si="87"/>
        <v>9.7328366192051127E-13</v>
      </c>
      <c r="Q128" s="22">
        <f t="shared" si="107"/>
        <v>1.8017017738191463E-12</v>
      </c>
      <c r="R128" s="62">
        <f t="shared" si="55"/>
        <v>293.33333333333513</v>
      </c>
      <c r="S128" s="62">
        <f ca="1">AVERAGE(OFFSET($R$3,0,0,'Données projet'!$E$9+1,1))-AVERAGE(OFFSET($H$3,0,0,'Données projet'!$E$9+1,1))</f>
        <v>236.98575892380046</v>
      </c>
      <c r="T128" s="62">
        <f t="shared" si="88"/>
        <v>145.77678223659774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140.04898296125504</v>
      </c>
      <c r="AO128" s="62">
        <f t="shared" si="90"/>
        <v>129.5395511270716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-6.2527760746888816E-13</v>
      </c>
      <c r="BE128" s="14">
        <f>BD128*VLOOKUP('Données projet'!$B$11,Paramètres!$A$1:$I$89,3,0)*VLOOKUP('Données projet'!$B$11,Paramètres!$A$1:$I$89,5,0)</f>
        <v>-2.9262992029543964E-13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207.84100251878419</v>
      </c>
      <c r="BJ128" s="62">
        <f t="shared" si="92"/>
        <v>124.34917784241952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-2.9558577807620169E-14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211.05980622218578</v>
      </c>
      <c r="CE128" s="62">
        <f t="shared" si="94"/>
        <v>168.57746894604855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1.2474999999999994</v>
      </c>
      <c r="CT128" s="13">
        <f>IF('Données projet'!$A$140&gt;35,CT127+CS128-DB127,IF(A128&lt;'Données projet'!$A$140,$CQ$205^A128,IF(A128='Données projet'!$A$140,'Données projet'!$B$140,CT127+CS128-DB127)))</f>
        <v>118.00416666666663</v>
      </c>
      <c r="CU128" s="18">
        <f>CT128*VLOOKUP('Données projet'!$B$13,Paramètres!$A$1:$I$89,3,0)*VLOOKUP('Données projet'!$B$13,Paramètres!$A$1:$I$89,5,0)</f>
        <v>135.94079999999994</v>
      </c>
      <c r="CV128" s="14">
        <f t="shared" si="95"/>
        <v>35.365513394923219</v>
      </c>
      <c r="CW128" s="22">
        <f t="shared" si="67"/>
        <v>298.35849582949118</v>
      </c>
      <c r="CX128" s="62">
        <f t="shared" si="68"/>
        <v>591.69182916282443</v>
      </c>
      <c r="CY128" s="62">
        <f ca="1">AVERAGE(OFFSET($CX$3,0,0,'Données projet'!$E$13+1,1))-AVERAGE(OFFSET($H$3,0,0,'Données projet'!$E$13+1,1))</f>
        <v>191.79777926975839</v>
      </c>
      <c r="CZ128" s="62">
        <f t="shared" si="96"/>
        <v>156.66161375678712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4.4859999999999998</v>
      </c>
      <c r="DO128" s="13">
        <f>IF('Données projet'!$A$166&gt;35,DO127+DN128-DW127,IF(A128&lt;'Données projet'!$A$166,$DL$205^A128,IF(A128='Données projet'!$A$166,'Données projet'!$B$166,DO127+DN128-DW127)))</f>
        <v>341.63000000000005</v>
      </c>
      <c r="DP128" s="18">
        <f>DO128*VLOOKUP('Données projet'!$B$14,Paramètres!$A$1:$I$89,3,0)*VLOOKUP('Données projet'!$B$14,Paramètres!$A$1:$I$89,5,0)</f>
        <v>373.05996000000005</v>
      </c>
      <c r="DQ128" s="14">
        <f t="shared" si="97"/>
        <v>86.293020457767312</v>
      </c>
      <c r="DR128" s="22">
        <f t="shared" si="70"/>
        <v>800.03977429727809</v>
      </c>
      <c r="DS128" s="62">
        <f t="shared" si="71"/>
        <v>1093.3731076306115</v>
      </c>
      <c r="DT128" s="62">
        <f ca="1">AVERAGE(OFFSET($DS$3,0,0,'Données projet'!$E$14+1,1))-AVERAGE(OFFSET($H$3,0,0,'Données projet'!$E$14+1,1))</f>
        <v>541.0854688453461</v>
      </c>
      <c r="DU128" s="62">
        <f t="shared" si="98"/>
        <v>171.04847168584473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5.1159076974727213E-13</v>
      </c>
      <c r="EK128" s="18">
        <f>EJ128*VLOOKUP('Données projet'!$B$15,Paramètres!$A$1:$I$89,3,0)*VLOOKUP('Données projet'!$B$15,Paramètres!$A$1:$I$89,5,0)</f>
        <v>3.0593128030886877E-13</v>
      </c>
      <c r="EL128" s="14">
        <f t="shared" si="99"/>
        <v>4.0350537939347394E-12</v>
      </c>
      <c r="EM128" s="22">
        <f t="shared" si="73"/>
        <v>7.5605490043076185E-12</v>
      </c>
      <c r="EN128" s="62">
        <f t="shared" si="74"/>
        <v>293.33333333334087</v>
      </c>
      <c r="EO128" s="62">
        <f ca="1">AVERAGE(OFFSET($EN$3,0,0,'Données projet'!$E$15+1,1))-AVERAGE(OFFSET($H$3,0,0,'Données projet'!$E$15+1,1))</f>
        <v>244.01698421598974</v>
      </c>
      <c r="EP128" s="62">
        <f t="shared" si="100"/>
        <v>156.96653202915024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0.25823009321224605</v>
      </c>
      <c r="EX128" s="23">
        <f>EXP(-LN(2)/2)*EX127+(1-EXP(-LN(2)/2))/(LN(2)/2)*ER128*EU128*VLOOKUP('Données projet'!$B$15,Paramètres!$A$1:$I$89,3,0)*0.475*44/12</f>
        <v>5.0033428811791297E-14</v>
      </c>
      <c r="EY128" s="24">
        <f t="shared" si="75"/>
        <v>0.25823009321229606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-5.6843418860808015E-14</v>
      </c>
      <c r="FF128" s="18">
        <f>FE128*VLOOKUP('Données projet'!$B$16,Paramètres!$A$1:$I$89,3,0)*VLOOKUP('Données projet'!$B$16,Paramètres!$A$1:$I$89,5,0)</f>
        <v>-4.9658410716801891E-14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175.08726167127026</v>
      </c>
      <c r="FK128" s="62">
        <f t="shared" si="102"/>
        <v>196.05343924817117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8.5265128291212022E-14</v>
      </c>
      <c r="GA128" s="18">
        <f>FZ128*VLOOKUP('Données projet'!$B$17,Paramètres!$A$1:$I$89,3,0)*VLOOKUP('Données projet'!$B$17,Paramètres!$A$1:$I$89,5,0)</f>
        <v>5.5865712056402117E-14</v>
      </c>
      <c r="GB128" s="14">
        <f t="shared" si="103"/>
        <v>8.9811031843713517E-13</v>
      </c>
      <c r="GC128" s="22">
        <f t="shared" si="79"/>
        <v>1.6615082531095774E-12</v>
      </c>
      <c r="GD128" s="62">
        <f t="shared" si="80"/>
        <v>293.33333333333496</v>
      </c>
      <c r="GE128" s="62">
        <f ca="1">AVERAGE(OFFSET($GD$3,0,0,'Données projet'!$E$17+1,1))-AVERAGE(OFFSET($H$3,0,0,'Données projet'!$E$17+1,1))</f>
        <v>142.93037460866543</v>
      </c>
      <c r="GF128" s="62">
        <f t="shared" si="104"/>
        <v>146.18554498808049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5.6843418860808015E-14</v>
      </c>
      <c r="GV128" s="18">
        <f>GU128*VLOOKUP('Données projet'!$B$18,Paramètres!$A$1:$I$89,3,0)*VLOOKUP('Données projet'!$B$18,Paramètres!$A$1:$I$89,5,0)</f>
        <v>4.8771653382573282E-14</v>
      </c>
      <c r="GW128" s="14">
        <f t="shared" si="105"/>
        <v>7.9655698259503351E-13</v>
      </c>
      <c r="GX128" s="22">
        <f t="shared" si="82"/>
        <v>1.4722807076609983E-12</v>
      </c>
      <c r="GY128" s="62">
        <f t="shared" si="83"/>
        <v>293.33333333333479</v>
      </c>
      <c r="GZ128" s="62">
        <f ca="1">AVERAGE(OFFSET($GY$3,0,0,'Données projet'!$E$18+1,1))-AVERAGE(OFFSET($H$3,0,0,'Données projet'!$E$18+1,1))</f>
        <v>188.08607733149256</v>
      </c>
      <c r="HA128" s="62">
        <f t="shared" si="106"/>
        <v>119.95698016603842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37.673999999999957</v>
      </c>
      <c r="D129" s="12">
        <f t="shared" si="86"/>
        <v>11.380007297126159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378.66251246904375</v>
      </c>
      <c r="H129" s="70">
        <f t="shared" si="56"/>
        <v>342.10239604249466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6.1186256061773749E-14</v>
      </c>
      <c r="P129" s="14">
        <f t="shared" si="87"/>
        <v>9.7328366192051127E-13</v>
      </c>
      <c r="Q129" s="22">
        <f t="shared" si="107"/>
        <v>1.8017017738191463E-12</v>
      </c>
      <c r="R129" s="62">
        <f t="shared" si="55"/>
        <v>293.33333333333513</v>
      </c>
      <c r="S129" s="62">
        <f ca="1">AVERAGE(OFFSET($R$3,0,0,'Données projet'!$E$9+1,1))-AVERAGE(OFFSET($H$3,0,0,'Données projet'!$E$9+1,1))</f>
        <v>236.98575892380046</v>
      </c>
      <c r="T129" s="62">
        <f t="shared" si="88"/>
        <v>145.77678223659774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140.04898296125504</v>
      </c>
      <c r="AO129" s="62">
        <f t="shared" si="90"/>
        <v>129.5395511270716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-6.2527760746888816E-13</v>
      </c>
      <c r="BE129" s="14">
        <f>BD129*VLOOKUP('Données projet'!$B$11,Paramètres!$A$1:$I$89,3,0)*VLOOKUP('Données projet'!$B$11,Paramètres!$A$1:$I$89,5,0)</f>
        <v>-2.9262992029543964E-13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207.84100251878419</v>
      </c>
      <c r="BJ129" s="62">
        <f t="shared" si="92"/>
        <v>124.34917784241952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-2.9558577807620169E-14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211.05980622218578</v>
      </c>
      <c r="CE129" s="62">
        <f t="shared" si="94"/>
        <v>168.57746894604855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1.2474999999999994</v>
      </c>
      <c r="CT129" s="13">
        <f>IF('Données projet'!$A$140&gt;35,CT128+CS129-DB128,IF(A129&lt;'Données projet'!$A$140,$CQ$205^A129,IF(A129='Données projet'!$A$140,'Données projet'!$B$140,CT128+CS129-DB128)))</f>
        <v>119.25166666666664</v>
      </c>
      <c r="CU129" s="18">
        <f>CT129*VLOOKUP('Données projet'!$B$13,Paramètres!$A$1:$I$89,3,0)*VLOOKUP('Données projet'!$B$13,Paramètres!$A$1:$I$89,5,0)</f>
        <v>137.37791999999996</v>
      </c>
      <c r="CV129" s="14">
        <f t="shared" si="95"/>
        <v>35.695664413414427</v>
      </c>
      <c r="CW129" s="22">
        <f t="shared" si="67"/>
        <v>301.43649285336335</v>
      </c>
      <c r="CX129" s="62">
        <f t="shared" si="68"/>
        <v>594.76982618669672</v>
      </c>
      <c r="CY129" s="62">
        <f ca="1">AVERAGE(OFFSET($CX$3,0,0,'Données projet'!$E$13+1,1))-AVERAGE(OFFSET($H$3,0,0,'Données projet'!$E$13+1,1))</f>
        <v>191.79777926975839</v>
      </c>
      <c r="CZ129" s="62">
        <f t="shared" si="96"/>
        <v>156.66161375678712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4.4859999999999998</v>
      </c>
      <c r="DO129" s="13">
        <f>IF('Données projet'!$A$166&gt;35,DO128+DN129-DW128,IF(A129&lt;'Données projet'!$A$166,$DL$205^A129,IF(A129='Données projet'!$A$166,'Données projet'!$B$166,DO128+DN129-DW128)))</f>
        <v>346.11600000000004</v>
      </c>
      <c r="DP129" s="18">
        <f>DO129*VLOOKUP('Données projet'!$B$14,Paramètres!$A$1:$I$89,3,0)*VLOOKUP('Données projet'!$B$14,Paramètres!$A$1:$I$89,5,0)</f>
        <v>377.95867200000004</v>
      </c>
      <c r="DQ129" s="14">
        <f t="shared" si="97"/>
        <v>87.293490821978537</v>
      </c>
      <c r="DR129" s="22">
        <f t="shared" si="70"/>
        <v>810.31418358161261</v>
      </c>
      <c r="DS129" s="62">
        <f t="shared" si="71"/>
        <v>1103.647516914946</v>
      </c>
      <c r="DT129" s="62">
        <f ca="1">AVERAGE(OFFSET($DS$3,0,0,'Données projet'!$E$14+1,1))-AVERAGE(OFFSET($H$3,0,0,'Données projet'!$E$14+1,1))</f>
        <v>541.0854688453461</v>
      </c>
      <c r="DU129" s="62">
        <f t="shared" si="98"/>
        <v>171.04847168584473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5.1159076974727213E-13</v>
      </c>
      <c r="EK129" s="18">
        <f>EJ129*VLOOKUP('Données projet'!$B$15,Paramètres!$A$1:$I$89,3,0)*VLOOKUP('Données projet'!$B$15,Paramètres!$A$1:$I$89,5,0)</f>
        <v>3.0593128030886877E-13</v>
      </c>
      <c r="EL129" s="14">
        <f t="shared" si="99"/>
        <v>4.0350537939347394E-12</v>
      </c>
      <c r="EM129" s="22">
        <f t="shared" si="73"/>
        <v>7.5605490043076185E-12</v>
      </c>
      <c r="EN129" s="62">
        <f t="shared" si="74"/>
        <v>293.33333333334087</v>
      </c>
      <c r="EO129" s="62">
        <f ca="1">AVERAGE(OFFSET($EN$3,0,0,'Données projet'!$E$15+1,1))-AVERAGE(OFFSET($H$3,0,0,'Données projet'!$E$15+1,1))</f>
        <v>244.01698421598974</v>
      </c>
      <c r="EP129" s="62">
        <f t="shared" si="100"/>
        <v>156.96653202915024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0.25116877773362678</v>
      </c>
      <c r="EX129" s="23">
        <f>EXP(-LN(2)/2)*EX128+(1-EXP(-LN(2)/2))/(LN(2)/2)*ER129*EU129*VLOOKUP('Données projet'!$B$15,Paramètres!$A$1:$I$89,3,0)*0.475*44/12</f>
        <v>3.537897679883201E-14</v>
      </c>
      <c r="EY129" s="24">
        <f t="shared" si="75"/>
        <v>0.25116877773366214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-5.6843418860808015E-14</v>
      </c>
      <c r="FF129" s="18">
        <f>FE129*VLOOKUP('Données projet'!$B$16,Paramètres!$A$1:$I$89,3,0)*VLOOKUP('Données projet'!$B$16,Paramètres!$A$1:$I$89,5,0)</f>
        <v>-4.9658410716801891E-14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175.08726167127026</v>
      </c>
      <c r="FK129" s="62">
        <f t="shared" si="102"/>
        <v>196.05343924817117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8.5265128291212022E-14</v>
      </c>
      <c r="GA129" s="18">
        <f>FZ129*VLOOKUP('Données projet'!$B$17,Paramètres!$A$1:$I$89,3,0)*VLOOKUP('Données projet'!$B$17,Paramètres!$A$1:$I$89,5,0)</f>
        <v>5.5865712056402117E-14</v>
      </c>
      <c r="GB129" s="14">
        <f t="shared" si="103"/>
        <v>8.9811031843713517E-13</v>
      </c>
      <c r="GC129" s="22">
        <f t="shared" si="79"/>
        <v>1.6615082531095774E-12</v>
      </c>
      <c r="GD129" s="62">
        <f t="shared" si="80"/>
        <v>293.33333333333496</v>
      </c>
      <c r="GE129" s="62">
        <f ca="1">AVERAGE(OFFSET($GD$3,0,0,'Données projet'!$E$17+1,1))-AVERAGE(OFFSET($H$3,0,0,'Données projet'!$E$17+1,1))</f>
        <v>142.93037460866543</v>
      </c>
      <c r="GF129" s="62">
        <f t="shared" si="104"/>
        <v>146.18554498808049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5.6843418860808015E-14</v>
      </c>
      <c r="GV129" s="18">
        <f>GU129*VLOOKUP('Données projet'!$B$18,Paramètres!$A$1:$I$89,3,0)*VLOOKUP('Données projet'!$B$18,Paramètres!$A$1:$I$89,5,0)</f>
        <v>4.8771653382573282E-14</v>
      </c>
      <c r="GW129" s="14">
        <f t="shared" si="105"/>
        <v>7.9655698259503351E-13</v>
      </c>
      <c r="GX129" s="22">
        <f t="shared" si="82"/>
        <v>1.4722807076609983E-12</v>
      </c>
      <c r="GY129" s="62">
        <f t="shared" si="83"/>
        <v>293.33333333333479</v>
      </c>
      <c r="GZ129" s="62">
        <f ca="1">AVERAGE(OFFSET($GY$3,0,0,'Données projet'!$E$18+1,1))-AVERAGE(OFFSET($H$3,0,0,'Données projet'!$E$18+1,1))</f>
        <v>188.08607733149256</v>
      </c>
      <c r="HA129" s="62">
        <f t="shared" si="106"/>
        <v>119.95698016603842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37.972999999999956</v>
      </c>
      <c r="D130" s="12">
        <f t="shared" si="86"/>
        <v>11.459775102544409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381.58633412490389</v>
      </c>
      <c r="H130" s="70">
        <f t="shared" si="56"/>
        <v>342.7620833035981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6.1186256061773749E-14</v>
      </c>
      <c r="P130" s="14">
        <f t="shared" si="87"/>
        <v>9.7328366192051127E-13</v>
      </c>
      <c r="Q130" s="22">
        <f t="shared" si="107"/>
        <v>1.8017017738191463E-12</v>
      </c>
      <c r="R130" s="62">
        <f t="shared" si="55"/>
        <v>293.33333333333513</v>
      </c>
      <c r="S130" s="62">
        <f ca="1">AVERAGE(OFFSET($R$3,0,0,'Données projet'!$E$9+1,1))-AVERAGE(OFFSET($H$3,0,0,'Données projet'!$E$9+1,1))</f>
        <v>236.98575892380046</v>
      </c>
      <c r="T130" s="62">
        <f t="shared" si="88"/>
        <v>145.77678223659774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140.04898296125504</v>
      </c>
      <c r="AO130" s="62">
        <f t="shared" si="90"/>
        <v>129.5395511270716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-6.2527760746888816E-13</v>
      </c>
      <c r="BE130" s="14">
        <f>BD130*VLOOKUP('Données projet'!$B$11,Paramètres!$A$1:$I$89,3,0)*VLOOKUP('Données projet'!$B$11,Paramètres!$A$1:$I$89,5,0)</f>
        <v>-2.9262992029543964E-13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207.84100251878419</v>
      </c>
      <c r="BJ130" s="62">
        <f t="shared" si="92"/>
        <v>124.34917784241952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-2.9558577807620169E-14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211.05980622218578</v>
      </c>
      <c r="CE130" s="62">
        <f t="shared" si="94"/>
        <v>168.57746894604855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1.2474999999999994</v>
      </c>
      <c r="CT130" s="13">
        <f>IF('Données projet'!$A$140&gt;35,CT129+CS130-DB129,IF(A130&lt;'Données projet'!$A$140,$CQ$205^A130,IF(A130='Données projet'!$A$140,'Données projet'!$B$140,CT129+CS130-DB129)))</f>
        <v>120.49916666666664</v>
      </c>
      <c r="CU130" s="18">
        <f>CT130*VLOOKUP('Données projet'!$B$13,Paramètres!$A$1:$I$89,3,0)*VLOOKUP('Données projet'!$B$13,Paramètres!$A$1:$I$89,5,0)</f>
        <v>138.81503999999995</v>
      </c>
      <c r="CV130" s="14">
        <f t="shared" si="95"/>
        <v>36.02541365431572</v>
      </c>
      <c r="CW130" s="22">
        <f t="shared" si="67"/>
        <v>304.51379011459977</v>
      </c>
      <c r="CX130" s="62">
        <f t="shared" si="68"/>
        <v>597.84712344793309</v>
      </c>
      <c r="CY130" s="62">
        <f ca="1">AVERAGE(OFFSET($CX$3,0,0,'Données projet'!$E$13+1,1))-AVERAGE(OFFSET($H$3,0,0,'Données projet'!$E$13+1,1))</f>
        <v>191.79777926975839</v>
      </c>
      <c r="CZ130" s="62">
        <f t="shared" si="96"/>
        <v>156.66161375678712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4.4859999999999998</v>
      </c>
      <c r="DO130" s="13">
        <f>IF('Données projet'!$A$166&gt;35,DO129+DN130-DW129,IF(A130&lt;'Données projet'!$A$166,$DL$205^A130,IF(A130='Données projet'!$A$166,'Données projet'!$B$166,DO129+DN130-DW129)))</f>
        <v>350.60200000000003</v>
      </c>
      <c r="DP130" s="18">
        <f>DO130*VLOOKUP('Données projet'!$B$14,Paramètres!$A$1:$I$89,3,0)*VLOOKUP('Données projet'!$B$14,Paramètres!$A$1:$I$89,5,0)</f>
        <v>382.85738400000002</v>
      </c>
      <c r="DQ130" s="14">
        <f t="shared" si="97"/>
        <v>88.292452912690152</v>
      </c>
      <c r="DR130" s="22">
        <f t="shared" si="70"/>
        <v>820.58596595626875</v>
      </c>
      <c r="DS130" s="62">
        <f t="shared" si="71"/>
        <v>1113.9192992896021</v>
      </c>
      <c r="DT130" s="62">
        <f ca="1">AVERAGE(OFFSET($DS$3,0,0,'Données projet'!$E$14+1,1))-AVERAGE(OFFSET($H$3,0,0,'Données projet'!$E$14+1,1))</f>
        <v>541.0854688453461</v>
      </c>
      <c r="DU130" s="62">
        <f t="shared" si="98"/>
        <v>171.04847168584473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5.1159076974727213E-13</v>
      </c>
      <c r="EK130" s="18">
        <f>EJ130*VLOOKUP('Données projet'!$B$15,Paramètres!$A$1:$I$89,3,0)*VLOOKUP('Données projet'!$B$15,Paramètres!$A$1:$I$89,5,0)</f>
        <v>3.0593128030886877E-13</v>
      </c>
      <c r="EL130" s="14">
        <f t="shared" si="99"/>
        <v>4.0350537939347394E-12</v>
      </c>
      <c r="EM130" s="22">
        <f t="shared" si="73"/>
        <v>7.5605490043076185E-12</v>
      </c>
      <c r="EN130" s="62">
        <f t="shared" si="74"/>
        <v>293.33333333334087</v>
      </c>
      <c r="EO130" s="62">
        <f ca="1">AVERAGE(OFFSET($EN$3,0,0,'Données projet'!$E$15+1,1))-AVERAGE(OFFSET($H$3,0,0,'Données projet'!$E$15+1,1))</f>
        <v>244.01698421598974</v>
      </c>
      <c r="EP130" s="62">
        <f t="shared" si="100"/>
        <v>156.96653202915024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0.24430055429810879</v>
      </c>
      <c r="EX130" s="23">
        <f>EXP(-LN(2)/2)*EX129+(1-EXP(-LN(2)/2))/(LN(2)/2)*ER130*EU130*VLOOKUP('Données projet'!$B$15,Paramètres!$A$1:$I$89,3,0)*0.475*44/12</f>
        <v>2.5016714405895648E-14</v>
      </c>
      <c r="EY130" s="24">
        <f t="shared" si="75"/>
        <v>0.2443005542981338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-5.6843418860808015E-14</v>
      </c>
      <c r="FF130" s="18">
        <f>FE130*VLOOKUP('Données projet'!$B$16,Paramètres!$A$1:$I$89,3,0)*VLOOKUP('Données projet'!$B$16,Paramètres!$A$1:$I$89,5,0)</f>
        <v>-4.9658410716801891E-14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175.08726167127026</v>
      </c>
      <c r="FK130" s="62">
        <f t="shared" si="102"/>
        <v>196.05343924817117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8.5265128291212022E-14</v>
      </c>
      <c r="GA130" s="18">
        <f>FZ130*VLOOKUP('Données projet'!$B$17,Paramètres!$A$1:$I$89,3,0)*VLOOKUP('Données projet'!$B$17,Paramètres!$A$1:$I$89,5,0)</f>
        <v>5.5865712056402117E-14</v>
      </c>
      <c r="GB130" s="14">
        <f t="shared" si="103"/>
        <v>8.9811031843713517E-13</v>
      </c>
      <c r="GC130" s="22">
        <f t="shared" si="79"/>
        <v>1.6615082531095774E-12</v>
      </c>
      <c r="GD130" s="62">
        <f t="shared" si="80"/>
        <v>293.33333333333496</v>
      </c>
      <c r="GE130" s="62">
        <f ca="1">AVERAGE(OFFSET($GD$3,0,0,'Données projet'!$E$17+1,1))-AVERAGE(OFFSET($H$3,0,0,'Données projet'!$E$17+1,1))</f>
        <v>142.93037460866543</v>
      </c>
      <c r="GF130" s="62">
        <f t="shared" si="104"/>
        <v>146.18554498808049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5.6843418860808015E-14</v>
      </c>
      <c r="GV130" s="18">
        <f>GU130*VLOOKUP('Données projet'!$B$18,Paramètres!$A$1:$I$89,3,0)*VLOOKUP('Données projet'!$B$18,Paramètres!$A$1:$I$89,5,0)</f>
        <v>4.8771653382573282E-14</v>
      </c>
      <c r="GW130" s="14">
        <f t="shared" si="105"/>
        <v>7.9655698259503351E-13</v>
      </c>
      <c r="GX130" s="22">
        <f t="shared" si="82"/>
        <v>1.4722807076609983E-12</v>
      </c>
      <c r="GY130" s="62">
        <f t="shared" si="83"/>
        <v>293.33333333333479</v>
      </c>
      <c r="GZ130" s="62">
        <f ca="1">AVERAGE(OFFSET($GY$3,0,0,'Données projet'!$E$18+1,1))-AVERAGE(OFFSET($H$3,0,0,'Données projet'!$E$18+1,1))</f>
        <v>188.08607733149256</v>
      </c>
      <c r="HA130" s="62">
        <f t="shared" si="106"/>
        <v>119.95698016603842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38.271999999999956</v>
      </c>
      <c r="D131" s="12">
        <f t="shared" si="86"/>
        <v>11.539469830637575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384.50959167509677</v>
      </c>
      <c r="H131" s="70">
        <f t="shared" si="56"/>
        <v>343.42164328836037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6.1186256061773749E-14</v>
      </c>
      <c r="P131" s="14">
        <f t="shared" si="87"/>
        <v>9.7328366192051127E-13</v>
      </c>
      <c r="Q131" s="22">
        <f t="shared" ref="Q131:Q153" si="108">(O131+P131)*0.475*44/12</f>
        <v>1.8017017738191463E-12</v>
      </c>
      <c r="R131" s="62">
        <f t="shared" ref="R131:R194" si="109">Q131+(I131+J131)*44/12</f>
        <v>293.33333333333513</v>
      </c>
      <c r="S131" s="62">
        <f ca="1">AVERAGE(OFFSET($R$3,0,0,'Données projet'!$E$9+1,1))-AVERAGE(OFFSET($H$3,0,0,'Données projet'!$E$9+1,1))</f>
        <v>236.98575892380046</v>
      </c>
      <c r="T131" s="62">
        <f t="shared" si="88"/>
        <v>145.77678223659774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140.04898296125504</v>
      </c>
      <c r="AO131" s="62">
        <f t="shared" si="90"/>
        <v>129.5395511270716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-6.2527760746888816E-13</v>
      </c>
      <c r="BE131" s="14">
        <f>BD131*VLOOKUP('Données projet'!$B$11,Paramètres!$A$1:$I$89,3,0)*VLOOKUP('Données projet'!$B$11,Paramètres!$A$1:$I$89,5,0)</f>
        <v>-2.9262992029543964E-13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207.84100251878419</v>
      </c>
      <c r="BJ131" s="62">
        <f t="shared" si="92"/>
        <v>124.34917784241952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-2.9558577807620169E-14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211.05980622218578</v>
      </c>
      <c r="CE131" s="62">
        <f t="shared" si="94"/>
        <v>168.57746894604855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1.2474999999999994</v>
      </c>
      <c r="CT131" s="13">
        <f>IF('Données projet'!$A$140&gt;35,CT130+CS131-DB130,IF(A131&lt;'Données projet'!$A$140,$CQ$205^A131,IF(A131='Données projet'!$A$140,'Données projet'!$B$140,CT130+CS131-DB130)))</f>
        <v>121.74666666666664</v>
      </c>
      <c r="CU131" s="18">
        <f>CT131*VLOOKUP('Données projet'!$B$13,Paramètres!$A$1:$I$89,3,0)*VLOOKUP('Données projet'!$B$13,Paramètres!$A$1:$I$89,5,0)</f>
        <v>140.25215999999998</v>
      </c>
      <c r="CV131" s="14">
        <f t="shared" si="95"/>
        <v>36.354765758674333</v>
      </c>
      <c r="CW131" s="22">
        <f t="shared" si="67"/>
        <v>307.59039569635775</v>
      </c>
      <c r="CX131" s="62">
        <f t="shared" si="68"/>
        <v>600.923729029691</v>
      </c>
      <c r="CY131" s="62">
        <f ca="1">AVERAGE(OFFSET($CX$3,0,0,'Données projet'!$E$13+1,1))-AVERAGE(OFFSET($H$3,0,0,'Données projet'!$E$13+1,1))</f>
        <v>191.79777926975839</v>
      </c>
      <c r="CZ131" s="62">
        <f t="shared" si="96"/>
        <v>156.66161375678712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4.4859999999999998</v>
      </c>
      <c r="DO131" s="13">
        <f>IF('Données projet'!$A$166&gt;35,DO130+DN131-DW130,IF(A131&lt;'Données projet'!$A$166,$DL$205^A131,IF(A131='Données projet'!$A$166,'Données projet'!$B$166,DO130+DN131-DW130)))</f>
        <v>355.08800000000002</v>
      </c>
      <c r="DP131" s="18">
        <f>DO131*VLOOKUP('Données projet'!$B$14,Paramètres!$A$1:$I$89,3,0)*VLOOKUP('Données projet'!$B$14,Paramètres!$A$1:$I$89,5,0)</f>
        <v>387.75609600000001</v>
      </c>
      <c r="DQ131" s="14">
        <f t="shared" si="97"/>
        <v>89.289928259964228</v>
      </c>
      <c r="DR131" s="22">
        <f t="shared" si="70"/>
        <v>830.85515891943771</v>
      </c>
      <c r="DS131" s="62">
        <f t="shared" si="71"/>
        <v>1124.1884922527711</v>
      </c>
      <c r="DT131" s="62">
        <f ca="1">AVERAGE(OFFSET($DS$3,0,0,'Données projet'!$E$14+1,1))-AVERAGE(OFFSET($H$3,0,0,'Données projet'!$E$14+1,1))</f>
        <v>541.0854688453461</v>
      </c>
      <c r="DU131" s="62">
        <f t="shared" si="98"/>
        <v>171.04847168584473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5.1159076974727213E-13</v>
      </c>
      <c r="EK131" s="18">
        <f>EJ131*VLOOKUP('Données projet'!$B$15,Paramètres!$A$1:$I$89,3,0)*VLOOKUP('Données projet'!$B$15,Paramètres!$A$1:$I$89,5,0)</f>
        <v>3.0593128030886877E-13</v>
      </c>
      <c r="EL131" s="14">
        <f t="shared" si="99"/>
        <v>4.0350537939347394E-12</v>
      </c>
      <c r="EM131" s="22">
        <f t="shared" si="73"/>
        <v>7.5605490043076185E-12</v>
      </c>
      <c r="EN131" s="62">
        <f t="shared" si="74"/>
        <v>293.33333333334087</v>
      </c>
      <c r="EO131" s="62">
        <f ca="1">AVERAGE(OFFSET($EN$3,0,0,'Données projet'!$E$15+1,1))-AVERAGE(OFFSET($H$3,0,0,'Données projet'!$E$15+1,1))</f>
        <v>244.01698421598974</v>
      </c>
      <c r="EP131" s="62">
        <f t="shared" si="100"/>
        <v>156.96653202915024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0.2376201427936192</v>
      </c>
      <c r="EX131" s="23">
        <f>EXP(-LN(2)/2)*EX130+(1-EXP(-LN(2)/2))/(LN(2)/2)*ER131*EU131*VLOOKUP('Données projet'!$B$15,Paramètres!$A$1:$I$89,3,0)*0.475*44/12</f>
        <v>1.7689488399416005E-14</v>
      </c>
      <c r="EY131" s="24">
        <f t="shared" si="75"/>
        <v>0.23762014279363688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-5.6843418860808015E-14</v>
      </c>
      <c r="FF131" s="18">
        <f>FE131*VLOOKUP('Données projet'!$B$16,Paramètres!$A$1:$I$89,3,0)*VLOOKUP('Données projet'!$B$16,Paramètres!$A$1:$I$89,5,0)</f>
        <v>-4.9658410716801891E-14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175.08726167127026</v>
      </c>
      <c r="FK131" s="62">
        <f t="shared" si="102"/>
        <v>196.05343924817117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8.5265128291212022E-14</v>
      </c>
      <c r="GA131" s="18">
        <f>FZ131*VLOOKUP('Données projet'!$B$17,Paramètres!$A$1:$I$89,3,0)*VLOOKUP('Données projet'!$B$17,Paramètres!$A$1:$I$89,5,0)</f>
        <v>5.5865712056402117E-14</v>
      </c>
      <c r="GB131" s="14">
        <f t="shared" si="103"/>
        <v>8.9811031843713517E-13</v>
      </c>
      <c r="GC131" s="22">
        <f t="shared" si="79"/>
        <v>1.6615082531095774E-12</v>
      </c>
      <c r="GD131" s="62">
        <f t="shared" si="80"/>
        <v>293.33333333333496</v>
      </c>
      <c r="GE131" s="62">
        <f ca="1">AVERAGE(OFFSET($GD$3,0,0,'Données projet'!$E$17+1,1))-AVERAGE(OFFSET($H$3,0,0,'Données projet'!$E$17+1,1))</f>
        <v>142.93037460866543</v>
      </c>
      <c r="GF131" s="62">
        <f t="shared" si="104"/>
        <v>146.18554498808049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5.6843418860808015E-14</v>
      </c>
      <c r="GV131" s="18">
        <f>GU131*VLOOKUP('Données projet'!$B$18,Paramètres!$A$1:$I$89,3,0)*VLOOKUP('Données projet'!$B$18,Paramètres!$A$1:$I$89,5,0)</f>
        <v>4.8771653382573282E-14</v>
      </c>
      <c r="GW131" s="14">
        <f t="shared" si="105"/>
        <v>7.9655698259503351E-13</v>
      </c>
      <c r="GX131" s="22">
        <f t="shared" si="82"/>
        <v>1.4722807076609983E-12</v>
      </c>
      <c r="GY131" s="62">
        <f t="shared" si="83"/>
        <v>293.33333333333479</v>
      </c>
      <c r="GZ131" s="62">
        <f ca="1">AVERAGE(OFFSET($GY$3,0,0,'Données projet'!$E$18+1,1))-AVERAGE(OFFSET($H$3,0,0,'Données projet'!$E$18+1,1))</f>
        <v>188.08607733149256</v>
      </c>
      <c r="HA131" s="62">
        <f t="shared" si="106"/>
        <v>119.95698016603842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38.570999999999955</v>
      </c>
      <c r="D132" s="12">
        <f t="shared" si="86"/>
        <v>11.619092118500234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387.43229003754533</v>
      </c>
      <c r="H132" s="70">
        <f t="shared" ref="H132:H195" si="110">(B132+E132+F132)*44/12+(C132+D132)*0.475*44/12</f>
        <v>344.08107710638785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6.1186256061773749E-14</v>
      </c>
      <c r="P132" s="14">
        <f t="shared" si="87"/>
        <v>9.7328366192051127E-13</v>
      </c>
      <c r="Q132" s="22">
        <f t="shared" si="108"/>
        <v>1.8017017738191463E-12</v>
      </c>
      <c r="R132" s="62">
        <f t="shared" si="109"/>
        <v>293.33333333333513</v>
      </c>
      <c r="S132" s="62">
        <f ca="1">AVERAGE(OFFSET($R$3,0,0,'Données projet'!$E$9+1,1))-AVERAGE(OFFSET($H$3,0,0,'Données projet'!$E$9+1,1))</f>
        <v>236.98575892380046</v>
      </c>
      <c r="T132" s="62">
        <f t="shared" si="88"/>
        <v>145.77678223659774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140.04898296125504</v>
      </c>
      <c r="AO132" s="62">
        <f t="shared" si="90"/>
        <v>129.5395511270716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-6.2527760746888816E-13</v>
      </c>
      <c r="BE132" s="14">
        <f>BD132*VLOOKUP('Données projet'!$B$11,Paramètres!$A$1:$I$89,3,0)*VLOOKUP('Données projet'!$B$11,Paramètres!$A$1:$I$89,5,0)</f>
        <v>-2.9262992029543964E-13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207.84100251878419</v>
      </c>
      <c r="BJ132" s="62">
        <f t="shared" si="92"/>
        <v>124.34917784241952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-2.9558577807620169E-14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211.05980622218578</v>
      </c>
      <c r="CE132" s="62">
        <f t="shared" si="94"/>
        <v>168.57746894604855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1.2474999999999994</v>
      </c>
      <c r="CT132" s="13">
        <f>IF('Données projet'!$A$140&gt;35,CT131+CS132-DB131,IF(A132&lt;'Données projet'!$A$140,$CQ$205^A132,IF(A132='Données projet'!$A$140,'Données projet'!$B$140,CT131+CS132-DB131)))</f>
        <v>122.99416666666664</v>
      </c>
      <c r="CU132" s="18">
        <f>CT132*VLOOKUP('Données projet'!$B$13,Paramètres!$A$1:$I$89,3,0)*VLOOKUP('Données projet'!$B$13,Paramètres!$A$1:$I$89,5,0)</f>
        <v>141.68927999999997</v>
      </c>
      <c r="CV132" s="14">
        <f t="shared" si="95"/>
        <v>36.683725266946084</v>
      </c>
      <c r="CW132" s="22">
        <f t="shared" ref="CW132:CW153" si="121">(CU132+CV132)*0.475*44/12</f>
        <v>310.66631750659769</v>
      </c>
      <c r="CX132" s="62">
        <f t="shared" ref="CX132:CX195" si="122">CW132+(CO132+CP132)*44/12</f>
        <v>603.99965083993106</v>
      </c>
      <c r="CY132" s="62">
        <f ca="1">AVERAGE(OFFSET($CX$3,0,0,'Données projet'!$E$13+1,1))-AVERAGE(OFFSET($H$3,0,0,'Données projet'!$E$13+1,1))</f>
        <v>191.79777926975839</v>
      </c>
      <c r="CZ132" s="62">
        <f t="shared" si="96"/>
        <v>156.66161375678712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4.4859999999999998</v>
      </c>
      <c r="DO132" s="13">
        <f>IF('Données projet'!$A$166&gt;35,DO131+DN132-DW131,IF(A132&lt;'Données projet'!$A$166,$DL$205^A132,IF(A132='Données projet'!$A$166,'Données projet'!$B$166,DO131+DN132-DW131)))</f>
        <v>359.57400000000001</v>
      </c>
      <c r="DP132" s="18">
        <f>DO132*VLOOKUP('Données projet'!$B$14,Paramètres!$A$1:$I$89,3,0)*VLOOKUP('Données projet'!$B$14,Paramètres!$A$1:$I$89,5,0)</f>
        <v>392.654808</v>
      </c>
      <c r="DQ132" s="14">
        <f t="shared" si="97"/>
        <v>90.285937818579626</v>
      </c>
      <c r="DR132" s="22">
        <f t="shared" ref="DR132:DR153" si="124">(DP132+DQ132)*0.475*44/12</f>
        <v>841.1217989673595</v>
      </c>
      <c r="DS132" s="62">
        <f t="shared" ref="DS132:DS195" si="125">DR132+(DJ132+DK132)*44/12</f>
        <v>1134.4551323006929</v>
      </c>
      <c r="DT132" s="62">
        <f ca="1">AVERAGE(OFFSET($DS$3,0,0,'Données projet'!$E$14+1,1))-AVERAGE(OFFSET($H$3,0,0,'Données projet'!$E$14+1,1))</f>
        <v>541.0854688453461</v>
      </c>
      <c r="DU132" s="62">
        <f t="shared" si="98"/>
        <v>171.04847168584473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5.1159076974727213E-13</v>
      </c>
      <c r="EK132" s="18">
        <f>EJ132*VLOOKUP('Données projet'!$B$15,Paramètres!$A$1:$I$89,3,0)*VLOOKUP('Données projet'!$B$15,Paramètres!$A$1:$I$89,5,0)</f>
        <v>3.0593128030886877E-13</v>
      </c>
      <c r="EL132" s="14">
        <f t="shared" si="99"/>
        <v>4.0350537939347394E-12</v>
      </c>
      <c r="EM132" s="22">
        <f t="shared" ref="EM132:EM153" si="127">(EK132+EL132)*0.475*44/12</f>
        <v>7.5605490043076185E-12</v>
      </c>
      <c r="EN132" s="62">
        <f t="shared" ref="EN132:EN195" si="128">EM132+(EE132+EF132)*44/12</f>
        <v>293.33333333334087</v>
      </c>
      <c r="EO132" s="62">
        <f ca="1">AVERAGE(OFFSET($EN$3,0,0,'Données projet'!$E$15+1,1))-AVERAGE(OFFSET($H$3,0,0,'Données projet'!$E$15+1,1))</f>
        <v>244.01698421598974</v>
      </c>
      <c r="EP132" s="62">
        <f t="shared" si="100"/>
        <v>156.96653202915024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0.23112240749302745</v>
      </c>
      <c r="EX132" s="23">
        <f>EXP(-LN(2)/2)*EX131+(1-EXP(-LN(2)/2))/(LN(2)/2)*ER132*EU132*VLOOKUP('Données projet'!$B$15,Paramètres!$A$1:$I$89,3,0)*0.475*44/12</f>
        <v>1.2508357202947824E-14</v>
      </c>
      <c r="EY132" s="24">
        <f t="shared" ref="EY132:EY153" si="129">SUM(EV132:EX132)</f>
        <v>0.23112240749303997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-5.6843418860808015E-14</v>
      </c>
      <c r="FF132" s="18">
        <f>FE132*VLOOKUP('Données projet'!$B$16,Paramètres!$A$1:$I$89,3,0)*VLOOKUP('Données projet'!$B$16,Paramètres!$A$1:$I$89,5,0)</f>
        <v>-4.9658410716801891E-14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175.08726167127026</v>
      </c>
      <c r="FK132" s="62">
        <f t="shared" si="102"/>
        <v>196.05343924817117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8.5265128291212022E-14</v>
      </c>
      <c r="GA132" s="18">
        <f>FZ132*VLOOKUP('Données projet'!$B$17,Paramètres!$A$1:$I$89,3,0)*VLOOKUP('Données projet'!$B$17,Paramètres!$A$1:$I$89,5,0)</f>
        <v>5.5865712056402117E-14</v>
      </c>
      <c r="GB132" s="14">
        <f t="shared" si="103"/>
        <v>8.9811031843713517E-13</v>
      </c>
      <c r="GC132" s="22">
        <f t="shared" ref="GC132:GC153" si="133">(GA132+GB132)*0.475*44/12</f>
        <v>1.6615082531095774E-12</v>
      </c>
      <c r="GD132" s="62">
        <f t="shared" ref="GD132:GD195" si="134">GC132+(FU132+FV132)*44/12</f>
        <v>293.33333333333496</v>
      </c>
      <c r="GE132" s="62">
        <f ca="1">AVERAGE(OFFSET($GD$3,0,0,'Données projet'!$E$17+1,1))-AVERAGE(OFFSET($H$3,0,0,'Données projet'!$E$17+1,1))</f>
        <v>142.93037460866543</v>
      </c>
      <c r="GF132" s="62">
        <f t="shared" si="104"/>
        <v>146.18554498808049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5.6843418860808015E-14</v>
      </c>
      <c r="GV132" s="18">
        <f>GU132*VLOOKUP('Données projet'!$B$18,Paramètres!$A$1:$I$89,3,0)*VLOOKUP('Données projet'!$B$18,Paramètres!$A$1:$I$89,5,0)</f>
        <v>4.8771653382573282E-14</v>
      </c>
      <c r="GW132" s="14">
        <f t="shared" si="105"/>
        <v>7.9655698259503351E-13</v>
      </c>
      <c r="GX132" s="22">
        <f t="shared" ref="GX132:GX153" si="136">(GV132+GW132)*0.475*44/12</f>
        <v>1.4722807076609983E-12</v>
      </c>
      <c r="GY132" s="62">
        <f t="shared" ref="GY132:GY195" si="137">GX132+(GP132+GQ132)*44/12</f>
        <v>293.33333333333479</v>
      </c>
      <c r="GZ132" s="62">
        <f ca="1">AVERAGE(OFFSET($GY$3,0,0,'Données projet'!$E$18+1,1))-AVERAGE(OFFSET($H$3,0,0,'Données projet'!$E$18+1,1))</f>
        <v>188.08607733149256</v>
      </c>
      <c r="HA132" s="62">
        <f t="shared" si="106"/>
        <v>119.95698016603842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38.869999999999955</v>
      </c>
      <c r="D133" s="12">
        <f t="shared" ref="D133:D196" si="140">IFERROR(EXP(-1.0587+0.8836*LN(C133)+0.284),0)</f>
        <v>11.69864259277908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390.35443404952247</v>
      </c>
      <c r="H133" s="70">
        <f t="shared" si="110"/>
        <v>344.74038584909016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6.1186256061773749E-14</v>
      </c>
      <c r="P133" s="14">
        <f t="shared" ref="P133:P196" si="141">EXP(-1.0587+0.8836*LN(O133)+0.284)</f>
        <v>9.7328366192051127E-13</v>
      </c>
      <c r="Q133" s="22">
        <f t="shared" si="108"/>
        <v>1.8017017738191463E-12</v>
      </c>
      <c r="R133" s="62">
        <f t="shared" si="109"/>
        <v>293.33333333333513</v>
      </c>
      <c r="S133" s="62">
        <f ca="1">AVERAGE(OFFSET($R$3,0,0,'Données projet'!$E$9+1,1))-AVERAGE(OFFSET($H$3,0,0,'Données projet'!$E$9+1,1))</f>
        <v>236.98575892380046</v>
      </c>
      <c r="T133" s="62">
        <f t="shared" ref="T133:T196" si="142">$T$3</f>
        <v>145.77678223659774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140.04898296125504</v>
      </c>
      <c r="AO133" s="62">
        <f t="shared" ref="AO133:AO196" si="144">$AO$3</f>
        <v>129.5395511270716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-6.2527760746888816E-13</v>
      </c>
      <c r="BE133" s="14">
        <f>BD133*VLOOKUP('Données projet'!$B$11,Paramètres!$A$1:$I$89,3,0)*VLOOKUP('Données projet'!$B$11,Paramètres!$A$1:$I$89,5,0)</f>
        <v>-2.9262992029543964E-13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207.84100251878419</v>
      </c>
      <c r="BJ133" s="62">
        <f t="shared" ref="BJ133:BJ196" si="146">$BJ$3</f>
        <v>124.34917784241952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-2.9558577807620169E-14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211.05980622218578</v>
      </c>
      <c r="CE133" s="62">
        <f t="shared" ref="CE133:CE196" si="148">$CE$3</f>
        <v>168.57746894604855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124.24166666666667</v>
      </c>
      <c r="CR133" s="13">
        <f>VLOOKUP(A133,'Données projet'!$A$139:$I$159,9,0)</f>
        <v>1.2474999999999994</v>
      </c>
      <c r="CS133" s="13">
        <f t="array" ref="CS133">INDEX(CR:CR,MIN(IF(ISNUMBER(CR133:CR329),ROW(CR133:CR329),"")))</f>
        <v>1.2474999999999994</v>
      </c>
      <c r="CT133" s="13">
        <f>IF('Données projet'!$A$140&gt;35,CT132+CS133-DB132,IF(A133&lt;'Données projet'!$A$140,$CQ$205^A133,IF(A133='Données projet'!$A$140,'Données projet'!$B$140,CT132+CS133-DB132)))</f>
        <v>124.24166666666665</v>
      </c>
      <c r="CU133" s="18">
        <f>CT133*VLOOKUP('Données projet'!$B$13,Paramètres!$A$1:$I$89,3,0)*VLOOKUP('Données projet'!$B$13,Paramètres!$A$1:$I$89,5,0)</f>
        <v>143.12639999999996</v>
      </c>
      <c r="CV133" s="14">
        <f t="shared" ref="CV133:CV153" si="149">EXP(-1.0587+0.8836*LN(CU133)+0.284)</f>
        <v>37.012296622173274</v>
      </c>
      <c r="CW133" s="22">
        <f t="shared" si="121"/>
        <v>313.74156328361835</v>
      </c>
      <c r="CX133" s="62">
        <f t="shared" si="122"/>
        <v>607.07489661695172</v>
      </c>
      <c r="CY133" s="62">
        <f ca="1">AVERAGE(OFFSET($CX$3,0,0,'Données projet'!$E$13+1,1))-AVERAGE(OFFSET($H$3,0,0,'Données projet'!$E$13+1,1))</f>
        <v>191.79777926975839</v>
      </c>
      <c r="CZ133" s="62">
        <f t="shared" ref="CZ133:CZ196" si="150">$CZ$3</f>
        <v>156.66161375678712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8.7083333333333339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364.06</v>
      </c>
      <c r="DM133" s="13">
        <f>VLOOKUP(A133,'Données projet'!$A$165:$I$185,9,0)</f>
        <v>4.4859999999999998</v>
      </c>
      <c r="DN133" s="13">
        <f t="array" ref="DN133">INDEX(DM:DM,MIN(IF(ISNUMBER(DM133:DM329),ROW(DM133:DM329),"")))</f>
        <v>4.4859999999999998</v>
      </c>
      <c r="DO133" s="13">
        <f>IF('Données projet'!$A$166&gt;35,DO132+DN133-DW132,IF(A133&lt;'Données projet'!$A$166,$DL$205^A133,IF(A133='Données projet'!$A$166,'Données projet'!$B$166,DO132+DN133-DW132)))</f>
        <v>364.06</v>
      </c>
      <c r="DP133" s="18">
        <f>DO133*VLOOKUP('Données projet'!$B$14,Paramètres!$A$1:$I$89,3,0)*VLOOKUP('Données projet'!$B$14,Paramètres!$A$1:$I$89,5,0)</f>
        <v>397.55351999999999</v>
      </c>
      <c r="DQ133" s="14">
        <f t="shared" ref="DQ133:DQ153" si="151">EXP(-1.0587+0.8836*LN(DP133)+0.284)</f>
        <v>91.280501990385488</v>
      </c>
      <c r="DR133" s="22">
        <f t="shared" si="124"/>
        <v>851.38592163325472</v>
      </c>
      <c r="DS133" s="62">
        <f t="shared" si="125"/>
        <v>1144.7192549665881</v>
      </c>
      <c r="DT133" s="62">
        <f ca="1">AVERAGE(OFFSET($DS$3,0,0,'Données projet'!$E$14+1,1))-AVERAGE(OFFSET($H$3,0,0,'Données projet'!$E$14+1,1))</f>
        <v>541.0854688453461</v>
      </c>
      <c r="DU133" s="62">
        <f t="shared" ref="DU133:DU196" si="152">$DU$3</f>
        <v>171.04847168584473</v>
      </c>
      <c r="DV133" s="16">
        <f>IF(ISNA(VLOOKUP(A133,'Données projet'!$A$165:$I$185,3,0)),0,VLOOKUP(A133,'Données projet'!$A$165:$I$185,3,0))</f>
        <v>6</v>
      </c>
      <c r="DW133" s="16">
        <f>IF(ISNA(VLOOKUP(A133,'Données projet'!$A$165:$I$185,4,0)),0,VLOOKUP(A133,'Données projet'!$A$165:$I$185,4,0))</f>
        <v>49.83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5.1159076974727213E-13</v>
      </c>
      <c r="EK133" s="18">
        <f>EJ133*VLOOKUP('Données projet'!$B$15,Paramètres!$A$1:$I$89,3,0)*VLOOKUP('Données projet'!$B$15,Paramètres!$A$1:$I$89,5,0)</f>
        <v>3.0593128030886877E-13</v>
      </c>
      <c r="EL133" s="14">
        <f t="shared" ref="EL133:EL153" si="153">EXP(-1.0587+0.8836*LN(EK133)+0.284)</f>
        <v>4.0350537939347394E-12</v>
      </c>
      <c r="EM133" s="22">
        <f t="shared" si="127"/>
        <v>7.5605490043076185E-12</v>
      </c>
      <c r="EN133" s="62">
        <f t="shared" si="128"/>
        <v>293.33333333334087</v>
      </c>
      <c r="EO133" s="62">
        <f ca="1">AVERAGE(OFFSET($EN$3,0,0,'Données projet'!$E$15+1,1))-AVERAGE(OFFSET($H$3,0,0,'Données projet'!$E$15+1,1))</f>
        <v>244.01698421598974</v>
      </c>
      <c r="EP133" s="62">
        <f t="shared" ref="EP133:EP196" si="154">$EP$3</f>
        <v>156.96653202915024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0.22480235310593144</v>
      </c>
      <c r="EX133" s="23">
        <f>EXP(-LN(2)/2)*EX132+(1-EXP(-LN(2)/2))/(LN(2)/2)*ER133*EU133*VLOOKUP('Données projet'!$B$15,Paramètres!$A$1:$I$89,3,0)*0.475*44/12</f>
        <v>8.8447441997080026E-15</v>
      </c>
      <c r="EY133" s="24">
        <f t="shared" si="129"/>
        <v>0.22480235310594029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-5.6843418860808015E-14</v>
      </c>
      <c r="FF133" s="18">
        <f>FE133*VLOOKUP('Données projet'!$B$16,Paramètres!$A$1:$I$89,3,0)*VLOOKUP('Données projet'!$B$16,Paramètres!$A$1:$I$89,5,0)</f>
        <v>-4.9658410716801891E-14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175.08726167127026</v>
      </c>
      <c r="FK133" s="62">
        <f t="shared" ref="FK133:FK196" si="156">$FK$3</f>
        <v>196.05343924817117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8.5265128291212022E-14</v>
      </c>
      <c r="GA133" s="18">
        <f>FZ133*VLOOKUP('Données projet'!$B$17,Paramètres!$A$1:$I$89,3,0)*VLOOKUP('Données projet'!$B$17,Paramètres!$A$1:$I$89,5,0)</f>
        <v>5.5865712056402117E-14</v>
      </c>
      <c r="GB133" s="14">
        <f t="shared" ref="GB133:GB153" si="157">EXP(-1.0587+0.8836*LN(GA133)+0.284)</f>
        <v>8.9811031843713517E-13</v>
      </c>
      <c r="GC133" s="22">
        <f t="shared" si="133"/>
        <v>1.6615082531095774E-12</v>
      </c>
      <c r="GD133" s="62">
        <f t="shared" si="134"/>
        <v>293.33333333333496</v>
      </c>
      <c r="GE133" s="62">
        <f ca="1">AVERAGE(OFFSET($GD$3,0,0,'Données projet'!$E$17+1,1))-AVERAGE(OFFSET($H$3,0,0,'Données projet'!$E$17+1,1))</f>
        <v>142.93037460866543</v>
      </c>
      <c r="GF133" s="62">
        <f t="shared" ref="GF133:GF196" si="158">$GF$3</f>
        <v>146.18554498808049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5.6843418860808015E-14</v>
      </c>
      <c r="GV133" s="18">
        <f>GU133*VLOOKUP('Données projet'!$B$18,Paramètres!$A$1:$I$89,3,0)*VLOOKUP('Données projet'!$B$18,Paramètres!$A$1:$I$89,5,0)</f>
        <v>4.8771653382573282E-14</v>
      </c>
      <c r="GW133" s="14">
        <f t="shared" ref="GW133:GW153" si="159">EXP(-1.0587+0.8836*LN(GV133)+0.284)</f>
        <v>7.9655698259503351E-13</v>
      </c>
      <c r="GX133" s="22">
        <f t="shared" si="136"/>
        <v>1.4722807076609983E-12</v>
      </c>
      <c r="GY133" s="62">
        <f t="shared" si="137"/>
        <v>293.33333333333479</v>
      </c>
      <c r="GZ133" s="62">
        <f ca="1">AVERAGE(OFFSET($GY$3,0,0,'Données projet'!$E$18+1,1))-AVERAGE(OFFSET($H$3,0,0,'Données projet'!$E$18+1,1))</f>
        <v>188.08607733149256</v>
      </c>
      <c r="HA133" s="62">
        <f t="shared" ref="HA133:HA196" si="160">$HA$3</f>
        <v>119.95698016603842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39.168999999999954</v>
      </c>
      <c r="D134" s="12">
        <f t="shared" si="140"/>
        <v>11.77812186992327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393.2760284695828</v>
      </c>
      <c r="H134" s="70">
        <f t="shared" si="110"/>
        <v>345.3995705901163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6.1186256061773749E-14</v>
      </c>
      <c r="P134" s="14">
        <f t="shared" si="141"/>
        <v>9.7328366192051127E-13</v>
      </c>
      <c r="Q134" s="22">
        <f t="shared" si="108"/>
        <v>1.8017017738191463E-12</v>
      </c>
      <c r="R134" s="62">
        <f t="shared" si="109"/>
        <v>293.33333333333513</v>
      </c>
      <c r="S134" s="62">
        <f ca="1">AVERAGE(OFFSET($R$3,0,0,'Données projet'!$E$9+1,1))-AVERAGE(OFFSET($H$3,0,0,'Données projet'!$E$9+1,1))</f>
        <v>236.98575892380046</v>
      </c>
      <c r="T134" s="62">
        <f t="shared" si="142"/>
        <v>145.77678223659774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140.04898296125504</v>
      </c>
      <c r="AO134" s="62">
        <f t="shared" si="144"/>
        <v>129.5395511270716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-6.2527760746888816E-13</v>
      </c>
      <c r="BE134" s="14">
        <f>BD134*VLOOKUP('Données projet'!$B$11,Paramètres!$A$1:$I$89,3,0)*VLOOKUP('Données projet'!$B$11,Paramètres!$A$1:$I$89,5,0)</f>
        <v>-2.9262992029543964E-13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207.84100251878419</v>
      </c>
      <c r="BJ134" s="62">
        <f t="shared" si="146"/>
        <v>124.34917784241952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-2.9558577807620169E-14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211.05980622218578</v>
      </c>
      <c r="CE134" s="62">
        <f t="shared" si="148"/>
        <v>168.57746894604855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1.1879166666666663</v>
      </c>
      <c r="CT134" s="13">
        <f>IF('Données projet'!$A$140&gt;35,CT133+CS134-DB133,IF(A134&lt;'Données projet'!$A$140,$CQ$205^A134,IF(A134='Données projet'!$A$140,'Données projet'!$B$140,CT133+CS134-DB133)))</f>
        <v>116.72124999999998</v>
      </c>
      <c r="CU134" s="18">
        <f>CT134*VLOOKUP('Données projet'!$B$13,Paramètres!$A$1:$I$89,3,0)*VLOOKUP('Données projet'!$B$13,Paramètres!$A$1:$I$89,5,0)</f>
        <v>134.46287999999996</v>
      </c>
      <c r="CV134" s="14">
        <f t="shared" si="149"/>
        <v>35.02556530568927</v>
      </c>
      <c r="CW134" s="22">
        <f t="shared" si="121"/>
        <v>295.19237557407541</v>
      </c>
      <c r="CX134" s="62">
        <f t="shared" si="122"/>
        <v>588.52570890740867</v>
      </c>
      <c r="CY134" s="62">
        <f ca="1">AVERAGE(OFFSET($CX$3,0,0,'Données projet'!$E$13+1,1))-AVERAGE(OFFSET($H$3,0,0,'Données projet'!$E$13+1,1))</f>
        <v>191.79777926975839</v>
      </c>
      <c r="CZ134" s="62">
        <f t="shared" si="150"/>
        <v>156.66161375678712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4.0679999999999987</v>
      </c>
      <c r="DO134" s="13">
        <f>IF('Données projet'!$A$166&gt;35,DO133+DN134-DW133,IF(A134&lt;'Données projet'!$A$166,$DL$205^A134,IF(A134='Données projet'!$A$166,'Données projet'!$B$166,DO133+DN134-DW133)))</f>
        <v>318.298</v>
      </c>
      <c r="DP134" s="18">
        <f>DO134*VLOOKUP('Données projet'!$B$14,Paramètres!$A$1:$I$89,3,0)*VLOOKUP('Données projet'!$B$14,Paramètres!$A$1:$I$89,5,0)</f>
        <v>347.58141599999999</v>
      </c>
      <c r="DQ134" s="14">
        <f t="shared" si="151"/>
        <v>81.064298868995138</v>
      </c>
      <c r="DR134" s="22">
        <f t="shared" si="124"/>
        <v>746.55795339683311</v>
      </c>
      <c r="DS134" s="62">
        <f t="shared" si="125"/>
        <v>1039.8912867301665</v>
      </c>
      <c r="DT134" s="62">
        <f ca="1">AVERAGE(OFFSET($DS$3,0,0,'Données projet'!$E$14+1,1))-AVERAGE(OFFSET($H$3,0,0,'Données projet'!$E$14+1,1))</f>
        <v>541.0854688453461</v>
      </c>
      <c r="DU134" s="62">
        <f t="shared" si="152"/>
        <v>171.04847168584473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5.1159076974727213E-13</v>
      </c>
      <c r="EK134" s="18">
        <f>EJ134*VLOOKUP('Données projet'!$B$15,Paramètres!$A$1:$I$89,3,0)*VLOOKUP('Données projet'!$B$15,Paramètres!$A$1:$I$89,5,0)</f>
        <v>3.0593128030886877E-13</v>
      </c>
      <c r="EL134" s="14">
        <f t="shared" si="153"/>
        <v>4.0350537939347394E-12</v>
      </c>
      <c r="EM134" s="22">
        <f t="shared" si="127"/>
        <v>7.5605490043076185E-12</v>
      </c>
      <c r="EN134" s="62">
        <f t="shared" si="128"/>
        <v>293.33333333334087</v>
      </c>
      <c r="EO134" s="62">
        <f ca="1">AVERAGE(OFFSET($EN$3,0,0,'Données projet'!$E$15+1,1))-AVERAGE(OFFSET($H$3,0,0,'Données projet'!$E$15+1,1))</f>
        <v>244.01698421598974</v>
      </c>
      <c r="EP134" s="62">
        <f t="shared" si="154"/>
        <v>156.96653202915024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0.21865512093840778</v>
      </c>
      <c r="EX134" s="23">
        <f>EXP(-LN(2)/2)*EX133+(1-EXP(-LN(2)/2))/(LN(2)/2)*ER134*EU134*VLOOKUP('Données projet'!$B$15,Paramètres!$A$1:$I$89,3,0)*0.475*44/12</f>
        <v>6.2541786014739121E-15</v>
      </c>
      <c r="EY134" s="24">
        <f t="shared" si="129"/>
        <v>0.21865512093841402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-5.6843418860808015E-14</v>
      </c>
      <c r="FF134" s="18">
        <f>FE134*VLOOKUP('Données projet'!$B$16,Paramètres!$A$1:$I$89,3,0)*VLOOKUP('Données projet'!$B$16,Paramètres!$A$1:$I$89,5,0)</f>
        <v>-4.9658410716801891E-14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175.08726167127026</v>
      </c>
      <c r="FK134" s="62">
        <f t="shared" si="156"/>
        <v>196.05343924817117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8.5265128291212022E-14</v>
      </c>
      <c r="GA134" s="18">
        <f>FZ134*VLOOKUP('Données projet'!$B$17,Paramètres!$A$1:$I$89,3,0)*VLOOKUP('Données projet'!$B$17,Paramètres!$A$1:$I$89,5,0)</f>
        <v>5.5865712056402117E-14</v>
      </c>
      <c r="GB134" s="14">
        <f t="shared" si="157"/>
        <v>8.9811031843713517E-13</v>
      </c>
      <c r="GC134" s="22">
        <f t="shared" si="133"/>
        <v>1.6615082531095774E-12</v>
      </c>
      <c r="GD134" s="62">
        <f t="shared" si="134"/>
        <v>293.33333333333496</v>
      </c>
      <c r="GE134" s="62">
        <f ca="1">AVERAGE(OFFSET($GD$3,0,0,'Données projet'!$E$17+1,1))-AVERAGE(OFFSET($H$3,0,0,'Données projet'!$E$17+1,1))</f>
        <v>142.93037460866543</v>
      </c>
      <c r="GF134" s="62">
        <f t="shared" si="158"/>
        <v>146.18554498808049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5.6843418860808015E-14</v>
      </c>
      <c r="GV134" s="18">
        <f>GU134*VLOOKUP('Données projet'!$B$18,Paramètres!$A$1:$I$89,3,0)*VLOOKUP('Données projet'!$B$18,Paramètres!$A$1:$I$89,5,0)</f>
        <v>4.8771653382573282E-14</v>
      </c>
      <c r="GW134" s="14">
        <f t="shared" si="159"/>
        <v>7.9655698259503351E-13</v>
      </c>
      <c r="GX134" s="22">
        <f t="shared" si="136"/>
        <v>1.4722807076609983E-12</v>
      </c>
      <c r="GY134" s="62">
        <f t="shared" si="137"/>
        <v>293.33333333333479</v>
      </c>
      <c r="GZ134" s="62">
        <f ca="1">AVERAGE(OFFSET($GY$3,0,0,'Données projet'!$E$18+1,1))-AVERAGE(OFFSET($H$3,0,0,'Données projet'!$E$18+1,1))</f>
        <v>188.08607733149256</v>
      </c>
      <c r="HA134" s="62">
        <f t="shared" si="160"/>
        <v>119.95698016603842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39.467999999999954</v>
      </c>
      <c r="D135" s="12">
        <f t="shared" si="140"/>
        <v>11.857530556426884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396.19707797943528</v>
      </c>
      <c r="H135" s="70">
        <f t="shared" si="110"/>
        <v>346.05863238577678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6.1186256061773749E-14</v>
      </c>
      <c r="P135" s="14">
        <f t="shared" si="141"/>
        <v>9.7328366192051127E-13</v>
      </c>
      <c r="Q135" s="22">
        <f t="shared" si="108"/>
        <v>1.8017017738191463E-12</v>
      </c>
      <c r="R135" s="62">
        <f t="shared" si="109"/>
        <v>293.33333333333513</v>
      </c>
      <c r="S135" s="62">
        <f ca="1">AVERAGE(OFFSET($R$3,0,0,'Données projet'!$E$9+1,1))-AVERAGE(OFFSET($H$3,0,0,'Données projet'!$E$9+1,1))</f>
        <v>236.98575892380046</v>
      </c>
      <c r="T135" s="62">
        <f t="shared" si="142"/>
        <v>145.77678223659774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140.04898296125504</v>
      </c>
      <c r="AO135" s="62">
        <f t="shared" si="144"/>
        <v>129.5395511270716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-6.2527760746888816E-13</v>
      </c>
      <c r="BE135" s="14">
        <f>BD135*VLOOKUP('Données projet'!$B$11,Paramètres!$A$1:$I$89,3,0)*VLOOKUP('Données projet'!$B$11,Paramètres!$A$1:$I$89,5,0)</f>
        <v>-2.9262992029543964E-13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207.84100251878419</v>
      </c>
      <c r="BJ135" s="62">
        <f t="shared" si="146"/>
        <v>124.34917784241952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-2.9558577807620169E-14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211.05980622218578</v>
      </c>
      <c r="CE135" s="62">
        <f t="shared" si="148"/>
        <v>168.57746894604855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1.1879166666666663</v>
      </c>
      <c r="CT135" s="13">
        <f>IF('Données projet'!$A$140&gt;35,CT134+CS135-DB134,IF(A135&lt;'Données projet'!$A$140,$CQ$205^A135,IF(A135='Données projet'!$A$140,'Données projet'!$B$140,CT134+CS135-DB134)))</f>
        <v>117.90916666666665</v>
      </c>
      <c r="CU135" s="18">
        <f>CT135*VLOOKUP('Données projet'!$B$13,Paramètres!$A$1:$I$89,3,0)*VLOOKUP('Données projet'!$B$13,Paramètres!$A$1:$I$89,5,0)</f>
        <v>135.83135999999996</v>
      </c>
      <c r="CV135" s="14">
        <f t="shared" si="149"/>
        <v>35.340355037002603</v>
      </c>
      <c r="CW135" s="22">
        <f t="shared" si="121"/>
        <v>298.12407035611278</v>
      </c>
      <c r="CX135" s="62">
        <f t="shared" si="122"/>
        <v>591.4574036894461</v>
      </c>
      <c r="CY135" s="62">
        <f ca="1">AVERAGE(OFFSET($CX$3,0,0,'Données projet'!$E$13+1,1))-AVERAGE(OFFSET($H$3,0,0,'Données projet'!$E$13+1,1))</f>
        <v>191.79777926975839</v>
      </c>
      <c r="CZ135" s="62">
        <f t="shared" si="150"/>
        <v>156.66161375678712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4.0679999999999987</v>
      </c>
      <c r="DO135" s="13">
        <f>IF('Données projet'!$A$166&gt;35,DO134+DN135-DW134,IF(A135&lt;'Données projet'!$A$166,$DL$205^A135,IF(A135='Données projet'!$A$166,'Données projet'!$B$166,DO134+DN135-DW134)))</f>
        <v>322.36599999999999</v>
      </c>
      <c r="DP135" s="18">
        <f>DO135*VLOOKUP('Données projet'!$B$14,Paramètres!$A$1:$I$89,3,0)*VLOOKUP('Données projet'!$B$14,Paramètres!$A$1:$I$89,5,0)</f>
        <v>352.02367199999998</v>
      </c>
      <c r="DQ135" s="14">
        <f t="shared" si="151"/>
        <v>81.979066399393631</v>
      </c>
      <c r="DR135" s="22">
        <f t="shared" si="124"/>
        <v>755.88810271227715</v>
      </c>
      <c r="DS135" s="62">
        <f t="shared" si="125"/>
        <v>1049.2214360456105</v>
      </c>
      <c r="DT135" s="62">
        <f ca="1">AVERAGE(OFFSET($DS$3,0,0,'Données projet'!$E$14+1,1))-AVERAGE(OFFSET($H$3,0,0,'Données projet'!$E$14+1,1))</f>
        <v>541.0854688453461</v>
      </c>
      <c r="DU135" s="62">
        <f t="shared" si="152"/>
        <v>171.04847168584473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5.1159076974727213E-13</v>
      </c>
      <c r="EK135" s="18">
        <f>EJ135*VLOOKUP('Données projet'!$B$15,Paramètres!$A$1:$I$89,3,0)*VLOOKUP('Données projet'!$B$15,Paramètres!$A$1:$I$89,5,0)</f>
        <v>3.0593128030886877E-13</v>
      </c>
      <c r="EL135" s="14">
        <f t="shared" si="153"/>
        <v>4.0350537939347394E-12</v>
      </c>
      <c r="EM135" s="22">
        <f t="shared" si="127"/>
        <v>7.5605490043076185E-12</v>
      </c>
      <c r="EN135" s="62">
        <f t="shared" si="128"/>
        <v>293.33333333334087</v>
      </c>
      <c r="EO135" s="62">
        <f ca="1">AVERAGE(OFFSET($EN$3,0,0,'Données projet'!$E$15+1,1))-AVERAGE(OFFSET($H$3,0,0,'Données projet'!$E$15+1,1))</f>
        <v>244.01698421598974</v>
      </c>
      <c r="EP135" s="62">
        <f t="shared" si="154"/>
        <v>156.96653202915024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0.21267598515777394</v>
      </c>
      <c r="EX135" s="23">
        <f>EXP(-LN(2)/2)*EX134+(1-EXP(-LN(2)/2))/(LN(2)/2)*ER135*EU135*VLOOKUP('Données projet'!$B$15,Paramètres!$A$1:$I$89,3,0)*0.475*44/12</f>
        <v>4.4223720998540013E-15</v>
      </c>
      <c r="EY135" s="24">
        <f t="shared" si="129"/>
        <v>0.21267598515777836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-5.6843418860808015E-14</v>
      </c>
      <c r="FF135" s="18">
        <f>FE135*VLOOKUP('Données projet'!$B$16,Paramètres!$A$1:$I$89,3,0)*VLOOKUP('Données projet'!$B$16,Paramètres!$A$1:$I$89,5,0)</f>
        <v>-4.9658410716801891E-14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175.08726167127026</v>
      </c>
      <c r="FK135" s="62">
        <f t="shared" si="156"/>
        <v>196.05343924817117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8.5265128291212022E-14</v>
      </c>
      <c r="GA135" s="18">
        <f>FZ135*VLOOKUP('Données projet'!$B$17,Paramètres!$A$1:$I$89,3,0)*VLOOKUP('Données projet'!$B$17,Paramètres!$A$1:$I$89,5,0)</f>
        <v>5.5865712056402117E-14</v>
      </c>
      <c r="GB135" s="14">
        <f t="shared" si="157"/>
        <v>8.9811031843713517E-13</v>
      </c>
      <c r="GC135" s="22">
        <f t="shared" si="133"/>
        <v>1.6615082531095774E-12</v>
      </c>
      <c r="GD135" s="62">
        <f t="shared" si="134"/>
        <v>293.33333333333496</v>
      </c>
      <c r="GE135" s="62">
        <f ca="1">AVERAGE(OFFSET($GD$3,0,0,'Données projet'!$E$17+1,1))-AVERAGE(OFFSET($H$3,0,0,'Données projet'!$E$17+1,1))</f>
        <v>142.93037460866543</v>
      </c>
      <c r="GF135" s="62">
        <f t="shared" si="158"/>
        <v>146.18554498808049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5.6843418860808015E-14</v>
      </c>
      <c r="GV135" s="18">
        <f>GU135*VLOOKUP('Données projet'!$B$18,Paramètres!$A$1:$I$89,3,0)*VLOOKUP('Données projet'!$B$18,Paramètres!$A$1:$I$89,5,0)</f>
        <v>4.8771653382573282E-14</v>
      </c>
      <c r="GW135" s="14">
        <f t="shared" si="159"/>
        <v>7.9655698259503351E-13</v>
      </c>
      <c r="GX135" s="22">
        <f t="shared" si="136"/>
        <v>1.4722807076609983E-12</v>
      </c>
      <c r="GY135" s="62">
        <f t="shared" si="137"/>
        <v>293.33333333333479</v>
      </c>
      <c r="GZ135" s="62">
        <f ca="1">AVERAGE(OFFSET($GY$3,0,0,'Données projet'!$E$18+1,1))-AVERAGE(OFFSET($H$3,0,0,'Données projet'!$E$18+1,1))</f>
        <v>188.08607733149256</v>
      </c>
      <c r="HA135" s="62">
        <f t="shared" si="160"/>
        <v>119.95698016603842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39.766999999999953</v>
      </c>
      <c r="D136" s="12">
        <f t="shared" si="140"/>
        <v>11.936869249063928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399.11758718575629</v>
      </c>
      <c r="H136" s="70">
        <f t="shared" si="110"/>
        <v>346.71757227545294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6.1186256061773749E-14</v>
      </c>
      <c r="P136" s="14">
        <f t="shared" si="141"/>
        <v>9.7328366192051127E-13</v>
      </c>
      <c r="Q136" s="22">
        <f t="shared" si="108"/>
        <v>1.8017017738191463E-12</v>
      </c>
      <c r="R136" s="62">
        <f t="shared" si="109"/>
        <v>293.33333333333513</v>
      </c>
      <c r="S136" s="62">
        <f ca="1">AVERAGE(OFFSET($R$3,0,0,'Données projet'!$E$9+1,1))-AVERAGE(OFFSET($H$3,0,0,'Données projet'!$E$9+1,1))</f>
        <v>236.98575892380046</v>
      </c>
      <c r="T136" s="62">
        <f t="shared" si="142"/>
        <v>145.77678223659774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140.04898296125504</v>
      </c>
      <c r="AO136" s="62">
        <f t="shared" si="144"/>
        <v>129.5395511270716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-6.2527760746888816E-13</v>
      </c>
      <c r="BE136" s="14">
        <f>BD136*VLOOKUP('Données projet'!$B$11,Paramètres!$A$1:$I$89,3,0)*VLOOKUP('Données projet'!$B$11,Paramètres!$A$1:$I$89,5,0)</f>
        <v>-2.9262992029543964E-13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207.84100251878419</v>
      </c>
      <c r="BJ136" s="62">
        <f t="shared" si="146"/>
        <v>124.34917784241952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-2.9558577807620169E-14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211.05980622218578</v>
      </c>
      <c r="CE136" s="62">
        <f t="shared" si="148"/>
        <v>168.57746894604855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1.1879166666666663</v>
      </c>
      <c r="CT136" s="13">
        <f>IF('Données projet'!$A$140&gt;35,CT135+CS136-DB135,IF(A136&lt;'Données projet'!$A$140,$CQ$205^A136,IF(A136='Données projet'!$A$140,'Données projet'!$B$140,CT135+CS136-DB135)))</f>
        <v>119.09708333333332</v>
      </c>
      <c r="CU136" s="18">
        <f>CT136*VLOOKUP('Données projet'!$B$13,Paramètres!$A$1:$I$89,3,0)*VLOOKUP('Données projet'!$B$13,Paramètres!$A$1:$I$89,5,0)</f>
        <v>137.19983999999997</v>
      </c>
      <c r="CV136" s="14">
        <f t="shared" si="149"/>
        <v>35.65477582037844</v>
      </c>
      <c r="CW136" s="22">
        <f t="shared" si="121"/>
        <v>301.0551225538257</v>
      </c>
      <c r="CX136" s="62">
        <f t="shared" si="122"/>
        <v>594.38845588715901</v>
      </c>
      <c r="CY136" s="62">
        <f ca="1">AVERAGE(OFFSET($CX$3,0,0,'Données projet'!$E$13+1,1))-AVERAGE(OFFSET($H$3,0,0,'Données projet'!$E$13+1,1))</f>
        <v>191.79777926975839</v>
      </c>
      <c r="CZ136" s="62">
        <f t="shared" si="150"/>
        <v>156.66161375678712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4.0679999999999987</v>
      </c>
      <c r="DO136" s="13">
        <f>IF('Données projet'!$A$166&gt;35,DO135+DN136-DW135,IF(A136&lt;'Données projet'!$A$166,$DL$205^A136,IF(A136='Données projet'!$A$166,'Données projet'!$B$166,DO135+DN136-DW135)))</f>
        <v>326.43399999999997</v>
      </c>
      <c r="DP136" s="18">
        <f>DO136*VLOOKUP('Données projet'!$B$14,Paramètres!$A$1:$I$89,3,0)*VLOOKUP('Données projet'!$B$14,Paramètres!$A$1:$I$89,5,0)</f>
        <v>356.46592799999996</v>
      </c>
      <c r="DQ136" s="14">
        <f t="shared" si="151"/>
        <v>82.892491199764891</v>
      </c>
      <c r="DR136" s="22">
        <f t="shared" si="124"/>
        <v>765.21591343959051</v>
      </c>
      <c r="DS136" s="62">
        <f t="shared" si="125"/>
        <v>1058.5492467729239</v>
      </c>
      <c r="DT136" s="62">
        <f ca="1">AVERAGE(OFFSET($DS$3,0,0,'Données projet'!$E$14+1,1))-AVERAGE(OFFSET($H$3,0,0,'Données projet'!$E$14+1,1))</f>
        <v>541.0854688453461</v>
      </c>
      <c r="DU136" s="62">
        <f t="shared" si="152"/>
        <v>171.04847168584473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5.1159076974727213E-13</v>
      </c>
      <c r="EK136" s="18">
        <f>EJ136*VLOOKUP('Données projet'!$B$15,Paramètres!$A$1:$I$89,3,0)*VLOOKUP('Données projet'!$B$15,Paramètres!$A$1:$I$89,5,0)</f>
        <v>3.0593128030886877E-13</v>
      </c>
      <c r="EL136" s="14">
        <f t="shared" si="153"/>
        <v>4.0350537939347394E-12</v>
      </c>
      <c r="EM136" s="22">
        <f t="shared" si="127"/>
        <v>7.5605490043076185E-12</v>
      </c>
      <c r="EN136" s="62">
        <f t="shared" si="128"/>
        <v>293.33333333334087</v>
      </c>
      <c r="EO136" s="62">
        <f ca="1">AVERAGE(OFFSET($EN$3,0,0,'Données projet'!$E$15+1,1))-AVERAGE(OFFSET($H$3,0,0,'Données projet'!$E$15+1,1))</f>
        <v>244.01698421598974</v>
      </c>
      <c r="EP136" s="62">
        <f t="shared" si="154"/>
        <v>156.96653202915024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0.20686034915949064</v>
      </c>
      <c r="EX136" s="23">
        <f>EXP(-LN(2)/2)*EX135+(1-EXP(-LN(2)/2))/(LN(2)/2)*ER136*EU136*VLOOKUP('Données projet'!$B$15,Paramètres!$A$1:$I$89,3,0)*0.475*44/12</f>
        <v>3.1270893007369561E-15</v>
      </c>
      <c r="EY136" s="24">
        <f t="shared" si="129"/>
        <v>0.20686034915949378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-5.6843418860808015E-14</v>
      </c>
      <c r="FF136" s="18">
        <f>FE136*VLOOKUP('Données projet'!$B$16,Paramètres!$A$1:$I$89,3,0)*VLOOKUP('Données projet'!$B$16,Paramètres!$A$1:$I$89,5,0)</f>
        <v>-4.9658410716801891E-14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175.08726167127026</v>
      </c>
      <c r="FK136" s="62">
        <f t="shared" si="156"/>
        <v>196.05343924817117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8.5265128291212022E-14</v>
      </c>
      <c r="GA136" s="18">
        <f>FZ136*VLOOKUP('Données projet'!$B$17,Paramètres!$A$1:$I$89,3,0)*VLOOKUP('Données projet'!$B$17,Paramètres!$A$1:$I$89,5,0)</f>
        <v>5.5865712056402117E-14</v>
      </c>
      <c r="GB136" s="14">
        <f t="shared" si="157"/>
        <v>8.9811031843713517E-13</v>
      </c>
      <c r="GC136" s="22">
        <f t="shared" si="133"/>
        <v>1.6615082531095774E-12</v>
      </c>
      <c r="GD136" s="62">
        <f t="shared" si="134"/>
        <v>293.33333333333496</v>
      </c>
      <c r="GE136" s="62">
        <f ca="1">AVERAGE(OFFSET($GD$3,0,0,'Données projet'!$E$17+1,1))-AVERAGE(OFFSET($H$3,0,0,'Données projet'!$E$17+1,1))</f>
        <v>142.93037460866543</v>
      </c>
      <c r="GF136" s="62">
        <f t="shared" si="158"/>
        <v>146.18554498808049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5.6843418860808015E-14</v>
      </c>
      <c r="GV136" s="18">
        <f>GU136*VLOOKUP('Données projet'!$B$18,Paramètres!$A$1:$I$89,3,0)*VLOOKUP('Données projet'!$B$18,Paramètres!$A$1:$I$89,5,0)</f>
        <v>4.8771653382573282E-14</v>
      </c>
      <c r="GW136" s="14">
        <f t="shared" si="159"/>
        <v>7.9655698259503351E-13</v>
      </c>
      <c r="GX136" s="22">
        <f t="shared" si="136"/>
        <v>1.4722807076609983E-12</v>
      </c>
      <c r="GY136" s="62">
        <f t="shared" si="137"/>
        <v>293.33333333333479</v>
      </c>
      <c r="GZ136" s="62">
        <f ca="1">AVERAGE(OFFSET($GY$3,0,0,'Données projet'!$E$18+1,1))-AVERAGE(OFFSET($H$3,0,0,'Données projet'!$E$18+1,1))</f>
        <v>188.08607733149256</v>
      </c>
      <c r="HA136" s="62">
        <f t="shared" si="160"/>
        <v>119.95698016603842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40.065999999999953</v>
      </c>
      <c r="D137" s="12">
        <f t="shared" si="140"/>
        <v>12.016138535115937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402.03756062194725</v>
      </c>
      <c r="H137" s="70">
        <f t="shared" si="110"/>
        <v>347.37639128199351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6.1186256061773749E-14</v>
      </c>
      <c r="P137" s="14">
        <f t="shared" si="141"/>
        <v>9.7328366192051127E-13</v>
      </c>
      <c r="Q137" s="22">
        <f t="shared" si="108"/>
        <v>1.8017017738191463E-12</v>
      </c>
      <c r="R137" s="62">
        <f t="shared" si="109"/>
        <v>293.33333333333513</v>
      </c>
      <c r="S137" s="62">
        <f ca="1">AVERAGE(OFFSET($R$3,0,0,'Données projet'!$E$9+1,1))-AVERAGE(OFFSET($H$3,0,0,'Données projet'!$E$9+1,1))</f>
        <v>236.98575892380046</v>
      </c>
      <c r="T137" s="62">
        <f t="shared" si="142"/>
        <v>145.77678223659774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140.04898296125504</v>
      </c>
      <c r="AO137" s="62">
        <f t="shared" si="144"/>
        <v>129.5395511270716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-6.2527760746888816E-13</v>
      </c>
      <c r="BE137" s="14">
        <f>BD137*VLOOKUP('Données projet'!$B$11,Paramètres!$A$1:$I$89,3,0)*VLOOKUP('Données projet'!$B$11,Paramètres!$A$1:$I$89,5,0)</f>
        <v>-2.9262992029543964E-13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207.84100251878419</v>
      </c>
      <c r="BJ137" s="62">
        <f t="shared" si="146"/>
        <v>124.34917784241952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-2.9558577807620169E-14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211.05980622218578</v>
      </c>
      <c r="CE137" s="62">
        <f t="shared" si="148"/>
        <v>168.57746894604855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1.1879166666666663</v>
      </c>
      <c r="CT137" s="13">
        <f>IF('Données projet'!$A$140&gt;35,CT136+CS137-DB136,IF(A137&lt;'Données projet'!$A$140,$CQ$205^A137,IF(A137='Données projet'!$A$140,'Données projet'!$B$140,CT136+CS137-DB136)))</f>
        <v>120.28499999999998</v>
      </c>
      <c r="CU137" s="18">
        <f>CT137*VLOOKUP('Données projet'!$B$13,Paramètres!$A$1:$I$89,3,0)*VLOOKUP('Données projet'!$B$13,Paramètres!$A$1:$I$89,5,0)</f>
        <v>138.56831999999997</v>
      </c>
      <c r="CV137" s="14">
        <f t="shared" si="149"/>
        <v>35.968831761941608</v>
      </c>
      <c r="CW137" s="22">
        <f t="shared" si="121"/>
        <v>303.98553931871487</v>
      </c>
      <c r="CX137" s="62">
        <f t="shared" si="122"/>
        <v>597.31887265204819</v>
      </c>
      <c r="CY137" s="62">
        <f ca="1">AVERAGE(OFFSET($CX$3,0,0,'Données projet'!$E$13+1,1))-AVERAGE(OFFSET($H$3,0,0,'Données projet'!$E$13+1,1))</f>
        <v>191.79777926975839</v>
      </c>
      <c r="CZ137" s="62">
        <f t="shared" si="150"/>
        <v>156.66161375678712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4.0679999999999987</v>
      </c>
      <c r="DO137" s="13">
        <f>IF('Données projet'!$A$166&gt;35,DO136+DN137-DW136,IF(A137&lt;'Données projet'!$A$166,$DL$205^A137,IF(A137='Données projet'!$A$166,'Données projet'!$B$166,DO136+DN137-DW136)))</f>
        <v>330.50199999999995</v>
      </c>
      <c r="DP137" s="18">
        <f>DO137*VLOOKUP('Données projet'!$B$14,Paramètres!$A$1:$I$89,3,0)*VLOOKUP('Données projet'!$B$14,Paramètres!$A$1:$I$89,5,0)</f>
        <v>360.90818399999995</v>
      </c>
      <c r="DQ137" s="14">
        <f t="shared" si="151"/>
        <v>83.804591938278804</v>
      </c>
      <c r="DR137" s="22">
        <f t="shared" si="124"/>
        <v>774.54141809250211</v>
      </c>
      <c r="DS137" s="62">
        <f t="shared" si="125"/>
        <v>1067.8747514258355</v>
      </c>
      <c r="DT137" s="62">
        <f ca="1">AVERAGE(OFFSET($DS$3,0,0,'Données projet'!$E$14+1,1))-AVERAGE(OFFSET($H$3,0,0,'Données projet'!$E$14+1,1))</f>
        <v>541.0854688453461</v>
      </c>
      <c r="DU137" s="62">
        <f t="shared" si="152"/>
        <v>171.04847168584473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5.1159076974727213E-13</v>
      </c>
      <c r="EK137" s="18">
        <f>EJ137*VLOOKUP('Données projet'!$B$15,Paramètres!$A$1:$I$89,3,0)*VLOOKUP('Données projet'!$B$15,Paramètres!$A$1:$I$89,5,0)</f>
        <v>3.0593128030886877E-13</v>
      </c>
      <c r="EL137" s="14">
        <f t="shared" si="153"/>
        <v>4.0350537939347394E-12</v>
      </c>
      <c r="EM137" s="22">
        <f t="shared" si="127"/>
        <v>7.5605490043076185E-12</v>
      </c>
      <c r="EN137" s="62">
        <f t="shared" si="128"/>
        <v>293.33333333334087</v>
      </c>
      <c r="EO137" s="62">
        <f ca="1">AVERAGE(OFFSET($EN$3,0,0,'Données projet'!$E$15+1,1))-AVERAGE(OFFSET($H$3,0,0,'Données projet'!$E$15+1,1))</f>
        <v>244.01698421598974</v>
      </c>
      <c r="EP137" s="62">
        <f t="shared" si="154"/>
        <v>156.96653202915024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0.2012037420334114</v>
      </c>
      <c r="EX137" s="23">
        <f>EXP(-LN(2)/2)*EX136+(1-EXP(-LN(2)/2))/(LN(2)/2)*ER137*EU137*VLOOKUP('Données projet'!$B$15,Paramètres!$A$1:$I$89,3,0)*0.475*44/12</f>
        <v>2.2111860499270007E-15</v>
      </c>
      <c r="EY137" s="24">
        <f t="shared" si="129"/>
        <v>0.20120374203341362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-5.6843418860808015E-14</v>
      </c>
      <c r="FF137" s="18">
        <f>FE137*VLOOKUP('Données projet'!$B$16,Paramètres!$A$1:$I$89,3,0)*VLOOKUP('Données projet'!$B$16,Paramètres!$A$1:$I$89,5,0)</f>
        <v>-4.9658410716801891E-14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175.08726167127026</v>
      </c>
      <c r="FK137" s="62">
        <f t="shared" si="156"/>
        <v>196.05343924817117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8.5265128291212022E-14</v>
      </c>
      <c r="GA137" s="18">
        <f>FZ137*VLOOKUP('Données projet'!$B$17,Paramètres!$A$1:$I$89,3,0)*VLOOKUP('Données projet'!$B$17,Paramètres!$A$1:$I$89,5,0)</f>
        <v>5.5865712056402117E-14</v>
      </c>
      <c r="GB137" s="14">
        <f t="shared" si="157"/>
        <v>8.9811031843713517E-13</v>
      </c>
      <c r="GC137" s="22">
        <f t="shared" si="133"/>
        <v>1.6615082531095774E-12</v>
      </c>
      <c r="GD137" s="62">
        <f t="shared" si="134"/>
        <v>293.33333333333496</v>
      </c>
      <c r="GE137" s="62">
        <f ca="1">AVERAGE(OFFSET($GD$3,0,0,'Données projet'!$E$17+1,1))-AVERAGE(OFFSET($H$3,0,0,'Données projet'!$E$17+1,1))</f>
        <v>142.93037460866543</v>
      </c>
      <c r="GF137" s="62">
        <f t="shared" si="158"/>
        <v>146.18554498808049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5.6843418860808015E-14</v>
      </c>
      <c r="GV137" s="18">
        <f>GU137*VLOOKUP('Données projet'!$B$18,Paramètres!$A$1:$I$89,3,0)*VLOOKUP('Données projet'!$B$18,Paramètres!$A$1:$I$89,5,0)</f>
        <v>4.8771653382573282E-14</v>
      </c>
      <c r="GW137" s="14">
        <f t="shared" si="159"/>
        <v>7.9655698259503351E-13</v>
      </c>
      <c r="GX137" s="22">
        <f t="shared" si="136"/>
        <v>1.4722807076609983E-12</v>
      </c>
      <c r="GY137" s="62">
        <f t="shared" si="137"/>
        <v>293.33333333333479</v>
      </c>
      <c r="GZ137" s="62">
        <f ca="1">AVERAGE(OFFSET($GY$3,0,0,'Données projet'!$E$18+1,1))-AVERAGE(OFFSET($H$3,0,0,'Données projet'!$E$18+1,1))</f>
        <v>188.08607733149256</v>
      </c>
      <c r="HA137" s="62">
        <f t="shared" si="160"/>
        <v>119.95698016603842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40.364999999999952</v>
      </c>
      <c r="D138" s="12">
        <f t="shared" si="140"/>
        <v>12.095338992592687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404.95700274983795</v>
      </c>
      <c r="H138" s="70">
        <f t="shared" si="110"/>
        <v>348.03509041209884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6.1186256061773749E-14</v>
      </c>
      <c r="P138" s="14">
        <f t="shared" si="141"/>
        <v>9.7328366192051127E-13</v>
      </c>
      <c r="Q138" s="22">
        <f t="shared" si="108"/>
        <v>1.8017017738191463E-12</v>
      </c>
      <c r="R138" s="62">
        <f t="shared" si="109"/>
        <v>293.33333333333513</v>
      </c>
      <c r="S138" s="62">
        <f ca="1">AVERAGE(OFFSET($R$3,0,0,'Données projet'!$E$9+1,1))-AVERAGE(OFFSET($H$3,0,0,'Données projet'!$E$9+1,1))</f>
        <v>236.98575892380046</v>
      </c>
      <c r="T138" s="62">
        <f t="shared" si="142"/>
        <v>145.77678223659774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140.04898296125504</v>
      </c>
      <c r="AO138" s="62">
        <f t="shared" si="144"/>
        <v>129.5395511270716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-6.2527760746888816E-13</v>
      </c>
      <c r="BE138" s="14">
        <f>BD138*VLOOKUP('Données projet'!$B$11,Paramètres!$A$1:$I$89,3,0)*VLOOKUP('Données projet'!$B$11,Paramètres!$A$1:$I$89,5,0)</f>
        <v>-2.9262992029543964E-13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207.84100251878419</v>
      </c>
      <c r="BJ138" s="62">
        <f t="shared" si="146"/>
        <v>124.34917784241952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-2.9558577807620169E-14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211.05980622218578</v>
      </c>
      <c r="CE138" s="62">
        <f t="shared" si="148"/>
        <v>168.57746894604855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1.1879166666666663</v>
      </c>
      <c r="CT138" s="13">
        <f>IF('Données projet'!$A$140&gt;35,CT137+CS138-DB137,IF(A138&lt;'Données projet'!$A$140,$CQ$205^A138,IF(A138='Données projet'!$A$140,'Données projet'!$B$140,CT137+CS138-DB137)))</f>
        <v>121.47291666666665</v>
      </c>
      <c r="CU138" s="18">
        <f>CT138*VLOOKUP('Données projet'!$B$13,Paramètres!$A$1:$I$89,3,0)*VLOOKUP('Données projet'!$B$13,Paramètres!$A$1:$I$89,5,0)</f>
        <v>139.93679999999998</v>
      </c>
      <c r="CV138" s="14">
        <f t="shared" si="149"/>
        <v>36.282526882038972</v>
      </c>
      <c r="CW138" s="22">
        <f t="shared" si="121"/>
        <v>306.91532765288451</v>
      </c>
      <c r="CX138" s="62">
        <f t="shared" si="122"/>
        <v>600.24866098621783</v>
      </c>
      <c r="CY138" s="62">
        <f ca="1">AVERAGE(OFFSET($CX$3,0,0,'Données projet'!$E$13+1,1))-AVERAGE(OFFSET($H$3,0,0,'Données projet'!$E$13+1,1))</f>
        <v>191.79777926975839</v>
      </c>
      <c r="CZ138" s="62">
        <f t="shared" si="150"/>
        <v>156.66161375678712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4.0679999999999987</v>
      </c>
      <c r="DO138" s="13">
        <f>IF('Données projet'!$A$166&gt;35,DO137+DN138-DW137,IF(A138&lt;'Données projet'!$A$166,$DL$205^A138,IF(A138='Données projet'!$A$166,'Données projet'!$B$166,DO137+DN138-DW137)))</f>
        <v>334.56999999999994</v>
      </c>
      <c r="DP138" s="18">
        <f>DO138*VLOOKUP('Données projet'!$B$14,Paramètres!$A$1:$I$89,3,0)*VLOOKUP('Données projet'!$B$14,Paramètres!$A$1:$I$89,5,0)</f>
        <v>365.35043999999988</v>
      </c>
      <c r="DQ138" s="14">
        <f t="shared" si="151"/>
        <v>84.715386797114647</v>
      </c>
      <c r="DR138" s="22">
        <f t="shared" si="124"/>
        <v>783.86464833830769</v>
      </c>
      <c r="DS138" s="62">
        <f t="shared" si="125"/>
        <v>1077.1979816716409</v>
      </c>
      <c r="DT138" s="62">
        <f ca="1">AVERAGE(OFFSET($DS$3,0,0,'Données projet'!$E$14+1,1))-AVERAGE(OFFSET($H$3,0,0,'Données projet'!$E$14+1,1))</f>
        <v>541.0854688453461</v>
      </c>
      <c r="DU138" s="62">
        <f t="shared" si="152"/>
        <v>171.04847168584473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5.1159076974727213E-13</v>
      </c>
      <c r="EK138" s="18">
        <f>EJ138*VLOOKUP('Données projet'!$B$15,Paramètres!$A$1:$I$89,3,0)*VLOOKUP('Données projet'!$B$15,Paramètres!$A$1:$I$89,5,0)</f>
        <v>3.0593128030886877E-13</v>
      </c>
      <c r="EL138" s="14">
        <f t="shared" si="153"/>
        <v>4.0350537939347394E-12</v>
      </c>
      <c r="EM138" s="22">
        <f t="shared" si="127"/>
        <v>7.5605490043076185E-12</v>
      </c>
      <c r="EN138" s="62">
        <f t="shared" si="128"/>
        <v>293.33333333334087</v>
      </c>
      <c r="EO138" s="62">
        <f ca="1">AVERAGE(OFFSET($EN$3,0,0,'Données projet'!$E$15+1,1))-AVERAGE(OFFSET($H$3,0,0,'Données projet'!$E$15+1,1))</f>
        <v>244.01698421598974</v>
      </c>
      <c r="EP138" s="62">
        <f t="shared" si="154"/>
        <v>156.96653202915024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0.19570181512666282</v>
      </c>
      <c r="EX138" s="23">
        <f>EXP(-LN(2)/2)*EX137+(1-EXP(-LN(2)/2))/(LN(2)/2)*ER138*EU138*VLOOKUP('Données projet'!$B$15,Paramètres!$A$1:$I$89,3,0)*0.475*44/12</f>
        <v>1.563544650368478E-15</v>
      </c>
      <c r="EY138" s="24">
        <f t="shared" si="129"/>
        <v>0.19570181512666437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-5.6843418860808015E-14</v>
      </c>
      <c r="FF138" s="18">
        <f>FE138*VLOOKUP('Données projet'!$B$16,Paramètres!$A$1:$I$89,3,0)*VLOOKUP('Données projet'!$B$16,Paramètres!$A$1:$I$89,5,0)</f>
        <v>-4.9658410716801891E-14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175.08726167127026</v>
      </c>
      <c r="FK138" s="62">
        <f t="shared" si="156"/>
        <v>196.05343924817117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8.5265128291212022E-14</v>
      </c>
      <c r="GA138" s="18">
        <f>FZ138*VLOOKUP('Données projet'!$B$17,Paramètres!$A$1:$I$89,3,0)*VLOOKUP('Données projet'!$B$17,Paramètres!$A$1:$I$89,5,0)</f>
        <v>5.5865712056402117E-14</v>
      </c>
      <c r="GB138" s="14">
        <f t="shared" si="157"/>
        <v>8.9811031843713517E-13</v>
      </c>
      <c r="GC138" s="22">
        <f t="shared" si="133"/>
        <v>1.6615082531095774E-12</v>
      </c>
      <c r="GD138" s="62">
        <f t="shared" si="134"/>
        <v>293.33333333333496</v>
      </c>
      <c r="GE138" s="62">
        <f ca="1">AVERAGE(OFFSET($GD$3,0,0,'Données projet'!$E$17+1,1))-AVERAGE(OFFSET($H$3,0,0,'Données projet'!$E$17+1,1))</f>
        <v>142.93037460866543</v>
      </c>
      <c r="GF138" s="62">
        <f t="shared" si="158"/>
        <v>146.18554498808049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5.6843418860808015E-14</v>
      </c>
      <c r="GV138" s="18">
        <f>GU138*VLOOKUP('Données projet'!$B$18,Paramètres!$A$1:$I$89,3,0)*VLOOKUP('Données projet'!$B$18,Paramètres!$A$1:$I$89,5,0)</f>
        <v>4.8771653382573282E-14</v>
      </c>
      <c r="GW138" s="14">
        <f t="shared" si="159"/>
        <v>7.9655698259503351E-13</v>
      </c>
      <c r="GX138" s="22">
        <f t="shared" si="136"/>
        <v>1.4722807076609983E-12</v>
      </c>
      <c r="GY138" s="62">
        <f t="shared" si="137"/>
        <v>293.33333333333479</v>
      </c>
      <c r="GZ138" s="62">
        <f ca="1">AVERAGE(OFFSET($GY$3,0,0,'Données projet'!$E$18+1,1))-AVERAGE(OFFSET($H$3,0,0,'Données projet'!$E$18+1,1))</f>
        <v>188.08607733149256</v>
      </c>
      <c r="HA138" s="62">
        <f t="shared" si="160"/>
        <v>119.95698016603842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40.663999999999952</v>
      </c>
      <c r="D139" s="12">
        <f t="shared" si="140"/>
        <v>12.174471190446132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407.87591796133819</v>
      </c>
      <c r="H139" s="70">
        <f t="shared" si="110"/>
        <v>348.6936706566936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6.1186256061773749E-14</v>
      </c>
      <c r="P139" s="14">
        <f t="shared" si="141"/>
        <v>9.7328366192051127E-13</v>
      </c>
      <c r="Q139" s="22">
        <f t="shared" si="108"/>
        <v>1.8017017738191463E-12</v>
      </c>
      <c r="R139" s="62">
        <f t="shared" si="109"/>
        <v>293.33333333333513</v>
      </c>
      <c r="S139" s="62">
        <f ca="1">AVERAGE(OFFSET($R$3,0,0,'Données projet'!$E$9+1,1))-AVERAGE(OFFSET($H$3,0,0,'Données projet'!$E$9+1,1))</f>
        <v>236.98575892380046</v>
      </c>
      <c r="T139" s="62">
        <f t="shared" si="142"/>
        <v>145.77678223659774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140.04898296125504</v>
      </c>
      <c r="AO139" s="62">
        <f t="shared" si="144"/>
        <v>129.5395511270716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-6.2527760746888816E-13</v>
      </c>
      <c r="BE139" s="14">
        <f>BD139*VLOOKUP('Données projet'!$B$11,Paramètres!$A$1:$I$89,3,0)*VLOOKUP('Données projet'!$B$11,Paramètres!$A$1:$I$89,5,0)</f>
        <v>-2.9262992029543964E-13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207.84100251878419</v>
      </c>
      <c r="BJ139" s="62">
        <f t="shared" si="146"/>
        <v>124.34917784241952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-2.9558577807620169E-14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211.05980622218578</v>
      </c>
      <c r="CE139" s="62">
        <f t="shared" si="148"/>
        <v>168.57746894604855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1.1879166666666663</v>
      </c>
      <c r="CT139" s="13">
        <f>IF('Données projet'!$A$140&gt;35,CT138+CS139-DB138,IF(A139&lt;'Données projet'!$A$140,$CQ$205^A139,IF(A139='Données projet'!$A$140,'Données projet'!$B$140,CT138+CS139-DB138)))</f>
        <v>122.66083333333331</v>
      </c>
      <c r="CU139" s="18">
        <f>CT139*VLOOKUP('Données projet'!$B$13,Paramètres!$A$1:$I$89,3,0)*VLOOKUP('Données projet'!$B$13,Paramètres!$A$1:$I$89,5,0)</f>
        <v>141.30527999999995</v>
      </c>
      <c r="CV139" s="14">
        <f t="shared" si="149"/>
        <v>36.595865117852185</v>
      </c>
      <c r="CW139" s="22">
        <f t="shared" si="121"/>
        <v>309.84449441359243</v>
      </c>
      <c r="CX139" s="62">
        <f t="shared" si="122"/>
        <v>603.17782774692569</v>
      </c>
      <c r="CY139" s="62">
        <f ca="1">AVERAGE(OFFSET($CX$3,0,0,'Données projet'!$E$13+1,1))-AVERAGE(OFFSET($H$3,0,0,'Données projet'!$E$13+1,1))</f>
        <v>191.79777926975839</v>
      </c>
      <c r="CZ139" s="62">
        <f t="shared" si="150"/>
        <v>156.66161375678712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4.0679999999999987</v>
      </c>
      <c r="DO139" s="13">
        <f>IF('Données projet'!$A$166&gt;35,DO138+DN139-DW138,IF(A139&lt;'Données projet'!$A$166,$DL$205^A139,IF(A139='Données projet'!$A$166,'Données projet'!$B$166,DO138+DN139-DW138)))</f>
        <v>338.63799999999992</v>
      </c>
      <c r="DP139" s="18">
        <f>DO139*VLOOKUP('Données projet'!$B$14,Paramètres!$A$1:$I$89,3,0)*VLOOKUP('Données projet'!$B$14,Paramètres!$A$1:$I$89,5,0)</f>
        <v>369.79269599999992</v>
      </c>
      <c r="DQ139" s="14">
        <f t="shared" si="151"/>
        <v>85.624893490865006</v>
      </c>
      <c r="DR139" s="22">
        <f t="shared" si="124"/>
        <v>793.18563502992311</v>
      </c>
      <c r="DS139" s="62">
        <f t="shared" si="125"/>
        <v>1086.5189683632564</v>
      </c>
      <c r="DT139" s="62">
        <f ca="1">AVERAGE(OFFSET($DS$3,0,0,'Données projet'!$E$14+1,1))-AVERAGE(OFFSET($H$3,0,0,'Données projet'!$E$14+1,1))</f>
        <v>541.0854688453461</v>
      </c>
      <c r="DU139" s="62">
        <f t="shared" si="152"/>
        <v>171.04847168584473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5.1159076974727213E-13</v>
      </c>
      <c r="EK139" s="18">
        <f>EJ139*VLOOKUP('Données projet'!$B$15,Paramètres!$A$1:$I$89,3,0)*VLOOKUP('Données projet'!$B$15,Paramètres!$A$1:$I$89,5,0)</f>
        <v>3.0593128030886877E-13</v>
      </c>
      <c r="EL139" s="14">
        <f t="shared" si="153"/>
        <v>4.0350537939347394E-12</v>
      </c>
      <c r="EM139" s="22">
        <f t="shared" si="127"/>
        <v>7.5605490043076185E-12</v>
      </c>
      <c r="EN139" s="62">
        <f t="shared" si="128"/>
        <v>293.33333333334087</v>
      </c>
      <c r="EO139" s="62">
        <f ca="1">AVERAGE(OFFSET($EN$3,0,0,'Données projet'!$E$15+1,1))-AVERAGE(OFFSET($H$3,0,0,'Données projet'!$E$15+1,1))</f>
        <v>244.01698421598974</v>
      </c>
      <c r="EP139" s="62">
        <f t="shared" si="154"/>
        <v>156.96653202915024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0.19035033870051304</v>
      </c>
      <c r="EX139" s="23">
        <f>EXP(-LN(2)/2)*EX138+(1-EXP(-LN(2)/2))/(LN(2)/2)*ER139*EU139*VLOOKUP('Données projet'!$B$15,Paramètres!$A$1:$I$89,3,0)*0.475*44/12</f>
        <v>1.1055930249635003E-15</v>
      </c>
      <c r="EY139" s="24">
        <f t="shared" si="129"/>
        <v>0.19035033870051415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-5.6843418860808015E-14</v>
      </c>
      <c r="FF139" s="18">
        <f>FE139*VLOOKUP('Données projet'!$B$16,Paramètres!$A$1:$I$89,3,0)*VLOOKUP('Données projet'!$B$16,Paramètres!$A$1:$I$89,5,0)</f>
        <v>-4.9658410716801891E-14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175.08726167127026</v>
      </c>
      <c r="FK139" s="62">
        <f t="shared" si="156"/>
        <v>196.05343924817117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8.5265128291212022E-14</v>
      </c>
      <c r="GA139" s="18">
        <f>FZ139*VLOOKUP('Données projet'!$B$17,Paramètres!$A$1:$I$89,3,0)*VLOOKUP('Données projet'!$B$17,Paramètres!$A$1:$I$89,5,0)</f>
        <v>5.5865712056402117E-14</v>
      </c>
      <c r="GB139" s="14">
        <f t="shared" si="157"/>
        <v>8.9811031843713517E-13</v>
      </c>
      <c r="GC139" s="22">
        <f t="shared" si="133"/>
        <v>1.6615082531095774E-12</v>
      </c>
      <c r="GD139" s="62">
        <f t="shared" si="134"/>
        <v>293.33333333333496</v>
      </c>
      <c r="GE139" s="62">
        <f ca="1">AVERAGE(OFFSET($GD$3,0,0,'Données projet'!$E$17+1,1))-AVERAGE(OFFSET($H$3,0,0,'Données projet'!$E$17+1,1))</f>
        <v>142.93037460866543</v>
      </c>
      <c r="GF139" s="62">
        <f t="shared" si="158"/>
        <v>146.18554498808049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5.6843418860808015E-14</v>
      </c>
      <c r="GV139" s="18">
        <f>GU139*VLOOKUP('Données projet'!$B$18,Paramètres!$A$1:$I$89,3,0)*VLOOKUP('Données projet'!$B$18,Paramètres!$A$1:$I$89,5,0)</f>
        <v>4.8771653382573282E-14</v>
      </c>
      <c r="GW139" s="14">
        <f t="shared" si="159"/>
        <v>7.9655698259503351E-13</v>
      </c>
      <c r="GX139" s="22">
        <f t="shared" si="136"/>
        <v>1.4722807076609983E-12</v>
      </c>
      <c r="GY139" s="62">
        <f t="shared" si="137"/>
        <v>293.33333333333479</v>
      </c>
      <c r="GZ139" s="62">
        <f ca="1">AVERAGE(OFFSET($GY$3,0,0,'Données projet'!$E$18+1,1))-AVERAGE(OFFSET($H$3,0,0,'Données projet'!$E$18+1,1))</f>
        <v>188.08607733149256</v>
      </c>
      <c r="HA139" s="62">
        <f t="shared" si="160"/>
        <v>119.95698016603842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40.962999999999951</v>
      </c>
      <c r="D140" s="12">
        <f t="shared" si="140"/>
        <v>12.253535688777877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410.79431058003934</v>
      </c>
      <c r="H140" s="70">
        <f t="shared" si="110"/>
        <v>349.35213299128804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6.1186256061773749E-14</v>
      </c>
      <c r="P140" s="14">
        <f t="shared" si="141"/>
        <v>9.7328366192051127E-13</v>
      </c>
      <c r="Q140" s="22">
        <f t="shared" si="108"/>
        <v>1.8017017738191463E-12</v>
      </c>
      <c r="R140" s="62">
        <f t="shared" si="109"/>
        <v>293.33333333333513</v>
      </c>
      <c r="S140" s="62">
        <f ca="1">AVERAGE(OFFSET($R$3,0,0,'Données projet'!$E$9+1,1))-AVERAGE(OFFSET($H$3,0,0,'Données projet'!$E$9+1,1))</f>
        <v>236.98575892380046</v>
      </c>
      <c r="T140" s="62">
        <f t="shared" si="142"/>
        <v>145.77678223659774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140.04898296125504</v>
      </c>
      <c r="AO140" s="62">
        <f t="shared" si="144"/>
        <v>129.5395511270716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-6.2527760746888816E-13</v>
      </c>
      <c r="BE140" s="14">
        <f>BD140*VLOOKUP('Données projet'!$B$11,Paramètres!$A$1:$I$89,3,0)*VLOOKUP('Données projet'!$B$11,Paramètres!$A$1:$I$89,5,0)</f>
        <v>-2.9262992029543964E-13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207.84100251878419</v>
      </c>
      <c r="BJ140" s="62">
        <f t="shared" si="146"/>
        <v>124.34917784241952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-2.9558577807620169E-14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211.05980622218578</v>
      </c>
      <c r="CE140" s="62">
        <f t="shared" si="148"/>
        <v>168.57746894604855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1.1879166666666663</v>
      </c>
      <c r="CT140" s="13">
        <f>IF('Données projet'!$A$140&gt;35,CT139+CS140-DB139,IF(A140&lt;'Données projet'!$A$140,$CQ$205^A140,IF(A140='Données projet'!$A$140,'Données projet'!$B$140,CT139+CS140-DB139)))</f>
        <v>123.84874999999998</v>
      </c>
      <c r="CU140" s="18">
        <f>CT140*VLOOKUP('Données projet'!$B$13,Paramètres!$A$1:$I$89,3,0)*VLOOKUP('Données projet'!$B$13,Paramètres!$A$1:$I$89,5,0)</f>
        <v>142.67375999999996</v>
      </c>
      <c r="CV140" s="14">
        <f t="shared" si="149"/>
        <v>36.908850325906613</v>
      </c>
      <c r="CW140" s="22">
        <f t="shared" si="121"/>
        <v>312.77304631762058</v>
      </c>
      <c r="CX140" s="62">
        <f t="shared" si="122"/>
        <v>606.10637965095384</v>
      </c>
      <c r="CY140" s="62">
        <f ca="1">AVERAGE(OFFSET($CX$3,0,0,'Données projet'!$E$13+1,1))-AVERAGE(OFFSET($H$3,0,0,'Données projet'!$E$13+1,1))</f>
        <v>191.79777926975839</v>
      </c>
      <c r="CZ140" s="62">
        <f t="shared" si="150"/>
        <v>156.66161375678712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4.0679999999999987</v>
      </c>
      <c r="DO140" s="13">
        <f>IF('Données projet'!$A$166&gt;35,DO139+DN140-DW139,IF(A140&lt;'Données projet'!$A$166,$DL$205^A140,IF(A140='Données projet'!$A$166,'Données projet'!$B$166,DO139+DN140-DW139)))</f>
        <v>342.7059999999999</v>
      </c>
      <c r="DP140" s="18">
        <f>DO140*VLOOKUP('Données projet'!$B$14,Paramètres!$A$1:$I$89,3,0)*VLOOKUP('Données projet'!$B$14,Paramètres!$A$1:$I$89,5,0)</f>
        <v>374.23495199999991</v>
      </c>
      <c r="DQ140" s="14">
        <f t="shared" si="151"/>
        <v>86.533129284030096</v>
      </c>
      <c r="DR140" s="22">
        <f t="shared" si="124"/>
        <v>802.50440823635233</v>
      </c>
      <c r="DS140" s="62">
        <f t="shared" si="125"/>
        <v>1095.8377415696857</v>
      </c>
      <c r="DT140" s="62">
        <f ca="1">AVERAGE(OFFSET($DS$3,0,0,'Données projet'!$E$14+1,1))-AVERAGE(OFFSET($H$3,0,0,'Données projet'!$E$14+1,1))</f>
        <v>541.0854688453461</v>
      </c>
      <c r="DU140" s="62">
        <f t="shared" si="152"/>
        <v>171.04847168584473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5.1159076974727213E-13</v>
      </c>
      <c r="EK140" s="18">
        <f>EJ140*VLOOKUP('Données projet'!$B$15,Paramètres!$A$1:$I$89,3,0)*VLOOKUP('Données projet'!$B$15,Paramètres!$A$1:$I$89,5,0)</f>
        <v>3.0593128030886877E-13</v>
      </c>
      <c r="EL140" s="14">
        <f t="shared" si="153"/>
        <v>4.0350537939347394E-12</v>
      </c>
      <c r="EM140" s="22">
        <f t="shared" si="127"/>
        <v>7.5605490043076185E-12</v>
      </c>
      <c r="EN140" s="62">
        <f t="shared" si="128"/>
        <v>293.33333333334087</v>
      </c>
      <c r="EO140" s="62">
        <f ca="1">AVERAGE(OFFSET($EN$3,0,0,'Données projet'!$E$15+1,1))-AVERAGE(OFFSET($H$3,0,0,'Données projet'!$E$15+1,1))</f>
        <v>244.01698421598974</v>
      </c>
      <c r="EP140" s="62">
        <f t="shared" si="154"/>
        <v>156.96653202915024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0.18514519867865825</v>
      </c>
      <c r="EX140" s="23">
        <f>EXP(-LN(2)/2)*EX139+(1-EXP(-LN(2)/2))/(LN(2)/2)*ER140*EU140*VLOOKUP('Données projet'!$B$15,Paramètres!$A$1:$I$89,3,0)*0.475*44/12</f>
        <v>7.8177232518423901E-16</v>
      </c>
      <c r="EY140" s="24">
        <f t="shared" si="129"/>
        <v>0.18514519867865903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-5.6843418860808015E-14</v>
      </c>
      <c r="FF140" s="18">
        <f>FE140*VLOOKUP('Données projet'!$B$16,Paramètres!$A$1:$I$89,3,0)*VLOOKUP('Données projet'!$B$16,Paramètres!$A$1:$I$89,5,0)</f>
        <v>-4.9658410716801891E-14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175.08726167127026</v>
      </c>
      <c r="FK140" s="62">
        <f t="shared" si="156"/>
        <v>196.05343924817117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8.5265128291212022E-14</v>
      </c>
      <c r="GA140" s="18">
        <f>FZ140*VLOOKUP('Données projet'!$B$17,Paramètres!$A$1:$I$89,3,0)*VLOOKUP('Données projet'!$B$17,Paramètres!$A$1:$I$89,5,0)</f>
        <v>5.5865712056402117E-14</v>
      </c>
      <c r="GB140" s="14">
        <f t="shared" si="157"/>
        <v>8.9811031843713517E-13</v>
      </c>
      <c r="GC140" s="22">
        <f t="shared" si="133"/>
        <v>1.6615082531095774E-12</v>
      </c>
      <c r="GD140" s="62">
        <f t="shared" si="134"/>
        <v>293.33333333333496</v>
      </c>
      <c r="GE140" s="62">
        <f ca="1">AVERAGE(OFFSET($GD$3,0,0,'Données projet'!$E$17+1,1))-AVERAGE(OFFSET($H$3,0,0,'Données projet'!$E$17+1,1))</f>
        <v>142.93037460866543</v>
      </c>
      <c r="GF140" s="62">
        <f t="shared" si="158"/>
        <v>146.18554498808049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5.6843418860808015E-14</v>
      </c>
      <c r="GV140" s="18">
        <f>GU140*VLOOKUP('Données projet'!$B$18,Paramètres!$A$1:$I$89,3,0)*VLOOKUP('Données projet'!$B$18,Paramètres!$A$1:$I$89,5,0)</f>
        <v>4.8771653382573282E-14</v>
      </c>
      <c r="GW140" s="14">
        <f t="shared" si="159"/>
        <v>7.9655698259503351E-13</v>
      </c>
      <c r="GX140" s="22">
        <f t="shared" si="136"/>
        <v>1.4722807076609983E-12</v>
      </c>
      <c r="GY140" s="62">
        <f t="shared" si="137"/>
        <v>293.33333333333479</v>
      </c>
      <c r="GZ140" s="62">
        <f ca="1">AVERAGE(OFFSET($GY$3,0,0,'Données projet'!$E$18+1,1))-AVERAGE(OFFSET($H$3,0,0,'Données projet'!$E$18+1,1))</f>
        <v>188.08607733149256</v>
      </c>
      <c r="HA140" s="62">
        <f t="shared" si="160"/>
        <v>119.95698016603842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41.261999999999951</v>
      </c>
      <c r="D141" s="12">
        <f t="shared" si="140"/>
        <v>12.332533039040438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413.71218486276786</v>
      </c>
      <c r="H141" s="70">
        <f t="shared" si="110"/>
        <v>350.01047837632871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6.1186256061773749E-14</v>
      </c>
      <c r="P141" s="14">
        <f t="shared" si="141"/>
        <v>9.7328366192051127E-13</v>
      </c>
      <c r="Q141" s="22">
        <f t="shared" si="108"/>
        <v>1.8017017738191463E-12</v>
      </c>
      <c r="R141" s="62">
        <f t="shared" si="109"/>
        <v>293.33333333333513</v>
      </c>
      <c r="S141" s="62">
        <f ca="1">AVERAGE(OFFSET($R$3,0,0,'Données projet'!$E$9+1,1))-AVERAGE(OFFSET($H$3,0,0,'Données projet'!$E$9+1,1))</f>
        <v>236.98575892380046</v>
      </c>
      <c r="T141" s="62">
        <f t="shared" si="142"/>
        <v>145.77678223659774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140.04898296125504</v>
      </c>
      <c r="AO141" s="62">
        <f t="shared" si="144"/>
        <v>129.5395511270716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-6.2527760746888816E-13</v>
      </c>
      <c r="BE141" s="14">
        <f>BD141*VLOOKUP('Données projet'!$B$11,Paramètres!$A$1:$I$89,3,0)*VLOOKUP('Données projet'!$B$11,Paramètres!$A$1:$I$89,5,0)</f>
        <v>-2.9262992029543964E-13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207.84100251878419</v>
      </c>
      <c r="BJ141" s="62">
        <f t="shared" si="146"/>
        <v>124.34917784241952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-2.9558577807620169E-14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211.05980622218578</v>
      </c>
      <c r="CE141" s="62">
        <f t="shared" si="148"/>
        <v>168.57746894604855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1.1879166666666663</v>
      </c>
      <c r="CT141" s="13">
        <f>IF('Données projet'!$A$140&gt;35,CT140+CS141-DB140,IF(A141&lt;'Données projet'!$A$140,$CQ$205^A141,IF(A141='Données projet'!$A$140,'Données projet'!$B$140,CT140+CS141-DB140)))</f>
        <v>125.03666666666665</v>
      </c>
      <c r="CU141" s="18">
        <f>CT141*VLOOKUP('Données projet'!$B$13,Paramètres!$A$1:$I$89,3,0)*VLOOKUP('Données projet'!$B$13,Paramètres!$A$1:$I$89,5,0)</f>
        <v>144.04223999999996</v>
      </c>
      <c r="CV141" s="14">
        <f t="shared" si="149"/>
        <v>37.221486284480982</v>
      </c>
      <c r="CW141" s="22">
        <f t="shared" si="121"/>
        <v>315.70098994547101</v>
      </c>
      <c r="CX141" s="62">
        <f t="shared" si="122"/>
        <v>609.03432327880432</v>
      </c>
      <c r="CY141" s="62">
        <f ca="1">AVERAGE(OFFSET($CX$3,0,0,'Données projet'!$E$13+1,1))-AVERAGE(OFFSET($H$3,0,0,'Données projet'!$E$13+1,1))</f>
        <v>191.79777926975839</v>
      </c>
      <c r="CZ141" s="62">
        <f t="shared" si="150"/>
        <v>156.66161375678712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4.0679999999999987</v>
      </c>
      <c r="DO141" s="13">
        <f>IF('Données projet'!$A$166&gt;35,DO140+DN141-DW140,IF(A141&lt;'Données projet'!$A$166,$DL$205^A141,IF(A141='Données projet'!$A$166,'Données projet'!$B$166,DO140+DN141-DW140)))</f>
        <v>346.77399999999989</v>
      </c>
      <c r="DP141" s="18">
        <f>DO141*VLOOKUP('Données projet'!$B$14,Paramètres!$A$1:$I$89,3,0)*VLOOKUP('Données projet'!$B$14,Paramètres!$A$1:$I$89,5,0)</f>
        <v>378.67720799999984</v>
      </c>
      <c r="DQ141" s="14">
        <f t="shared" si="151"/>
        <v>87.440111007657592</v>
      </c>
      <c r="DR141" s="22">
        <f t="shared" si="124"/>
        <v>811.82099727166997</v>
      </c>
      <c r="DS141" s="62">
        <f t="shared" si="125"/>
        <v>1105.1543306050032</v>
      </c>
      <c r="DT141" s="62">
        <f ca="1">AVERAGE(OFFSET($DS$3,0,0,'Données projet'!$E$14+1,1))-AVERAGE(OFFSET($H$3,0,0,'Données projet'!$E$14+1,1))</f>
        <v>541.0854688453461</v>
      </c>
      <c r="DU141" s="62">
        <f t="shared" si="152"/>
        <v>171.04847168584473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5.1159076974727213E-13</v>
      </c>
      <c r="EK141" s="18">
        <f>EJ141*VLOOKUP('Données projet'!$B$15,Paramètres!$A$1:$I$89,3,0)*VLOOKUP('Données projet'!$B$15,Paramètres!$A$1:$I$89,5,0)</f>
        <v>3.0593128030886877E-13</v>
      </c>
      <c r="EL141" s="14">
        <f t="shared" si="153"/>
        <v>4.0350537939347394E-12</v>
      </c>
      <c r="EM141" s="22">
        <f t="shared" si="127"/>
        <v>7.5605490043076185E-12</v>
      </c>
      <c r="EN141" s="62">
        <f t="shared" si="128"/>
        <v>293.33333333334087</v>
      </c>
      <c r="EO141" s="62">
        <f ca="1">AVERAGE(OFFSET($EN$3,0,0,'Données projet'!$E$15+1,1))-AVERAGE(OFFSET($H$3,0,0,'Données projet'!$E$15+1,1))</f>
        <v>244.01698421598974</v>
      </c>
      <c r="EP141" s="62">
        <f t="shared" si="154"/>
        <v>156.96653202915024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0.18008239348442751</v>
      </c>
      <c r="EX141" s="23">
        <f>EXP(-LN(2)/2)*EX140+(1-EXP(-LN(2)/2))/(LN(2)/2)*ER141*EU141*VLOOKUP('Données projet'!$B$15,Paramètres!$A$1:$I$89,3,0)*0.475*44/12</f>
        <v>5.5279651248175016E-16</v>
      </c>
      <c r="EY141" s="24">
        <f t="shared" si="129"/>
        <v>0.18008239348442806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-5.6843418860808015E-14</v>
      </c>
      <c r="FF141" s="18">
        <f>FE141*VLOOKUP('Données projet'!$B$16,Paramètres!$A$1:$I$89,3,0)*VLOOKUP('Données projet'!$B$16,Paramètres!$A$1:$I$89,5,0)</f>
        <v>-4.9658410716801891E-14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175.08726167127026</v>
      </c>
      <c r="FK141" s="62">
        <f t="shared" si="156"/>
        <v>196.05343924817117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8.5265128291212022E-14</v>
      </c>
      <c r="GA141" s="18">
        <f>FZ141*VLOOKUP('Données projet'!$B$17,Paramètres!$A$1:$I$89,3,0)*VLOOKUP('Données projet'!$B$17,Paramètres!$A$1:$I$89,5,0)</f>
        <v>5.5865712056402117E-14</v>
      </c>
      <c r="GB141" s="14">
        <f t="shared" si="157"/>
        <v>8.9811031843713517E-13</v>
      </c>
      <c r="GC141" s="22">
        <f t="shared" si="133"/>
        <v>1.6615082531095774E-12</v>
      </c>
      <c r="GD141" s="62">
        <f t="shared" si="134"/>
        <v>293.33333333333496</v>
      </c>
      <c r="GE141" s="62">
        <f ca="1">AVERAGE(OFFSET($GD$3,0,0,'Données projet'!$E$17+1,1))-AVERAGE(OFFSET($H$3,0,0,'Données projet'!$E$17+1,1))</f>
        <v>142.93037460866543</v>
      </c>
      <c r="GF141" s="62">
        <f t="shared" si="158"/>
        <v>146.18554498808049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5.6843418860808015E-14</v>
      </c>
      <c r="GV141" s="18">
        <f>GU141*VLOOKUP('Données projet'!$B$18,Paramètres!$A$1:$I$89,3,0)*VLOOKUP('Données projet'!$B$18,Paramètres!$A$1:$I$89,5,0)</f>
        <v>4.8771653382573282E-14</v>
      </c>
      <c r="GW141" s="14">
        <f t="shared" si="159"/>
        <v>7.9655698259503351E-13</v>
      </c>
      <c r="GX141" s="22">
        <f t="shared" si="136"/>
        <v>1.4722807076609983E-12</v>
      </c>
      <c r="GY141" s="62">
        <f t="shared" si="137"/>
        <v>293.33333333333479</v>
      </c>
      <c r="GZ141" s="62">
        <f ca="1">AVERAGE(OFFSET($GY$3,0,0,'Données projet'!$E$18+1,1))-AVERAGE(OFFSET($H$3,0,0,'Données projet'!$E$18+1,1))</f>
        <v>188.08607733149256</v>
      </c>
      <c r="HA141" s="62">
        <f t="shared" si="160"/>
        <v>119.95698016603842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41.56099999999995</v>
      </c>
      <c r="D142" s="12">
        <f t="shared" si="140"/>
        <v>12.411463784232456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416.62954500109225</v>
      </c>
      <c r="H142" s="70">
        <f t="shared" si="110"/>
        <v>350.66870775753813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6.1186256061773749E-14</v>
      </c>
      <c r="P142" s="14">
        <f t="shared" si="141"/>
        <v>9.7328366192051127E-13</v>
      </c>
      <c r="Q142" s="22">
        <f t="shared" si="108"/>
        <v>1.8017017738191463E-12</v>
      </c>
      <c r="R142" s="62">
        <f t="shared" si="109"/>
        <v>293.33333333333513</v>
      </c>
      <c r="S142" s="62">
        <f ca="1">AVERAGE(OFFSET($R$3,0,0,'Données projet'!$E$9+1,1))-AVERAGE(OFFSET($H$3,0,0,'Données projet'!$E$9+1,1))</f>
        <v>236.98575892380046</v>
      </c>
      <c r="T142" s="62">
        <f t="shared" si="142"/>
        <v>145.77678223659774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140.04898296125504</v>
      </c>
      <c r="AO142" s="62">
        <f t="shared" si="144"/>
        <v>129.5395511270716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-6.2527760746888816E-13</v>
      </c>
      <c r="BE142" s="14">
        <f>BD142*VLOOKUP('Données projet'!$B$11,Paramètres!$A$1:$I$89,3,0)*VLOOKUP('Données projet'!$B$11,Paramètres!$A$1:$I$89,5,0)</f>
        <v>-2.9262992029543964E-13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207.84100251878419</v>
      </c>
      <c r="BJ142" s="62">
        <f t="shared" si="146"/>
        <v>124.34917784241952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-2.9558577807620169E-14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211.05980622218578</v>
      </c>
      <c r="CE142" s="62">
        <f t="shared" si="148"/>
        <v>168.57746894604855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1.1879166666666663</v>
      </c>
      <c r="CT142" s="13">
        <f>IF('Données projet'!$A$140&gt;35,CT141+CS142-DB141,IF(A142&lt;'Données projet'!$A$140,$CQ$205^A142,IF(A142='Données projet'!$A$140,'Données projet'!$B$140,CT141+CS142-DB141)))</f>
        <v>126.22458333333331</v>
      </c>
      <c r="CU142" s="18">
        <f>CT142*VLOOKUP('Données projet'!$B$13,Paramètres!$A$1:$I$89,3,0)*VLOOKUP('Données projet'!$B$13,Paramètres!$A$1:$I$89,5,0)</f>
        <v>145.41071999999997</v>
      </c>
      <c r="CV142" s="14">
        <f t="shared" si="149"/>
        <v>37.533776695922867</v>
      </c>
      <c r="CW142" s="22">
        <f t="shared" si="121"/>
        <v>318.62833174539895</v>
      </c>
      <c r="CX142" s="62">
        <f t="shared" si="122"/>
        <v>611.96166507873227</v>
      </c>
      <c r="CY142" s="62">
        <f ca="1">AVERAGE(OFFSET($CX$3,0,0,'Données projet'!$E$13+1,1))-AVERAGE(OFFSET($H$3,0,0,'Données projet'!$E$13+1,1))</f>
        <v>191.79777926975839</v>
      </c>
      <c r="CZ142" s="62">
        <f t="shared" si="150"/>
        <v>156.66161375678712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4.0679999999999987</v>
      </c>
      <c r="DO142" s="13">
        <f>IF('Données projet'!$A$166&gt;35,DO141+DN142-DW141,IF(A142&lt;'Données projet'!$A$166,$DL$205^A142,IF(A142='Données projet'!$A$166,'Données projet'!$B$166,DO141+DN142-DW141)))</f>
        <v>350.84199999999987</v>
      </c>
      <c r="DP142" s="18">
        <f>DO142*VLOOKUP('Données projet'!$B$14,Paramètres!$A$1:$I$89,3,0)*VLOOKUP('Données projet'!$B$14,Paramètres!$A$1:$I$89,5,0)</f>
        <v>383.11946399999988</v>
      </c>
      <c r="DQ142" s="14">
        <f t="shared" si="151"/>
        <v>88.345855075180168</v>
      </c>
      <c r="DR142" s="22">
        <f t="shared" si="124"/>
        <v>821.13543072260518</v>
      </c>
      <c r="DS142" s="62">
        <f t="shared" si="125"/>
        <v>1114.4687640559384</v>
      </c>
      <c r="DT142" s="62">
        <f ca="1">AVERAGE(OFFSET($DS$3,0,0,'Données projet'!$E$14+1,1))-AVERAGE(OFFSET($H$3,0,0,'Données projet'!$E$14+1,1))</f>
        <v>541.0854688453461</v>
      </c>
      <c r="DU142" s="62">
        <f t="shared" si="152"/>
        <v>171.04847168584473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5.1159076974727213E-13</v>
      </c>
      <c r="EK142" s="18">
        <f>EJ142*VLOOKUP('Données projet'!$B$15,Paramètres!$A$1:$I$89,3,0)*VLOOKUP('Données projet'!$B$15,Paramètres!$A$1:$I$89,5,0)</f>
        <v>3.0593128030886877E-13</v>
      </c>
      <c r="EL142" s="14">
        <f t="shared" si="153"/>
        <v>4.0350537939347394E-12</v>
      </c>
      <c r="EM142" s="22">
        <f t="shared" si="127"/>
        <v>7.5605490043076185E-12</v>
      </c>
      <c r="EN142" s="62">
        <f t="shared" si="128"/>
        <v>293.33333333334087</v>
      </c>
      <c r="EO142" s="62">
        <f ca="1">AVERAGE(OFFSET($EN$3,0,0,'Données projet'!$E$15+1,1))-AVERAGE(OFFSET($H$3,0,0,'Données projet'!$E$15+1,1))</f>
        <v>244.01698421598974</v>
      </c>
      <c r="EP142" s="62">
        <f t="shared" si="154"/>
        <v>156.96653202915024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0.17515803096447435</v>
      </c>
      <c r="EX142" s="23">
        <f>EXP(-LN(2)/2)*EX141+(1-EXP(-LN(2)/2))/(LN(2)/2)*ER142*EU142*VLOOKUP('Données projet'!$B$15,Paramètres!$A$1:$I$89,3,0)*0.475*44/12</f>
        <v>3.9088616259211951E-16</v>
      </c>
      <c r="EY142" s="24">
        <f t="shared" si="129"/>
        <v>0.17515803096447474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-5.6843418860808015E-14</v>
      </c>
      <c r="FF142" s="18">
        <f>FE142*VLOOKUP('Données projet'!$B$16,Paramètres!$A$1:$I$89,3,0)*VLOOKUP('Données projet'!$B$16,Paramètres!$A$1:$I$89,5,0)</f>
        <v>-4.9658410716801891E-14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175.08726167127026</v>
      </c>
      <c r="FK142" s="62">
        <f t="shared" si="156"/>
        <v>196.05343924817117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8.5265128291212022E-14</v>
      </c>
      <c r="GA142" s="18">
        <f>FZ142*VLOOKUP('Données projet'!$B$17,Paramètres!$A$1:$I$89,3,0)*VLOOKUP('Données projet'!$B$17,Paramètres!$A$1:$I$89,5,0)</f>
        <v>5.5865712056402117E-14</v>
      </c>
      <c r="GB142" s="14">
        <f t="shared" si="157"/>
        <v>8.9811031843713517E-13</v>
      </c>
      <c r="GC142" s="22">
        <f t="shared" si="133"/>
        <v>1.6615082531095774E-12</v>
      </c>
      <c r="GD142" s="62">
        <f t="shared" si="134"/>
        <v>293.33333333333496</v>
      </c>
      <c r="GE142" s="62">
        <f ca="1">AVERAGE(OFFSET($GD$3,0,0,'Données projet'!$E$17+1,1))-AVERAGE(OFFSET($H$3,0,0,'Données projet'!$E$17+1,1))</f>
        <v>142.93037460866543</v>
      </c>
      <c r="GF142" s="62">
        <f t="shared" si="158"/>
        <v>146.18554498808049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5.6843418860808015E-14</v>
      </c>
      <c r="GV142" s="18">
        <f>GU142*VLOOKUP('Données projet'!$B$18,Paramètres!$A$1:$I$89,3,0)*VLOOKUP('Données projet'!$B$18,Paramètres!$A$1:$I$89,5,0)</f>
        <v>4.8771653382573282E-14</v>
      </c>
      <c r="GW142" s="14">
        <f t="shared" si="159"/>
        <v>7.9655698259503351E-13</v>
      </c>
      <c r="GX142" s="22">
        <f t="shared" si="136"/>
        <v>1.4722807076609983E-12</v>
      </c>
      <c r="GY142" s="62">
        <f t="shared" si="137"/>
        <v>293.33333333333479</v>
      </c>
      <c r="GZ142" s="62">
        <f ca="1">AVERAGE(OFFSET($GY$3,0,0,'Données projet'!$E$18+1,1))-AVERAGE(OFFSET($H$3,0,0,'Données projet'!$E$18+1,1))</f>
        <v>188.08607733149256</v>
      </c>
      <c r="HA142" s="62">
        <f t="shared" si="160"/>
        <v>119.95698016603842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41.85999999999995</v>
      </c>
      <c r="D143" s="12">
        <f t="shared" si="140"/>
        <v>12.490328459088202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419.54639512278573</v>
      </c>
      <c r="H143" s="70">
        <f t="shared" si="110"/>
        <v>351.3268220662452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6.1186256061773749E-14</v>
      </c>
      <c r="P143" s="14">
        <f t="shared" si="141"/>
        <v>9.7328366192051127E-13</v>
      </c>
      <c r="Q143" s="22">
        <f t="shared" si="108"/>
        <v>1.8017017738191463E-12</v>
      </c>
      <c r="R143" s="62">
        <f t="shared" si="109"/>
        <v>293.33333333333513</v>
      </c>
      <c r="S143" s="62">
        <f ca="1">AVERAGE(OFFSET($R$3,0,0,'Données projet'!$E$9+1,1))-AVERAGE(OFFSET($H$3,0,0,'Données projet'!$E$9+1,1))</f>
        <v>236.98575892380046</v>
      </c>
      <c r="T143" s="62">
        <f t="shared" si="142"/>
        <v>145.77678223659774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140.04898296125504</v>
      </c>
      <c r="AO143" s="62">
        <f t="shared" si="144"/>
        <v>129.5395511270716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-6.2527760746888816E-13</v>
      </c>
      <c r="BE143" s="14">
        <f>BD143*VLOOKUP('Données projet'!$B$11,Paramètres!$A$1:$I$89,3,0)*VLOOKUP('Données projet'!$B$11,Paramètres!$A$1:$I$89,5,0)</f>
        <v>-2.9262992029543964E-13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207.84100251878419</v>
      </c>
      <c r="BJ143" s="62">
        <f t="shared" si="146"/>
        <v>124.34917784241952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-2.9558577807620169E-14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211.05980622218578</v>
      </c>
      <c r="CE143" s="62">
        <f t="shared" si="148"/>
        <v>168.57746894604855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127.41250000000001</v>
      </c>
      <c r="CR143" s="13">
        <f>VLOOKUP(A143,'Données projet'!$A$139:$I$159,9,0)</f>
        <v>1.1879166666666663</v>
      </c>
      <c r="CS143" s="13">
        <f t="array" ref="CS143">INDEX(CR:CR,MIN(IF(ISNUMBER(CR143:CR339),ROW(CR143:CR339),"")))</f>
        <v>1.1879166666666663</v>
      </c>
      <c r="CT143" s="13">
        <f>IF('Données projet'!$A$140&gt;35,CT142+CS143-DB142,IF(A143&lt;'Données projet'!$A$140,$CQ$205^A143,IF(A143='Données projet'!$A$140,'Données projet'!$B$140,CT142+CS143-DB142)))</f>
        <v>127.41249999999998</v>
      </c>
      <c r="CU143" s="18">
        <f>CT143*VLOOKUP('Données projet'!$B$13,Paramètres!$A$1:$I$89,3,0)*VLOOKUP('Données projet'!$B$13,Paramètres!$A$1:$I$89,5,0)</f>
        <v>146.77919999999997</v>
      </c>
      <c r="CV143" s="14">
        <f t="shared" si="149"/>
        <v>37.845725188874766</v>
      </c>
      <c r="CW143" s="22">
        <f t="shared" si="121"/>
        <v>321.55507803729012</v>
      </c>
      <c r="CX143" s="62">
        <f t="shared" si="122"/>
        <v>614.88841137062343</v>
      </c>
      <c r="CY143" s="62">
        <f ca="1">AVERAGE(OFFSET($CX$3,0,0,'Données projet'!$E$13+1,1))-AVERAGE(OFFSET($H$3,0,0,'Données projet'!$E$13+1,1))</f>
        <v>191.79777926975839</v>
      </c>
      <c r="CZ143" s="62">
        <f t="shared" si="150"/>
        <v>156.66161375678712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8.5416666666666679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4.0679999999999987</v>
      </c>
      <c r="DO143" s="13">
        <f>IF('Données projet'!$A$166&gt;35,DO142+DN143-DW142,IF(A143&lt;'Données projet'!$A$166,$DL$205^A143,IF(A143='Données projet'!$A$166,'Données projet'!$B$166,DO142+DN143-DW142)))</f>
        <v>354.90999999999985</v>
      </c>
      <c r="DP143" s="18">
        <f>DO143*VLOOKUP('Données projet'!$B$14,Paramètres!$A$1:$I$89,3,0)*VLOOKUP('Données projet'!$B$14,Paramètres!$A$1:$I$89,5,0)</f>
        <v>387.56171999999981</v>
      </c>
      <c r="DQ143" s="14">
        <f t="shared" si="151"/>
        <v>89.250377497496146</v>
      </c>
      <c r="DR143" s="22">
        <f t="shared" si="124"/>
        <v>830.44773647480542</v>
      </c>
      <c r="DS143" s="62">
        <f t="shared" si="125"/>
        <v>1123.7810698081387</v>
      </c>
      <c r="DT143" s="62">
        <f ca="1">AVERAGE(OFFSET($DS$3,0,0,'Données projet'!$E$14+1,1))-AVERAGE(OFFSET($H$3,0,0,'Données projet'!$E$14+1,1))</f>
        <v>541.0854688453461</v>
      </c>
      <c r="DU143" s="62">
        <f t="shared" si="152"/>
        <v>171.04847168584473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5.1159076974727213E-13</v>
      </c>
      <c r="EK143" s="18">
        <f>EJ143*VLOOKUP('Données projet'!$B$15,Paramètres!$A$1:$I$89,3,0)*VLOOKUP('Données projet'!$B$15,Paramètres!$A$1:$I$89,5,0)</f>
        <v>3.0593128030886877E-13</v>
      </c>
      <c r="EL143" s="14">
        <f t="shared" si="153"/>
        <v>4.0350537939347394E-12</v>
      </c>
      <c r="EM143" s="22">
        <f t="shared" si="127"/>
        <v>7.5605490043076185E-12</v>
      </c>
      <c r="EN143" s="62">
        <f t="shared" si="128"/>
        <v>293.33333333334087</v>
      </c>
      <c r="EO143" s="62">
        <f ca="1">AVERAGE(OFFSET($EN$3,0,0,'Données projet'!$E$15+1,1))-AVERAGE(OFFSET($H$3,0,0,'Données projet'!$E$15+1,1))</f>
        <v>244.01698421598974</v>
      </c>
      <c r="EP143" s="62">
        <f t="shared" si="154"/>
        <v>156.96653202915024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0.17036832539659028</v>
      </c>
      <c r="EX143" s="23">
        <f>EXP(-LN(2)/2)*EX142+(1-EXP(-LN(2)/2))/(LN(2)/2)*ER143*EU143*VLOOKUP('Données projet'!$B$15,Paramètres!$A$1:$I$89,3,0)*0.475*44/12</f>
        <v>2.7639825624087508E-16</v>
      </c>
      <c r="EY143" s="24">
        <f t="shared" si="129"/>
        <v>0.17036832539659055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-5.6843418860808015E-14</v>
      </c>
      <c r="FF143" s="18">
        <f>FE143*VLOOKUP('Données projet'!$B$16,Paramètres!$A$1:$I$89,3,0)*VLOOKUP('Données projet'!$B$16,Paramètres!$A$1:$I$89,5,0)</f>
        <v>-4.9658410716801891E-14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175.08726167127026</v>
      </c>
      <c r="FK143" s="62">
        <f t="shared" si="156"/>
        <v>196.05343924817117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8.5265128291212022E-14</v>
      </c>
      <c r="GA143" s="18">
        <f>FZ143*VLOOKUP('Données projet'!$B$17,Paramètres!$A$1:$I$89,3,0)*VLOOKUP('Données projet'!$B$17,Paramètres!$A$1:$I$89,5,0)</f>
        <v>5.5865712056402117E-14</v>
      </c>
      <c r="GB143" s="14">
        <f t="shared" si="157"/>
        <v>8.9811031843713517E-13</v>
      </c>
      <c r="GC143" s="22">
        <f t="shared" si="133"/>
        <v>1.6615082531095774E-12</v>
      </c>
      <c r="GD143" s="62">
        <f t="shared" si="134"/>
        <v>293.33333333333496</v>
      </c>
      <c r="GE143" s="62">
        <f ca="1">AVERAGE(OFFSET($GD$3,0,0,'Données projet'!$E$17+1,1))-AVERAGE(OFFSET($H$3,0,0,'Données projet'!$E$17+1,1))</f>
        <v>142.93037460866543</v>
      </c>
      <c r="GF143" s="62">
        <f t="shared" si="158"/>
        <v>146.18554498808049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5.6843418860808015E-14</v>
      </c>
      <c r="GV143" s="18">
        <f>GU143*VLOOKUP('Données projet'!$B$18,Paramètres!$A$1:$I$89,3,0)*VLOOKUP('Données projet'!$B$18,Paramètres!$A$1:$I$89,5,0)</f>
        <v>4.8771653382573282E-14</v>
      </c>
      <c r="GW143" s="14">
        <f t="shared" si="159"/>
        <v>7.9655698259503351E-13</v>
      </c>
      <c r="GX143" s="22">
        <f t="shared" si="136"/>
        <v>1.4722807076609983E-12</v>
      </c>
      <c r="GY143" s="62">
        <f t="shared" si="137"/>
        <v>293.33333333333479</v>
      </c>
      <c r="GZ143" s="62">
        <f ca="1">AVERAGE(OFFSET($GY$3,0,0,'Données projet'!$E$18+1,1))-AVERAGE(OFFSET($H$3,0,0,'Données projet'!$E$18+1,1))</f>
        <v>188.08607733149256</v>
      </c>
      <c r="HA143" s="62">
        <f t="shared" si="160"/>
        <v>119.95698016603842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42.158999999999949</v>
      </c>
      <c r="D144" s="12">
        <f t="shared" si="140"/>
        <v>12.569127590261424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422.4627392932457</v>
      </c>
      <c r="H144" s="70">
        <f t="shared" si="110"/>
        <v>351.98482221970522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6.1186256061773749E-14</v>
      </c>
      <c r="P144" s="14">
        <f t="shared" si="141"/>
        <v>9.7328366192051127E-13</v>
      </c>
      <c r="Q144" s="22">
        <f t="shared" si="108"/>
        <v>1.8017017738191463E-12</v>
      </c>
      <c r="R144" s="62">
        <f t="shared" si="109"/>
        <v>293.33333333333513</v>
      </c>
      <c r="S144" s="62">
        <f ca="1">AVERAGE(OFFSET($R$3,0,0,'Données projet'!$E$9+1,1))-AVERAGE(OFFSET($H$3,0,0,'Données projet'!$E$9+1,1))</f>
        <v>236.98575892380046</v>
      </c>
      <c r="T144" s="62">
        <f t="shared" si="142"/>
        <v>145.77678223659774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140.04898296125504</v>
      </c>
      <c r="AO144" s="62">
        <f t="shared" si="144"/>
        <v>129.5395511270716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-6.2527760746888816E-13</v>
      </c>
      <c r="BE144" s="14">
        <f>BD144*VLOOKUP('Données projet'!$B$11,Paramètres!$A$1:$I$89,3,0)*VLOOKUP('Données projet'!$B$11,Paramètres!$A$1:$I$89,5,0)</f>
        <v>-2.9262992029543964E-13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207.84100251878419</v>
      </c>
      <c r="BJ144" s="62">
        <f t="shared" si="146"/>
        <v>124.34917784241952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-2.9558577807620169E-14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211.05980622218578</v>
      </c>
      <c r="CE144" s="62">
        <f t="shared" si="148"/>
        <v>168.57746894604855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1.1341666666666668</v>
      </c>
      <c r="CT144" s="13">
        <f>IF('Données projet'!$A$140&gt;35,CT143+CS144-DB143,IF(A144&lt;'Données projet'!$A$140,$CQ$205^A144,IF(A144='Données projet'!$A$140,'Données projet'!$B$140,CT143+CS144-DB143)))</f>
        <v>120.00499999999998</v>
      </c>
      <c r="CU144" s="18">
        <f>CT144*VLOOKUP('Données projet'!$B$13,Paramètres!$A$1:$I$89,3,0)*VLOOKUP('Données projet'!$B$13,Paramètres!$A$1:$I$89,5,0)</f>
        <v>138.24575999999996</v>
      </c>
      <c r="CV144" s="14">
        <f t="shared" si="149"/>
        <v>35.89483929910822</v>
      </c>
      <c r="CW144" s="22">
        <f t="shared" si="121"/>
        <v>303.29487711261339</v>
      </c>
      <c r="CX144" s="62">
        <f t="shared" si="122"/>
        <v>596.62821044594671</v>
      </c>
      <c r="CY144" s="62">
        <f ca="1">AVERAGE(OFFSET($CX$3,0,0,'Données projet'!$E$13+1,1))-AVERAGE(OFFSET($H$3,0,0,'Données projet'!$E$13+1,1))</f>
        <v>191.79777926975839</v>
      </c>
      <c r="CZ144" s="62">
        <f t="shared" si="150"/>
        <v>156.66161375678712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4.0679999999999987</v>
      </c>
      <c r="DO144" s="13">
        <f>IF('Données projet'!$A$166&gt;35,DO143+DN144-DW143,IF(A144&lt;'Données projet'!$A$166,$DL$205^A144,IF(A144='Données projet'!$A$166,'Données projet'!$B$166,DO143+DN144-DW143)))</f>
        <v>358.97799999999984</v>
      </c>
      <c r="DP144" s="18">
        <f>DO144*VLOOKUP('Données projet'!$B$14,Paramètres!$A$1:$I$89,3,0)*VLOOKUP('Données projet'!$B$14,Paramètres!$A$1:$I$89,5,0)</f>
        <v>392.0039759999998</v>
      </c>
      <c r="DQ144" s="14">
        <f t="shared" si="151"/>
        <v>90.153693897340787</v>
      </c>
      <c r="DR144" s="22">
        <f t="shared" si="124"/>
        <v>839.75794173786824</v>
      </c>
      <c r="DS144" s="62">
        <f t="shared" si="125"/>
        <v>1133.0912750712016</v>
      </c>
      <c r="DT144" s="62">
        <f ca="1">AVERAGE(OFFSET($DS$3,0,0,'Données projet'!$E$14+1,1))-AVERAGE(OFFSET($H$3,0,0,'Données projet'!$E$14+1,1))</f>
        <v>541.0854688453461</v>
      </c>
      <c r="DU144" s="62">
        <f t="shared" si="152"/>
        <v>171.04847168584473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5.1159076974727213E-13</v>
      </c>
      <c r="EK144" s="18">
        <f>EJ144*VLOOKUP('Données projet'!$B$15,Paramètres!$A$1:$I$89,3,0)*VLOOKUP('Données projet'!$B$15,Paramètres!$A$1:$I$89,5,0)</f>
        <v>3.0593128030886877E-13</v>
      </c>
      <c r="EL144" s="14">
        <f t="shared" si="153"/>
        <v>4.0350537939347394E-12</v>
      </c>
      <c r="EM144" s="22">
        <f t="shared" si="127"/>
        <v>7.5605490043076185E-12</v>
      </c>
      <c r="EN144" s="62">
        <f t="shared" si="128"/>
        <v>293.33333333334087</v>
      </c>
      <c r="EO144" s="62">
        <f ca="1">AVERAGE(OFFSET($EN$3,0,0,'Données projet'!$E$15+1,1))-AVERAGE(OFFSET($H$3,0,0,'Données projet'!$E$15+1,1))</f>
        <v>244.01698421598974</v>
      </c>
      <c r="EP144" s="62">
        <f t="shared" si="154"/>
        <v>156.96653202915024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0.16570959457933968</v>
      </c>
      <c r="EX144" s="23">
        <f>EXP(-LN(2)/2)*EX143+(1-EXP(-LN(2)/2))/(LN(2)/2)*ER144*EU144*VLOOKUP('Données projet'!$B$15,Paramètres!$A$1:$I$89,3,0)*0.475*44/12</f>
        <v>1.9544308129605975E-16</v>
      </c>
      <c r="EY144" s="24">
        <f t="shared" si="129"/>
        <v>0.16570959457933987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-5.6843418860808015E-14</v>
      </c>
      <c r="FF144" s="18">
        <f>FE144*VLOOKUP('Données projet'!$B$16,Paramètres!$A$1:$I$89,3,0)*VLOOKUP('Données projet'!$B$16,Paramètres!$A$1:$I$89,5,0)</f>
        <v>-4.9658410716801891E-14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175.08726167127026</v>
      </c>
      <c r="FK144" s="62">
        <f t="shared" si="156"/>
        <v>196.05343924817117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8.5265128291212022E-14</v>
      </c>
      <c r="GA144" s="18">
        <f>FZ144*VLOOKUP('Données projet'!$B$17,Paramètres!$A$1:$I$89,3,0)*VLOOKUP('Données projet'!$B$17,Paramètres!$A$1:$I$89,5,0)</f>
        <v>5.5865712056402117E-14</v>
      </c>
      <c r="GB144" s="14">
        <f t="shared" si="157"/>
        <v>8.9811031843713517E-13</v>
      </c>
      <c r="GC144" s="22">
        <f t="shared" si="133"/>
        <v>1.6615082531095774E-12</v>
      </c>
      <c r="GD144" s="62">
        <f t="shared" si="134"/>
        <v>293.33333333333496</v>
      </c>
      <c r="GE144" s="62">
        <f ca="1">AVERAGE(OFFSET($GD$3,0,0,'Données projet'!$E$17+1,1))-AVERAGE(OFFSET($H$3,0,0,'Données projet'!$E$17+1,1))</f>
        <v>142.93037460866543</v>
      </c>
      <c r="GF144" s="62">
        <f t="shared" si="158"/>
        <v>146.18554498808049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5.6843418860808015E-14</v>
      </c>
      <c r="GV144" s="18">
        <f>GU144*VLOOKUP('Données projet'!$B$18,Paramètres!$A$1:$I$89,3,0)*VLOOKUP('Données projet'!$B$18,Paramètres!$A$1:$I$89,5,0)</f>
        <v>4.8771653382573282E-14</v>
      </c>
      <c r="GW144" s="14">
        <f t="shared" si="159"/>
        <v>7.9655698259503351E-13</v>
      </c>
      <c r="GX144" s="22">
        <f t="shared" si="136"/>
        <v>1.4722807076609983E-12</v>
      </c>
      <c r="GY144" s="62">
        <f t="shared" si="137"/>
        <v>293.33333333333479</v>
      </c>
      <c r="GZ144" s="62">
        <f ca="1">AVERAGE(OFFSET($GY$3,0,0,'Données projet'!$E$18+1,1))-AVERAGE(OFFSET($H$3,0,0,'Données projet'!$E$18+1,1))</f>
        <v>188.08607733149256</v>
      </c>
      <c r="HA144" s="62">
        <f t="shared" si="160"/>
        <v>119.95698016603842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42.457999999999949</v>
      </c>
      <c r="D145" s="12">
        <f t="shared" si="140"/>
        <v>12.647861696503915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425.37858151687198</v>
      </c>
      <c r="H145" s="70">
        <f t="shared" si="110"/>
        <v>352.64270912141092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6.1186256061773749E-14</v>
      </c>
      <c r="P145" s="14">
        <f t="shared" si="141"/>
        <v>9.7328366192051127E-13</v>
      </c>
      <c r="Q145" s="22">
        <f t="shared" si="108"/>
        <v>1.8017017738191463E-12</v>
      </c>
      <c r="R145" s="62">
        <f t="shared" si="109"/>
        <v>293.33333333333513</v>
      </c>
      <c r="S145" s="62">
        <f ca="1">AVERAGE(OFFSET($R$3,0,0,'Données projet'!$E$9+1,1))-AVERAGE(OFFSET($H$3,0,0,'Données projet'!$E$9+1,1))</f>
        <v>236.98575892380046</v>
      </c>
      <c r="T145" s="62">
        <f t="shared" si="142"/>
        <v>145.77678223659774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140.04898296125504</v>
      </c>
      <c r="AO145" s="62">
        <f t="shared" si="144"/>
        <v>129.5395511270716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-6.2527760746888816E-13</v>
      </c>
      <c r="BE145" s="14">
        <f>BD145*VLOOKUP('Données projet'!$B$11,Paramètres!$A$1:$I$89,3,0)*VLOOKUP('Données projet'!$B$11,Paramètres!$A$1:$I$89,5,0)</f>
        <v>-2.9262992029543964E-13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207.84100251878419</v>
      </c>
      <c r="BJ145" s="62">
        <f t="shared" si="146"/>
        <v>124.34917784241952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-2.9558577807620169E-14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211.05980622218578</v>
      </c>
      <c r="CE145" s="62">
        <f t="shared" si="148"/>
        <v>168.57746894604855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1.1341666666666668</v>
      </c>
      <c r="CT145" s="13">
        <f>IF('Données projet'!$A$140&gt;35,CT144+CS145-DB144,IF(A145&lt;'Données projet'!$A$140,$CQ$205^A145,IF(A145='Données projet'!$A$140,'Données projet'!$B$140,CT144+CS145-DB144)))</f>
        <v>121.13916666666665</v>
      </c>
      <c r="CU145" s="18">
        <f>CT145*VLOOKUP('Données projet'!$B$13,Paramètres!$A$1:$I$89,3,0)*VLOOKUP('Données projet'!$B$13,Paramètres!$A$1:$I$89,5,0)</f>
        <v>139.55231999999998</v>
      </c>
      <c r="CV145" s="14">
        <f t="shared" si="149"/>
        <v>36.194429184175888</v>
      </c>
      <c r="CW145" s="22">
        <f t="shared" si="121"/>
        <v>306.09225482910631</v>
      </c>
      <c r="CX145" s="62">
        <f t="shared" si="122"/>
        <v>599.42558816243968</v>
      </c>
      <c r="CY145" s="62">
        <f ca="1">AVERAGE(OFFSET($CX$3,0,0,'Données projet'!$E$13+1,1))-AVERAGE(OFFSET($H$3,0,0,'Données projet'!$E$13+1,1))</f>
        <v>191.79777926975839</v>
      </c>
      <c r="CZ145" s="62">
        <f t="shared" si="150"/>
        <v>156.66161375678712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4.0679999999999987</v>
      </c>
      <c r="DO145" s="13">
        <f>IF('Données projet'!$A$166&gt;35,DO144+DN145-DW144,IF(A145&lt;'Données projet'!$A$166,$DL$205^A145,IF(A145='Données projet'!$A$166,'Données projet'!$B$166,DO144+DN145-DW144)))</f>
        <v>363.04599999999982</v>
      </c>
      <c r="DP145" s="18">
        <f>DO145*VLOOKUP('Données projet'!$B$14,Paramètres!$A$1:$I$89,3,0)*VLOOKUP('Données projet'!$B$14,Paramètres!$A$1:$I$89,5,0)</f>
        <v>396.44623199999978</v>
      </c>
      <c r="DQ145" s="14">
        <f t="shared" si="151"/>
        <v>91.055819522985672</v>
      </c>
      <c r="DR145" s="22">
        <f t="shared" si="124"/>
        <v>849.06607306919966</v>
      </c>
      <c r="DS145" s="62">
        <f t="shared" si="125"/>
        <v>1142.399406402533</v>
      </c>
      <c r="DT145" s="62">
        <f ca="1">AVERAGE(OFFSET($DS$3,0,0,'Données projet'!$E$14+1,1))-AVERAGE(OFFSET($H$3,0,0,'Données projet'!$E$14+1,1))</f>
        <v>541.0854688453461</v>
      </c>
      <c r="DU145" s="62">
        <f t="shared" si="152"/>
        <v>171.04847168584473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5.1159076974727213E-13</v>
      </c>
      <c r="EK145" s="18">
        <f>EJ145*VLOOKUP('Données projet'!$B$15,Paramètres!$A$1:$I$89,3,0)*VLOOKUP('Données projet'!$B$15,Paramètres!$A$1:$I$89,5,0)</f>
        <v>3.0593128030886877E-13</v>
      </c>
      <c r="EL145" s="14">
        <f t="shared" si="153"/>
        <v>4.0350537939347394E-12</v>
      </c>
      <c r="EM145" s="22">
        <f t="shared" si="127"/>
        <v>7.5605490043076185E-12</v>
      </c>
      <c r="EN145" s="62">
        <f t="shared" si="128"/>
        <v>293.33333333334087</v>
      </c>
      <c r="EO145" s="62">
        <f ca="1">AVERAGE(OFFSET($EN$3,0,0,'Données projet'!$E$15+1,1))-AVERAGE(OFFSET($H$3,0,0,'Données projet'!$E$15+1,1))</f>
        <v>244.01698421598974</v>
      </c>
      <c r="EP145" s="62">
        <f t="shared" si="154"/>
        <v>156.96653202915024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0.16117825700127877</v>
      </c>
      <c r="EX145" s="23">
        <f>EXP(-LN(2)/2)*EX144+(1-EXP(-LN(2)/2))/(LN(2)/2)*ER145*EU145*VLOOKUP('Données projet'!$B$15,Paramètres!$A$1:$I$89,3,0)*0.475*44/12</f>
        <v>1.3819912812043754E-16</v>
      </c>
      <c r="EY145" s="24">
        <f t="shared" si="129"/>
        <v>0.16117825700127891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-5.6843418860808015E-14</v>
      </c>
      <c r="FF145" s="18">
        <f>FE145*VLOOKUP('Données projet'!$B$16,Paramètres!$A$1:$I$89,3,0)*VLOOKUP('Données projet'!$B$16,Paramètres!$A$1:$I$89,5,0)</f>
        <v>-4.9658410716801891E-14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175.08726167127026</v>
      </c>
      <c r="FK145" s="62">
        <f t="shared" si="156"/>
        <v>196.05343924817117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8.5265128291212022E-14</v>
      </c>
      <c r="GA145" s="18">
        <f>FZ145*VLOOKUP('Données projet'!$B$17,Paramètres!$A$1:$I$89,3,0)*VLOOKUP('Données projet'!$B$17,Paramètres!$A$1:$I$89,5,0)</f>
        <v>5.5865712056402117E-14</v>
      </c>
      <c r="GB145" s="14">
        <f t="shared" si="157"/>
        <v>8.9811031843713517E-13</v>
      </c>
      <c r="GC145" s="22">
        <f t="shared" si="133"/>
        <v>1.6615082531095774E-12</v>
      </c>
      <c r="GD145" s="62">
        <f t="shared" si="134"/>
        <v>293.33333333333496</v>
      </c>
      <c r="GE145" s="62">
        <f ca="1">AVERAGE(OFFSET($GD$3,0,0,'Données projet'!$E$17+1,1))-AVERAGE(OFFSET($H$3,0,0,'Données projet'!$E$17+1,1))</f>
        <v>142.93037460866543</v>
      </c>
      <c r="GF145" s="62">
        <f t="shared" si="158"/>
        <v>146.18554498808049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5.6843418860808015E-14</v>
      </c>
      <c r="GV145" s="18">
        <f>GU145*VLOOKUP('Données projet'!$B$18,Paramètres!$A$1:$I$89,3,0)*VLOOKUP('Données projet'!$B$18,Paramètres!$A$1:$I$89,5,0)</f>
        <v>4.8771653382573282E-14</v>
      </c>
      <c r="GW145" s="14">
        <f t="shared" si="159"/>
        <v>7.9655698259503351E-13</v>
      </c>
      <c r="GX145" s="22">
        <f t="shared" si="136"/>
        <v>1.4722807076609983E-12</v>
      </c>
      <c r="GY145" s="62">
        <f t="shared" si="137"/>
        <v>293.33333333333479</v>
      </c>
      <c r="GZ145" s="62">
        <f ca="1">AVERAGE(OFFSET($GY$3,0,0,'Données projet'!$E$18+1,1))-AVERAGE(OFFSET($H$3,0,0,'Données projet'!$E$18+1,1))</f>
        <v>188.08607733149256</v>
      </c>
      <c r="HA145" s="62">
        <f t="shared" si="160"/>
        <v>119.95698016603842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42.756999999999948</v>
      </c>
      <c r="D146" s="12">
        <f t="shared" si="140"/>
        <v>12.726531288838851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428.29392573840477</v>
      </c>
      <c r="H146" s="70">
        <f t="shared" si="110"/>
        <v>353.30048366139425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6.1186256061773749E-14</v>
      </c>
      <c r="P146" s="14">
        <f t="shared" si="141"/>
        <v>9.7328366192051127E-13</v>
      </c>
      <c r="Q146" s="22">
        <f t="shared" si="108"/>
        <v>1.8017017738191463E-12</v>
      </c>
      <c r="R146" s="62">
        <f t="shared" si="109"/>
        <v>293.33333333333513</v>
      </c>
      <c r="S146" s="62">
        <f ca="1">AVERAGE(OFFSET($R$3,0,0,'Données projet'!$E$9+1,1))-AVERAGE(OFFSET($H$3,0,0,'Données projet'!$E$9+1,1))</f>
        <v>236.98575892380046</v>
      </c>
      <c r="T146" s="62">
        <f t="shared" si="142"/>
        <v>145.77678223659774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140.04898296125504</v>
      </c>
      <c r="AO146" s="62">
        <f t="shared" si="144"/>
        <v>129.5395511270716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-6.2527760746888816E-13</v>
      </c>
      <c r="BE146" s="14">
        <f>BD146*VLOOKUP('Données projet'!$B$11,Paramètres!$A$1:$I$89,3,0)*VLOOKUP('Données projet'!$B$11,Paramètres!$A$1:$I$89,5,0)</f>
        <v>-2.9262992029543964E-13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207.84100251878419</v>
      </c>
      <c r="BJ146" s="62">
        <f t="shared" si="146"/>
        <v>124.34917784241952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-2.9558577807620169E-14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211.05980622218578</v>
      </c>
      <c r="CE146" s="62">
        <f t="shared" si="148"/>
        <v>168.57746894604855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1.1341666666666668</v>
      </c>
      <c r="CT146" s="13">
        <f>IF('Données projet'!$A$140&gt;35,CT145+CS146-DB145,IF(A146&lt;'Données projet'!$A$140,$CQ$205^A146,IF(A146='Données projet'!$A$140,'Données projet'!$B$140,CT145+CS146-DB145)))</f>
        <v>122.27333333333333</v>
      </c>
      <c r="CU146" s="18">
        <f>CT146*VLOOKUP('Données projet'!$B$13,Paramètres!$A$1:$I$89,3,0)*VLOOKUP('Données projet'!$B$13,Paramètres!$A$1:$I$89,5,0)</f>
        <v>140.85887999999997</v>
      </c>
      <c r="CV146" s="14">
        <f t="shared" si="149"/>
        <v>36.49369275013197</v>
      </c>
      <c r="CW146" s="22">
        <f t="shared" si="121"/>
        <v>308.88906420647976</v>
      </c>
      <c r="CX146" s="62">
        <f t="shared" si="122"/>
        <v>602.22239753981307</v>
      </c>
      <c r="CY146" s="62">
        <f ca="1">AVERAGE(OFFSET($CX$3,0,0,'Données projet'!$E$13+1,1))-AVERAGE(OFFSET($H$3,0,0,'Données projet'!$E$13+1,1))</f>
        <v>191.79777926975839</v>
      </c>
      <c r="CZ146" s="62">
        <f t="shared" si="150"/>
        <v>156.66161375678712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4.0679999999999987</v>
      </c>
      <c r="DO146" s="13">
        <f>IF('Données projet'!$A$166&gt;35,DO145+DN146-DW145,IF(A146&lt;'Données projet'!$A$166,$DL$205^A146,IF(A146='Données projet'!$A$166,'Données projet'!$B$166,DO145+DN146-DW145)))</f>
        <v>367.11399999999981</v>
      </c>
      <c r="DP146" s="18">
        <f>DO146*VLOOKUP('Données projet'!$B$14,Paramètres!$A$1:$I$89,3,0)*VLOOKUP('Données projet'!$B$14,Paramètres!$A$1:$I$89,5,0)</f>
        <v>400.88848799999977</v>
      </c>
      <c r="DQ146" s="14">
        <f t="shared" si="151"/>
        <v>91.95676926130821</v>
      </c>
      <c r="DR146" s="22">
        <f t="shared" si="124"/>
        <v>858.372156396778</v>
      </c>
      <c r="DS146" s="62">
        <f t="shared" si="125"/>
        <v>1151.7054897301114</v>
      </c>
      <c r="DT146" s="62">
        <f ca="1">AVERAGE(OFFSET($DS$3,0,0,'Données projet'!$E$14+1,1))-AVERAGE(OFFSET($H$3,0,0,'Données projet'!$E$14+1,1))</f>
        <v>541.0854688453461</v>
      </c>
      <c r="DU146" s="62">
        <f t="shared" si="152"/>
        <v>171.04847168584473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5.1159076974727213E-13</v>
      </c>
      <c r="EK146" s="18">
        <f>EJ146*VLOOKUP('Données projet'!$B$15,Paramètres!$A$1:$I$89,3,0)*VLOOKUP('Données projet'!$B$15,Paramètres!$A$1:$I$89,5,0)</f>
        <v>3.0593128030886877E-13</v>
      </c>
      <c r="EL146" s="14">
        <f t="shared" si="153"/>
        <v>4.0350537939347394E-12</v>
      </c>
      <c r="EM146" s="22">
        <f t="shared" si="127"/>
        <v>7.5605490043076185E-12</v>
      </c>
      <c r="EN146" s="62">
        <f t="shared" si="128"/>
        <v>293.33333333334087</v>
      </c>
      <c r="EO146" s="62">
        <f ca="1">AVERAGE(OFFSET($EN$3,0,0,'Données projet'!$E$15+1,1))-AVERAGE(OFFSET($H$3,0,0,'Données projet'!$E$15+1,1))</f>
        <v>244.01698421598974</v>
      </c>
      <c r="EP146" s="62">
        <f t="shared" si="154"/>
        <v>156.96653202915024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0.15677082908758264</v>
      </c>
      <c r="EX146" s="23">
        <f>EXP(-LN(2)/2)*EX145+(1-EXP(-LN(2)/2))/(LN(2)/2)*ER146*EU146*VLOOKUP('Données projet'!$B$15,Paramètres!$A$1:$I$89,3,0)*0.475*44/12</f>
        <v>9.7721540648029877E-17</v>
      </c>
      <c r="EY146" s="24">
        <f t="shared" si="129"/>
        <v>0.15677082908758275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-5.6843418860808015E-14</v>
      </c>
      <c r="FF146" s="18">
        <f>FE146*VLOOKUP('Données projet'!$B$16,Paramètres!$A$1:$I$89,3,0)*VLOOKUP('Données projet'!$B$16,Paramètres!$A$1:$I$89,5,0)</f>
        <v>-4.9658410716801891E-14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175.08726167127026</v>
      </c>
      <c r="FK146" s="62">
        <f t="shared" si="156"/>
        <v>196.05343924817117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8.5265128291212022E-14</v>
      </c>
      <c r="GA146" s="18">
        <f>FZ146*VLOOKUP('Données projet'!$B$17,Paramètres!$A$1:$I$89,3,0)*VLOOKUP('Données projet'!$B$17,Paramètres!$A$1:$I$89,5,0)</f>
        <v>5.5865712056402117E-14</v>
      </c>
      <c r="GB146" s="14">
        <f t="shared" si="157"/>
        <v>8.9811031843713517E-13</v>
      </c>
      <c r="GC146" s="22">
        <f t="shared" si="133"/>
        <v>1.6615082531095774E-12</v>
      </c>
      <c r="GD146" s="62">
        <f t="shared" si="134"/>
        <v>293.33333333333496</v>
      </c>
      <c r="GE146" s="62">
        <f ca="1">AVERAGE(OFFSET($GD$3,0,0,'Données projet'!$E$17+1,1))-AVERAGE(OFFSET($H$3,0,0,'Données projet'!$E$17+1,1))</f>
        <v>142.93037460866543</v>
      </c>
      <c r="GF146" s="62">
        <f t="shared" si="158"/>
        <v>146.18554498808049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5.6843418860808015E-14</v>
      </c>
      <c r="GV146" s="18">
        <f>GU146*VLOOKUP('Données projet'!$B$18,Paramètres!$A$1:$I$89,3,0)*VLOOKUP('Données projet'!$B$18,Paramètres!$A$1:$I$89,5,0)</f>
        <v>4.8771653382573282E-14</v>
      </c>
      <c r="GW146" s="14">
        <f t="shared" si="159"/>
        <v>7.9655698259503351E-13</v>
      </c>
      <c r="GX146" s="22">
        <f t="shared" si="136"/>
        <v>1.4722807076609983E-12</v>
      </c>
      <c r="GY146" s="62">
        <f t="shared" si="137"/>
        <v>293.33333333333479</v>
      </c>
      <c r="GZ146" s="62">
        <f ca="1">AVERAGE(OFFSET($GY$3,0,0,'Données projet'!$E$18+1,1))-AVERAGE(OFFSET($H$3,0,0,'Données projet'!$E$18+1,1))</f>
        <v>188.08607733149256</v>
      </c>
      <c r="HA146" s="62">
        <f t="shared" si="160"/>
        <v>119.95698016603842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43.055999999999948</v>
      </c>
      <c r="D147" s="12">
        <f t="shared" si="140"/>
        <v>12.80513687072917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431.20877584422482</v>
      </c>
      <c r="H147" s="70">
        <f t="shared" si="110"/>
        <v>353.95814671651988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6.1186256061773749E-14</v>
      </c>
      <c r="P147" s="14">
        <f t="shared" si="141"/>
        <v>9.7328366192051127E-13</v>
      </c>
      <c r="Q147" s="22">
        <f t="shared" si="108"/>
        <v>1.8017017738191463E-12</v>
      </c>
      <c r="R147" s="62">
        <f t="shared" si="109"/>
        <v>293.33333333333513</v>
      </c>
      <c r="S147" s="62">
        <f ca="1">AVERAGE(OFFSET($R$3,0,0,'Données projet'!$E$9+1,1))-AVERAGE(OFFSET($H$3,0,0,'Données projet'!$E$9+1,1))</f>
        <v>236.98575892380046</v>
      </c>
      <c r="T147" s="62">
        <f t="shared" si="142"/>
        <v>145.77678223659774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140.04898296125504</v>
      </c>
      <c r="AO147" s="62">
        <f t="shared" si="144"/>
        <v>129.5395511270716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-6.2527760746888816E-13</v>
      </c>
      <c r="BE147" s="14">
        <f>BD147*VLOOKUP('Données projet'!$B$11,Paramètres!$A$1:$I$89,3,0)*VLOOKUP('Données projet'!$B$11,Paramètres!$A$1:$I$89,5,0)</f>
        <v>-2.9262992029543964E-13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207.84100251878419</v>
      </c>
      <c r="BJ147" s="62">
        <f t="shared" si="146"/>
        <v>124.34917784241952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-2.9558577807620169E-14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211.05980622218578</v>
      </c>
      <c r="CE147" s="62">
        <f t="shared" si="148"/>
        <v>168.57746894604855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1.1341666666666668</v>
      </c>
      <c r="CT147" s="13">
        <f>IF('Données projet'!$A$140&gt;35,CT146+CS147-DB146,IF(A147&lt;'Données projet'!$A$140,$CQ$205^A147,IF(A147='Données projet'!$A$140,'Données projet'!$B$140,CT146+CS147-DB146)))</f>
        <v>123.4075</v>
      </c>
      <c r="CU147" s="18">
        <f>CT147*VLOOKUP('Données projet'!$B$13,Paramètres!$A$1:$I$89,3,0)*VLOOKUP('Données projet'!$B$13,Paramètres!$A$1:$I$89,5,0)</f>
        <v>142.16543999999999</v>
      </c>
      <c r="CV147" s="14">
        <f t="shared" si="149"/>
        <v>36.792633374400118</v>
      </c>
      <c r="CW147" s="22">
        <f t="shared" si="121"/>
        <v>311.68531112708018</v>
      </c>
      <c r="CX147" s="62">
        <f t="shared" si="122"/>
        <v>605.0186444604135</v>
      </c>
      <c r="CY147" s="62">
        <f ca="1">AVERAGE(OFFSET($CX$3,0,0,'Données projet'!$E$13+1,1))-AVERAGE(OFFSET($H$3,0,0,'Données projet'!$E$13+1,1))</f>
        <v>191.79777926975839</v>
      </c>
      <c r="CZ147" s="62">
        <f t="shared" si="150"/>
        <v>156.66161375678712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4.0679999999999987</v>
      </c>
      <c r="DO147" s="13">
        <f>IF('Données projet'!$A$166&gt;35,DO146+DN147-DW146,IF(A147&lt;'Données projet'!$A$166,$DL$205^A147,IF(A147='Données projet'!$A$166,'Données projet'!$B$166,DO146+DN147-DW146)))</f>
        <v>371.18199999999979</v>
      </c>
      <c r="DP147" s="18">
        <f>DO147*VLOOKUP('Données projet'!$B$14,Paramètres!$A$1:$I$89,3,0)*VLOOKUP('Données projet'!$B$14,Paramètres!$A$1:$I$89,5,0)</f>
        <v>405.33074399999975</v>
      </c>
      <c r="DQ147" s="14">
        <f t="shared" si="151"/>
        <v>92.856557650264094</v>
      </c>
      <c r="DR147" s="22">
        <f t="shared" si="124"/>
        <v>867.67621704087617</v>
      </c>
      <c r="DS147" s="62">
        <f t="shared" si="125"/>
        <v>1161.0095503742095</v>
      </c>
      <c r="DT147" s="62">
        <f ca="1">AVERAGE(OFFSET($DS$3,0,0,'Données projet'!$E$14+1,1))-AVERAGE(OFFSET($H$3,0,0,'Données projet'!$E$14+1,1))</f>
        <v>541.0854688453461</v>
      </c>
      <c r="DU147" s="62">
        <f t="shared" si="152"/>
        <v>171.04847168584473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5.1159076974727213E-13</v>
      </c>
      <c r="EK147" s="18">
        <f>EJ147*VLOOKUP('Données projet'!$B$15,Paramètres!$A$1:$I$89,3,0)*VLOOKUP('Données projet'!$B$15,Paramètres!$A$1:$I$89,5,0)</f>
        <v>3.0593128030886877E-13</v>
      </c>
      <c r="EL147" s="14">
        <f t="shared" si="153"/>
        <v>4.0350537939347394E-12</v>
      </c>
      <c r="EM147" s="22">
        <f t="shared" si="127"/>
        <v>7.5605490043076185E-12</v>
      </c>
      <c r="EN147" s="62">
        <f t="shared" si="128"/>
        <v>293.33333333334087</v>
      </c>
      <c r="EO147" s="62">
        <f ca="1">AVERAGE(OFFSET($EN$3,0,0,'Données projet'!$E$15+1,1))-AVERAGE(OFFSET($H$3,0,0,'Données projet'!$E$15+1,1))</f>
        <v>244.01698421598974</v>
      </c>
      <c r="EP147" s="62">
        <f t="shared" si="154"/>
        <v>156.96653202915024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0.15248392252196308</v>
      </c>
      <c r="EX147" s="23">
        <f>EXP(-LN(2)/2)*EX146+(1-EXP(-LN(2)/2))/(LN(2)/2)*ER147*EU147*VLOOKUP('Données projet'!$B$15,Paramètres!$A$1:$I$89,3,0)*0.475*44/12</f>
        <v>6.909956406021877E-17</v>
      </c>
      <c r="EY147" s="24">
        <f t="shared" si="129"/>
        <v>0.15248392252196313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-5.6843418860808015E-14</v>
      </c>
      <c r="FF147" s="18">
        <f>FE147*VLOOKUP('Données projet'!$B$16,Paramètres!$A$1:$I$89,3,0)*VLOOKUP('Données projet'!$B$16,Paramètres!$A$1:$I$89,5,0)</f>
        <v>-4.9658410716801891E-14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175.08726167127026</v>
      </c>
      <c r="FK147" s="62">
        <f t="shared" si="156"/>
        <v>196.05343924817117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8.5265128291212022E-14</v>
      </c>
      <c r="GA147" s="18">
        <f>FZ147*VLOOKUP('Données projet'!$B$17,Paramètres!$A$1:$I$89,3,0)*VLOOKUP('Données projet'!$B$17,Paramètres!$A$1:$I$89,5,0)</f>
        <v>5.5865712056402117E-14</v>
      </c>
      <c r="GB147" s="14">
        <f t="shared" si="157"/>
        <v>8.9811031843713517E-13</v>
      </c>
      <c r="GC147" s="22">
        <f t="shared" si="133"/>
        <v>1.6615082531095774E-12</v>
      </c>
      <c r="GD147" s="62">
        <f t="shared" si="134"/>
        <v>293.33333333333496</v>
      </c>
      <c r="GE147" s="62">
        <f ca="1">AVERAGE(OFFSET($GD$3,0,0,'Données projet'!$E$17+1,1))-AVERAGE(OFFSET($H$3,0,0,'Données projet'!$E$17+1,1))</f>
        <v>142.93037460866543</v>
      </c>
      <c r="GF147" s="62">
        <f t="shared" si="158"/>
        <v>146.18554498808049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5.6843418860808015E-14</v>
      </c>
      <c r="GV147" s="18">
        <f>GU147*VLOOKUP('Données projet'!$B$18,Paramètres!$A$1:$I$89,3,0)*VLOOKUP('Données projet'!$B$18,Paramètres!$A$1:$I$89,5,0)</f>
        <v>4.8771653382573282E-14</v>
      </c>
      <c r="GW147" s="14">
        <f t="shared" si="159"/>
        <v>7.9655698259503351E-13</v>
      </c>
      <c r="GX147" s="22">
        <f t="shared" si="136"/>
        <v>1.4722807076609983E-12</v>
      </c>
      <c r="GY147" s="62">
        <f t="shared" si="137"/>
        <v>293.33333333333479</v>
      </c>
      <c r="GZ147" s="62">
        <f ca="1">AVERAGE(OFFSET($GY$3,0,0,'Données projet'!$E$18+1,1))-AVERAGE(OFFSET($H$3,0,0,'Données projet'!$E$18+1,1))</f>
        <v>188.08607733149256</v>
      </c>
      <c r="HA147" s="62">
        <f t="shared" si="160"/>
        <v>119.95698016603842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43.354999999999947</v>
      </c>
      <c r="D148" s="12">
        <f t="shared" si="140"/>
        <v>12.88367893824109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434.12313566361507</v>
      </c>
      <c r="H148" s="70">
        <f t="shared" si="110"/>
        <v>354.61569915076984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6.1186256061773749E-14</v>
      </c>
      <c r="P148" s="14">
        <f t="shared" si="141"/>
        <v>9.7328366192051127E-13</v>
      </c>
      <c r="Q148" s="22">
        <f t="shared" si="108"/>
        <v>1.8017017738191463E-12</v>
      </c>
      <c r="R148" s="62">
        <f t="shared" si="109"/>
        <v>293.33333333333513</v>
      </c>
      <c r="S148" s="62">
        <f ca="1">AVERAGE(OFFSET($R$3,0,0,'Données projet'!$E$9+1,1))-AVERAGE(OFFSET($H$3,0,0,'Données projet'!$E$9+1,1))</f>
        <v>236.98575892380046</v>
      </c>
      <c r="T148" s="62">
        <f t="shared" si="142"/>
        <v>145.77678223659774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140.04898296125504</v>
      </c>
      <c r="AO148" s="62">
        <f t="shared" si="144"/>
        <v>129.5395511270716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-6.2527760746888816E-13</v>
      </c>
      <c r="BE148" s="14">
        <f>BD148*VLOOKUP('Données projet'!$B$11,Paramètres!$A$1:$I$89,3,0)*VLOOKUP('Données projet'!$B$11,Paramètres!$A$1:$I$89,5,0)</f>
        <v>-2.9262992029543964E-13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207.84100251878419</v>
      </c>
      <c r="BJ148" s="62">
        <f t="shared" si="146"/>
        <v>124.34917784241952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-2.9558577807620169E-14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211.05980622218578</v>
      </c>
      <c r="CE148" s="62">
        <f t="shared" si="148"/>
        <v>168.57746894604855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1.1341666666666668</v>
      </c>
      <c r="CT148" s="13">
        <f>IF('Données projet'!$A$140&gt;35,CT147+CS148-DB147,IF(A148&lt;'Données projet'!$A$140,$CQ$205^A148,IF(A148='Données projet'!$A$140,'Données projet'!$B$140,CT147+CS148-DB147)))</f>
        <v>124.54166666666667</v>
      </c>
      <c r="CU148" s="18">
        <f>CT148*VLOOKUP('Données projet'!$B$13,Paramètres!$A$1:$I$89,3,0)*VLOOKUP('Données projet'!$B$13,Paramètres!$A$1:$I$89,5,0)</f>
        <v>143.47200000000001</v>
      </c>
      <c r="CV148" s="14">
        <f t="shared" si="149"/>
        <v>37.091254368743478</v>
      </c>
      <c r="CW148" s="22">
        <f t="shared" si="121"/>
        <v>314.4810013588949</v>
      </c>
      <c r="CX148" s="62">
        <f t="shared" si="122"/>
        <v>607.81433469222816</v>
      </c>
      <c r="CY148" s="62">
        <f ca="1">AVERAGE(OFFSET($CX$3,0,0,'Données projet'!$E$13+1,1))-AVERAGE(OFFSET($H$3,0,0,'Données projet'!$E$13+1,1))</f>
        <v>191.79777926975839</v>
      </c>
      <c r="CZ148" s="62">
        <f t="shared" si="150"/>
        <v>156.66161375678712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4.0679999999999987</v>
      </c>
      <c r="DO148" s="13">
        <f>IF('Données projet'!$A$166&gt;35,DO147+DN148-DW147,IF(A148&lt;'Données projet'!$A$166,$DL$205^A148,IF(A148='Données projet'!$A$166,'Données projet'!$B$166,DO147+DN148-DW147)))</f>
        <v>375.24999999999977</v>
      </c>
      <c r="DP148" s="18">
        <f>DO148*VLOOKUP('Données projet'!$B$14,Paramètres!$A$1:$I$89,3,0)*VLOOKUP('Données projet'!$B$14,Paramètres!$A$1:$I$89,5,0)</f>
        <v>409.77299999999974</v>
      </c>
      <c r="DQ148" s="14">
        <f t="shared" si="151"/>
        <v>93.755198890798368</v>
      </c>
      <c r="DR148" s="22">
        <f t="shared" si="124"/>
        <v>876.97827973480662</v>
      </c>
      <c r="DS148" s="62">
        <f t="shared" si="125"/>
        <v>1170.3116130681399</v>
      </c>
      <c r="DT148" s="62">
        <f ca="1">AVERAGE(OFFSET($DS$3,0,0,'Données projet'!$E$14+1,1))-AVERAGE(OFFSET($H$3,0,0,'Données projet'!$E$14+1,1))</f>
        <v>541.0854688453461</v>
      </c>
      <c r="DU148" s="62">
        <f t="shared" si="152"/>
        <v>171.04847168584473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5.1159076974727213E-13</v>
      </c>
      <c r="EK148" s="18">
        <f>EJ148*VLOOKUP('Données projet'!$B$15,Paramètres!$A$1:$I$89,3,0)*VLOOKUP('Données projet'!$B$15,Paramètres!$A$1:$I$89,5,0)</f>
        <v>3.0593128030886877E-13</v>
      </c>
      <c r="EL148" s="14">
        <f t="shared" si="153"/>
        <v>4.0350537939347394E-12</v>
      </c>
      <c r="EM148" s="22">
        <f t="shared" si="127"/>
        <v>7.5605490043076185E-12</v>
      </c>
      <c r="EN148" s="62">
        <f t="shared" si="128"/>
        <v>293.33333333334087</v>
      </c>
      <c r="EO148" s="62">
        <f ca="1">AVERAGE(OFFSET($EN$3,0,0,'Données projet'!$E$15+1,1))-AVERAGE(OFFSET($H$3,0,0,'Données projet'!$E$15+1,1))</f>
        <v>244.01698421598974</v>
      </c>
      <c r="EP148" s="62">
        <f t="shared" si="154"/>
        <v>156.96653202915024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0.14831424164181903</v>
      </c>
      <c r="EX148" s="23">
        <f>EXP(-LN(2)/2)*EX147+(1-EXP(-LN(2)/2))/(LN(2)/2)*ER148*EU148*VLOOKUP('Données projet'!$B$15,Paramètres!$A$1:$I$89,3,0)*0.475*44/12</f>
        <v>4.8860770324014938E-17</v>
      </c>
      <c r="EY148" s="24">
        <f t="shared" si="129"/>
        <v>0.14831424164181908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-5.6843418860808015E-14</v>
      </c>
      <c r="FF148" s="18">
        <f>FE148*VLOOKUP('Données projet'!$B$16,Paramètres!$A$1:$I$89,3,0)*VLOOKUP('Données projet'!$B$16,Paramètres!$A$1:$I$89,5,0)</f>
        <v>-4.9658410716801891E-14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175.08726167127026</v>
      </c>
      <c r="FK148" s="62">
        <f t="shared" si="156"/>
        <v>196.05343924817117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8.5265128291212022E-14</v>
      </c>
      <c r="GA148" s="18">
        <f>FZ148*VLOOKUP('Données projet'!$B$17,Paramètres!$A$1:$I$89,3,0)*VLOOKUP('Données projet'!$B$17,Paramètres!$A$1:$I$89,5,0)</f>
        <v>5.5865712056402117E-14</v>
      </c>
      <c r="GB148" s="14">
        <f t="shared" si="157"/>
        <v>8.9811031843713517E-13</v>
      </c>
      <c r="GC148" s="22">
        <f t="shared" si="133"/>
        <v>1.6615082531095774E-12</v>
      </c>
      <c r="GD148" s="62">
        <f t="shared" si="134"/>
        <v>293.33333333333496</v>
      </c>
      <c r="GE148" s="62">
        <f ca="1">AVERAGE(OFFSET($GD$3,0,0,'Données projet'!$E$17+1,1))-AVERAGE(OFFSET($H$3,0,0,'Données projet'!$E$17+1,1))</f>
        <v>142.93037460866543</v>
      </c>
      <c r="GF148" s="62">
        <f t="shared" si="158"/>
        <v>146.18554498808049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5.6843418860808015E-14</v>
      </c>
      <c r="GV148" s="18">
        <f>GU148*VLOOKUP('Données projet'!$B$18,Paramètres!$A$1:$I$89,3,0)*VLOOKUP('Données projet'!$B$18,Paramètres!$A$1:$I$89,5,0)</f>
        <v>4.8771653382573282E-14</v>
      </c>
      <c r="GW148" s="14">
        <f t="shared" si="159"/>
        <v>7.9655698259503351E-13</v>
      </c>
      <c r="GX148" s="22">
        <f t="shared" si="136"/>
        <v>1.4722807076609983E-12</v>
      </c>
      <c r="GY148" s="62">
        <f t="shared" si="137"/>
        <v>293.33333333333479</v>
      </c>
      <c r="GZ148" s="62">
        <f ca="1">AVERAGE(OFFSET($GY$3,0,0,'Données projet'!$E$18+1,1))-AVERAGE(OFFSET($H$3,0,0,'Données projet'!$E$18+1,1))</f>
        <v>188.08607733149256</v>
      </c>
      <c r="HA148" s="62">
        <f t="shared" si="160"/>
        <v>119.95698016603842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43.653999999999947</v>
      </c>
      <c r="D149" s="12">
        <f t="shared" si="140"/>
        <v>12.962157980203074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437.03700896998822</v>
      </c>
      <c r="H149" s="70">
        <f t="shared" si="110"/>
        <v>355.27314181552026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6.1186256061773749E-14</v>
      </c>
      <c r="P149" s="14">
        <f t="shared" si="141"/>
        <v>9.7328366192051127E-13</v>
      </c>
      <c r="Q149" s="22">
        <f t="shared" si="108"/>
        <v>1.8017017738191463E-12</v>
      </c>
      <c r="R149" s="62">
        <f t="shared" si="109"/>
        <v>293.33333333333513</v>
      </c>
      <c r="S149" s="62">
        <f ca="1">AVERAGE(OFFSET($R$3,0,0,'Données projet'!$E$9+1,1))-AVERAGE(OFFSET($H$3,0,0,'Données projet'!$E$9+1,1))</f>
        <v>236.98575892380046</v>
      </c>
      <c r="T149" s="62">
        <f t="shared" si="142"/>
        <v>145.77678223659774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140.04898296125504</v>
      </c>
      <c r="AO149" s="62">
        <f t="shared" si="144"/>
        <v>129.5395511270716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-6.2527760746888816E-13</v>
      </c>
      <c r="BE149" s="14">
        <f>BD149*VLOOKUP('Données projet'!$B$11,Paramètres!$A$1:$I$89,3,0)*VLOOKUP('Données projet'!$B$11,Paramètres!$A$1:$I$89,5,0)</f>
        <v>-2.9262992029543964E-13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207.84100251878419</v>
      </c>
      <c r="BJ149" s="62">
        <f t="shared" si="146"/>
        <v>124.34917784241952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-2.9558577807620169E-14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211.05980622218578</v>
      </c>
      <c r="CE149" s="62">
        <f t="shared" si="148"/>
        <v>168.57746894604855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1.1341666666666668</v>
      </c>
      <c r="CT149" s="13">
        <f>IF('Données projet'!$A$140&gt;35,CT148+CS149-DB148,IF(A149&lt;'Données projet'!$A$140,$CQ$205^A149,IF(A149='Données projet'!$A$140,'Données projet'!$B$140,CT148+CS149-DB148)))</f>
        <v>125.67583333333334</v>
      </c>
      <c r="CU149" s="18">
        <f>CT149*VLOOKUP('Données projet'!$B$13,Paramètres!$A$1:$I$89,3,0)*VLOOKUP('Données projet'!$B$13,Paramètres!$A$1:$I$89,5,0)</f>
        <v>144.77856</v>
      </c>
      <c r="CV149" s="14">
        <f t="shared" si="149"/>
        <v>37.389558981127166</v>
      </c>
      <c r="CW149" s="22">
        <f t="shared" si="121"/>
        <v>317.2761405587965</v>
      </c>
      <c r="CX149" s="62">
        <f t="shared" si="122"/>
        <v>610.60947389212981</v>
      </c>
      <c r="CY149" s="62">
        <f ca="1">AVERAGE(OFFSET($CX$3,0,0,'Données projet'!$E$13+1,1))-AVERAGE(OFFSET($H$3,0,0,'Données projet'!$E$13+1,1))</f>
        <v>191.79777926975839</v>
      </c>
      <c r="CZ149" s="62">
        <f t="shared" si="150"/>
        <v>156.66161375678712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4.0679999999999987</v>
      </c>
      <c r="DO149" s="13">
        <f>IF('Données projet'!$A$166&gt;35,DO148+DN149-DW148,IF(A149&lt;'Données projet'!$A$166,$DL$205^A149,IF(A149='Données projet'!$A$166,'Données projet'!$B$166,DO148+DN149-DW148)))</f>
        <v>379.31799999999976</v>
      </c>
      <c r="DP149" s="18">
        <f>DO149*VLOOKUP('Données projet'!$B$14,Paramètres!$A$1:$I$89,3,0)*VLOOKUP('Données projet'!$B$14,Paramètres!$A$1:$I$89,5,0)</f>
        <v>414.21525599999978</v>
      </c>
      <c r="DQ149" s="14">
        <f t="shared" si="151"/>
        <v>94.652706858224292</v>
      </c>
      <c r="DR149" s="22">
        <f t="shared" si="124"/>
        <v>886.27836864474023</v>
      </c>
      <c r="DS149" s="62">
        <f t="shared" si="125"/>
        <v>1179.6117019780736</v>
      </c>
      <c r="DT149" s="62">
        <f ca="1">AVERAGE(OFFSET($DS$3,0,0,'Données projet'!$E$14+1,1))-AVERAGE(OFFSET($H$3,0,0,'Données projet'!$E$14+1,1))</f>
        <v>541.0854688453461</v>
      </c>
      <c r="DU149" s="62">
        <f t="shared" si="152"/>
        <v>171.04847168584473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5.1159076974727213E-13</v>
      </c>
      <c r="EK149" s="18">
        <f>EJ149*VLOOKUP('Données projet'!$B$15,Paramètres!$A$1:$I$89,3,0)*VLOOKUP('Données projet'!$B$15,Paramètres!$A$1:$I$89,5,0)</f>
        <v>3.0593128030886877E-13</v>
      </c>
      <c r="EL149" s="14">
        <f t="shared" si="153"/>
        <v>4.0350537939347394E-12</v>
      </c>
      <c r="EM149" s="22">
        <f t="shared" si="127"/>
        <v>7.5605490043076185E-12</v>
      </c>
      <c r="EN149" s="62">
        <f t="shared" si="128"/>
        <v>293.33333333334087</v>
      </c>
      <c r="EO149" s="62">
        <f ca="1">AVERAGE(OFFSET($EN$3,0,0,'Données projet'!$E$15+1,1))-AVERAGE(OFFSET($H$3,0,0,'Données projet'!$E$15+1,1))</f>
        <v>244.01698421598974</v>
      </c>
      <c r="EP149" s="62">
        <f t="shared" si="154"/>
        <v>156.96653202915024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0.14425858090461649</v>
      </c>
      <c r="EX149" s="23">
        <f>EXP(-LN(2)/2)*EX148+(1-EXP(-LN(2)/2))/(LN(2)/2)*ER149*EU149*VLOOKUP('Données projet'!$B$15,Paramètres!$A$1:$I$89,3,0)*0.475*44/12</f>
        <v>3.4549782030109385E-17</v>
      </c>
      <c r="EY149" s="24">
        <f t="shared" si="129"/>
        <v>0.14425858090461652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-5.6843418860808015E-14</v>
      </c>
      <c r="FF149" s="18">
        <f>FE149*VLOOKUP('Données projet'!$B$16,Paramètres!$A$1:$I$89,3,0)*VLOOKUP('Données projet'!$B$16,Paramètres!$A$1:$I$89,5,0)</f>
        <v>-4.9658410716801891E-14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175.08726167127026</v>
      </c>
      <c r="FK149" s="62">
        <f t="shared" si="156"/>
        <v>196.05343924817117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8.5265128291212022E-14</v>
      </c>
      <c r="GA149" s="18">
        <f>FZ149*VLOOKUP('Données projet'!$B$17,Paramètres!$A$1:$I$89,3,0)*VLOOKUP('Données projet'!$B$17,Paramètres!$A$1:$I$89,5,0)</f>
        <v>5.5865712056402117E-14</v>
      </c>
      <c r="GB149" s="14">
        <f t="shared" si="157"/>
        <v>8.9811031843713517E-13</v>
      </c>
      <c r="GC149" s="22">
        <f t="shared" si="133"/>
        <v>1.6615082531095774E-12</v>
      </c>
      <c r="GD149" s="62">
        <f t="shared" si="134"/>
        <v>293.33333333333496</v>
      </c>
      <c r="GE149" s="62">
        <f ca="1">AVERAGE(OFFSET($GD$3,0,0,'Données projet'!$E$17+1,1))-AVERAGE(OFFSET($H$3,0,0,'Données projet'!$E$17+1,1))</f>
        <v>142.93037460866543</v>
      </c>
      <c r="GF149" s="62">
        <f t="shared" si="158"/>
        <v>146.18554498808049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5.6843418860808015E-14</v>
      </c>
      <c r="GV149" s="18">
        <f>GU149*VLOOKUP('Données projet'!$B$18,Paramètres!$A$1:$I$89,3,0)*VLOOKUP('Données projet'!$B$18,Paramètres!$A$1:$I$89,5,0)</f>
        <v>4.8771653382573282E-14</v>
      </c>
      <c r="GW149" s="14">
        <f t="shared" si="159"/>
        <v>7.9655698259503351E-13</v>
      </c>
      <c r="GX149" s="22">
        <f t="shared" si="136"/>
        <v>1.4722807076609983E-12</v>
      </c>
      <c r="GY149" s="62">
        <f t="shared" si="137"/>
        <v>293.33333333333479</v>
      </c>
      <c r="GZ149" s="62">
        <f ca="1">AVERAGE(OFFSET($GY$3,0,0,'Données projet'!$E$18+1,1))-AVERAGE(OFFSET($H$3,0,0,'Données projet'!$E$18+1,1))</f>
        <v>188.08607733149256</v>
      </c>
      <c r="HA149" s="62">
        <f t="shared" si="160"/>
        <v>119.95698016603842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43.952999999999946</v>
      </c>
      <c r="D150" s="12">
        <f t="shared" si="140"/>
        <v>13.040574478360226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439.95039948207858</v>
      </c>
      <c r="H150" s="70">
        <f t="shared" si="110"/>
        <v>355.93047554981064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6.1186256061773749E-14</v>
      </c>
      <c r="P150" s="14">
        <f t="shared" si="141"/>
        <v>9.7328366192051127E-13</v>
      </c>
      <c r="Q150" s="22">
        <f t="shared" si="108"/>
        <v>1.8017017738191463E-12</v>
      </c>
      <c r="R150" s="62">
        <f t="shared" si="109"/>
        <v>293.33333333333513</v>
      </c>
      <c r="S150" s="62">
        <f ca="1">AVERAGE(OFFSET($R$3,0,0,'Données projet'!$E$9+1,1))-AVERAGE(OFFSET($H$3,0,0,'Données projet'!$E$9+1,1))</f>
        <v>236.98575892380046</v>
      </c>
      <c r="T150" s="62">
        <f t="shared" si="142"/>
        <v>145.77678223659774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140.04898296125504</v>
      </c>
      <c r="AO150" s="62">
        <f t="shared" si="144"/>
        <v>129.5395511270716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-6.2527760746888816E-13</v>
      </c>
      <c r="BE150" s="14">
        <f>BD150*VLOOKUP('Données projet'!$B$11,Paramètres!$A$1:$I$89,3,0)*VLOOKUP('Données projet'!$B$11,Paramètres!$A$1:$I$89,5,0)</f>
        <v>-2.9262992029543964E-13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207.84100251878419</v>
      </c>
      <c r="BJ150" s="62">
        <f t="shared" si="146"/>
        <v>124.34917784241952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-2.9558577807620169E-14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211.05980622218578</v>
      </c>
      <c r="CE150" s="62">
        <f t="shared" si="148"/>
        <v>168.57746894604855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1.1341666666666668</v>
      </c>
      <c r="CT150" s="13">
        <f>IF('Données projet'!$A$140&gt;35,CT149+CS150-DB149,IF(A150&lt;'Données projet'!$A$140,$CQ$205^A150,IF(A150='Données projet'!$A$140,'Données projet'!$B$140,CT149+CS150-DB149)))</f>
        <v>126.81000000000002</v>
      </c>
      <c r="CU150" s="18">
        <f>CT150*VLOOKUP('Données projet'!$B$13,Paramètres!$A$1:$I$89,3,0)*VLOOKUP('Données projet'!$B$13,Paramètres!$A$1:$I$89,5,0)</f>
        <v>146.08512000000002</v>
      </c>
      <c r="CV150" s="14">
        <f t="shared" si="149"/>
        <v>37.687550397511806</v>
      </c>
      <c r="CW150" s="22">
        <f t="shared" si="121"/>
        <v>320.07073427566644</v>
      </c>
      <c r="CX150" s="62">
        <f t="shared" si="122"/>
        <v>613.40406760899975</v>
      </c>
      <c r="CY150" s="62">
        <f ca="1">AVERAGE(OFFSET($CX$3,0,0,'Données projet'!$E$13+1,1))-AVERAGE(OFFSET($H$3,0,0,'Données projet'!$E$13+1,1))</f>
        <v>191.79777926975839</v>
      </c>
      <c r="CZ150" s="62">
        <f t="shared" si="150"/>
        <v>156.66161375678712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4.0679999999999987</v>
      </c>
      <c r="DO150" s="13">
        <f>IF('Données projet'!$A$166&gt;35,DO149+DN150-DW149,IF(A150&lt;'Données projet'!$A$166,$DL$205^A150,IF(A150='Données projet'!$A$166,'Données projet'!$B$166,DO149+DN150-DW149)))</f>
        <v>383.38599999999974</v>
      </c>
      <c r="DP150" s="18">
        <f>DO150*VLOOKUP('Données projet'!$B$14,Paramètres!$A$1:$I$89,3,0)*VLOOKUP('Données projet'!$B$14,Paramètres!$A$1:$I$89,5,0)</f>
        <v>418.65751199999966</v>
      </c>
      <c r="DQ150" s="14">
        <f t="shared" si="151"/>
        <v>95.54909511310062</v>
      </c>
      <c r="DR150" s="22">
        <f t="shared" si="124"/>
        <v>895.57650738864959</v>
      </c>
      <c r="DS150" s="62">
        <f t="shared" si="125"/>
        <v>1188.9098407219828</v>
      </c>
      <c r="DT150" s="62">
        <f ca="1">AVERAGE(OFFSET($DS$3,0,0,'Données projet'!$E$14+1,1))-AVERAGE(OFFSET($H$3,0,0,'Données projet'!$E$14+1,1))</f>
        <v>541.0854688453461</v>
      </c>
      <c r="DU150" s="62">
        <f t="shared" si="152"/>
        <v>171.04847168584473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5.1159076974727213E-13</v>
      </c>
      <c r="EK150" s="18">
        <f>EJ150*VLOOKUP('Données projet'!$B$15,Paramètres!$A$1:$I$89,3,0)*VLOOKUP('Données projet'!$B$15,Paramètres!$A$1:$I$89,5,0)</f>
        <v>3.0593128030886877E-13</v>
      </c>
      <c r="EL150" s="14">
        <f t="shared" si="153"/>
        <v>4.0350537939347394E-12</v>
      </c>
      <c r="EM150" s="22">
        <f t="shared" si="127"/>
        <v>7.5605490043076185E-12</v>
      </c>
      <c r="EN150" s="62">
        <f t="shared" si="128"/>
        <v>293.33333333334087</v>
      </c>
      <c r="EO150" s="62">
        <f ca="1">AVERAGE(OFFSET($EN$3,0,0,'Données projet'!$E$15+1,1))-AVERAGE(OFFSET($H$3,0,0,'Données projet'!$E$15+1,1))</f>
        <v>244.01698421598974</v>
      </c>
      <c r="EP150" s="62">
        <f t="shared" si="154"/>
        <v>156.96653202915024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0.1403138224235507</v>
      </c>
      <c r="EX150" s="23">
        <f>EXP(-LN(2)/2)*EX149+(1-EXP(-LN(2)/2))/(LN(2)/2)*ER150*EU150*VLOOKUP('Données projet'!$B$15,Paramètres!$A$1:$I$89,3,0)*0.475*44/12</f>
        <v>2.4430385162007469E-17</v>
      </c>
      <c r="EY150" s="24">
        <f t="shared" si="129"/>
        <v>0.14031382242355073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-5.6843418860808015E-14</v>
      </c>
      <c r="FF150" s="18">
        <f>FE150*VLOOKUP('Données projet'!$B$16,Paramètres!$A$1:$I$89,3,0)*VLOOKUP('Données projet'!$B$16,Paramètres!$A$1:$I$89,5,0)</f>
        <v>-4.9658410716801891E-14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175.08726167127026</v>
      </c>
      <c r="FK150" s="62">
        <f t="shared" si="156"/>
        <v>196.05343924817117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8.5265128291212022E-14</v>
      </c>
      <c r="GA150" s="18">
        <f>FZ150*VLOOKUP('Données projet'!$B$17,Paramètres!$A$1:$I$89,3,0)*VLOOKUP('Données projet'!$B$17,Paramètres!$A$1:$I$89,5,0)</f>
        <v>5.5865712056402117E-14</v>
      </c>
      <c r="GB150" s="14">
        <f t="shared" si="157"/>
        <v>8.9811031843713517E-13</v>
      </c>
      <c r="GC150" s="22">
        <f t="shared" si="133"/>
        <v>1.6615082531095774E-12</v>
      </c>
      <c r="GD150" s="62">
        <f t="shared" si="134"/>
        <v>293.33333333333496</v>
      </c>
      <c r="GE150" s="62">
        <f ca="1">AVERAGE(OFFSET($GD$3,0,0,'Données projet'!$E$17+1,1))-AVERAGE(OFFSET($H$3,0,0,'Données projet'!$E$17+1,1))</f>
        <v>142.93037460866543</v>
      </c>
      <c r="GF150" s="62">
        <f t="shared" si="158"/>
        <v>146.18554498808049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5.6843418860808015E-14</v>
      </c>
      <c r="GV150" s="18">
        <f>GU150*VLOOKUP('Données projet'!$B$18,Paramètres!$A$1:$I$89,3,0)*VLOOKUP('Données projet'!$B$18,Paramètres!$A$1:$I$89,5,0)</f>
        <v>4.8771653382573282E-14</v>
      </c>
      <c r="GW150" s="14">
        <f t="shared" si="159"/>
        <v>7.9655698259503351E-13</v>
      </c>
      <c r="GX150" s="22">
        <f t="shared" si="136"/>
        <v>1.4722807076609983E-12</v>
      </c>
      <c r="GY150" s="62">
        <f t="shared" si="137"/>
        <v>293.33333333333479</v>
      </c>
      <c r="GZ150" s="62">
        <f ca="1">AVERAGE(OFFSET($GY$3,0,0,'Données projet'!$E$18+1,1))-AVERAGE(OFFSET($H$3,0,0,'Données projet'!$E$18+1,1))</f>
        <v>188.08607733149256</v>
      </c>
      <c r="HA150" s="62">
        <f t="shared" si="160"/>
        <v>119.95698016603842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44.251999999999946</v>
      </c>
      <c r="D151" s="12">
        <f t="shared" si="140"/>
        <v>13.118928907524445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442.86331086510057</v>
      </c>
      <c r="H151" s="70">
        <f t="shared" si="110"/>
        <v>356.58770118060499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6.1186256061773749E-14</v>
      </c>
      <c r="P151" s="14">
        <f t="shared" si="141"/>
        <v>9.7328366192051127E-13</v>
      </c>
      <c r="Q151" s="22">
        <f t="shared" si="108"/>
        <v>1.8017017738191463E-12</v>
      </c>
      <c r="R151" s="62">
        <f t="shared" si="109"/>
        <v>293.33333333333513</v>
      </c>
      <c r="S151" s="62">
        <f ca="1">AVERAGE(OFFSET($R$3,0,0,'Données projet'!$E$9+1,1))-AVERAGE(OFFSET($H$3,0,0,'Données projet'!$E$9+1,1))</f>
        <v>236.98575892380046</v>
      </c>
      <c r="T151" s="62">
        <f t="shared" si="142"/>
        <v>145.77678223659774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140.04898296125504</v>
      </c>
      <c r="AO151" s="62">
        <f t="shared" si="144"/>
        <v>129.5395511270716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-6.2527760746888816E-13</v>
      </c>
      <c r="BE151" s="14">
        <f>BD151*VLOOKUP('Données projet'!$B$11,Paramètres!$A$1:$I$89,3,0)*VLOOKUP('Données projet'!$B$11,Paramètres!$A$1:$I$89,5,0)</f>
        <v>-2.9262992029543964E-13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207.84100251878419</v>
      </c>
      <c r="BJ151" s="62">
        <f t="shared" si="146"/>
        <v>124.34917784241952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-2.9558577807620169E-14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211.05980622218578</v>
      </c>
      <c r="CE151" s="62">
        <f t="shared" si="148"/>
        <v>168.57746894604855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1.1341666666666668</v>
      </c>
      <c r="CT151" s="13">
        <f>IF('Données projet'!$A$140&gt;35,CT150+CS151-DB150,IF(A151&lt;'Données projet'!$A$140,$CQ$205^A151,IF(A151='Données projet'!$A$140,'Données projet'!$B$140,CT150+CS151-DB150)))</f>
        <v>127.94416666666669</v>
      </c>
      <c r="CU151" s="18">
        <f>CT151*VLOOKUP('Données projet'!$B$13,Paramètres!$A$1:$I$89,3,0)*VLOOKUP('Données projet'!$B$13,Paramètres!$A$1:$I$89,5,0)</f>
        <v>147.39168000000001</v>
      </c>
      <c r="CV151" s="14">
        <f t="shared" si="149"/>
        <v>37.985231743580776</v>
      </c>
      <c r="CW151" s="22">
        <f t="shared" si="121"/>
        <v>322.86478795340321</v>
      </c>
      <c r="CX151" s="62">
        <f t="shared" si="122"/>
        <v>616.19812128673652</v>
      </c>
      <c r="CY151" s="62">
        <f ca="1">AVERAGE(OFFSET($CX$3,0,0,'Données projet'!$E$13+1,1))-AVERAGE(OFFSET($H$3,0,0,'Données projet'!$E$13+1,1))</f>
        <v>191.79777926975839</v>
      </c>
      <c r="CZ151" s="62">
        <f t="shared" si="150"/>
        <v>156.66161375678712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4.0679999999999987</v>
      </c>
      <c r="DO151" s="13">
        <f>IF('Données projet'!$A$166&gt;35,DO150+DN151-DW150,IF(A151&lt;'Données projet'!$A$166,$DL$205^A151,IF(A151='Données projet'!$A$166,'Données projet'!$B$166,DO150+DN151-DW150)))</f>
        <v>387.45399999999972</v>
      </c>
      <c r="DP151" s="18">
        <f>DO151*VLOOKUP('Données projet'!$B$14,Paramètres!$A$1:$I$89,3,0)*VLOOKUP('Données projet'!$B$14,Paramètres!$A$1:$I$89,5,0)</f>
        <v>423.0997679999997</v>
      </c>
      <c r="DQ151" s="14">
        <f t="shared" si="151"/>
        <v>96.444376911634535</v>
      </c>
      <c r="DR151" s="22">
        <f t="shared" si="124"/>
        <v>904.87271905442958</v>
      </c>
      <c r="DS151" s="62">
        <f t="shared" si="125"/>
        <v>1198.2060523877628</v>
      </c>
      <c r="DT151" s="62">
        <f ca="1">AVERAGE(OFFSET($DS$3,0,0,'Données projet'!$E$14+1,1))-AVERAGE(OFFSET($H$3,0,0,'Données projet'!$E$14+1,1))</f>
        <v>541.0854688453461</v>
      </c>
      <c r="DU151" s="62">
        <f t="shared" si="152"/>
        <v>171.04847168584473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5.1159076974727213E-13</v>
      </c>
      <c r="EK151" s="18">
        <f>EJ151*VLOOKUP('Données projet'!$B$15,Paramètres!$A$1:$I$89,3,0)*VLOOKUP('Données projet'!$B$15,Paramètres!$A$1:$I$89,5,0)</f>
        <v>3.0593128030886877E-13</v>
      </c>
      <c r="EL151" s="14">
        <f t="shared" si="153"/>
        <v>4.0350537939347394E-12</v>
      </c>
      <c r="EM151" s="22">
        <f t="shared" si="127"/>
        <v>7.5605490043076185E-12</v>
      </c>
      <c r="EN151" s="62">
        <f t="shared" si="128"/>
        <v>293.33333333334087</v>
      </c>
      <c r="EO151" s="62">
        <f ca="1">AVERAGE(OFFSET($EN$3,0,0,'Données projet'!$E$15+1,1))-AVERAGE(OFFSET($H$3,0,0,'Données projet'!$E$15+1,1))</f>
        <v>244.01698421598974</v>
      </c>
      <c r="EP151" s="62">
        <f t="shared" si="154"/>
        <v>156.96653202915024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0.13647693357059548</v>
      </c>
      <c r="EX151" s="23">
        <f>EXP(-LN(2)/2)*EX150+(1-EXP(-LN(2)/2))/(LN(2)/2)*ER151*EU151*VLOOKUP('Données projet'!$B$15,Paramètres!$A$1:$I$89,3,0)*0.475*44/12</f>
        <v>1.7274891015054693E-17</v>
      </c>
      <c r="EY151" s="24">
        <f t="shared" si="129"/>
        <v>0.13647693357059551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-5.6843418860808015E-14</v>
      </c>
      <c r="FF151" s="18">
        <f>FE151*VLOOKUP('Données projet'!$B$16,Paramètres!$A$1:$I$89,3,0)*VLOOKUP('Données projet'!$B$16,Paramètres!$A$1:$I$89,5,0)</f>
        <v>-4.9658410716801891E-14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175.08726167127026</v>
      </c>
      <c r="FK151" s="62">
        <f t="shared" si="156"/>
        <v>196.05343924817117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8.5265128291212022E-14</v>
      </c>
      <c r="GA151" s="18">
        <f>FZ151*VLOOKUP('Données projet'!$B$17,Paramètres!$A$1:$I$89,3,0)*VLOOKUP('Données projet'!$B$17,Paramètres!$A$1:$I$89,5,0)</f>
        <v>5.5865712056402117E-14</v>
      </c>
      <c r="GB151" s="14">
        <f t="shared" si="157"/>
        <v>8.9811031843713517E-13</v>
      </c>
      <c r="GC151" s="22">
        <f t="shared" si="133"/>
        <v>1.6615082531095774E-12</v>
      </c>
      <c r="GD151" s="62">
        <f t="shared" si="134"/>
        <v>293.33333333333496</v>
      </c>
      <c r="GE151" s="62">
        <f ca="1">AVERAGE(OFFSET($GD$3,0,0,'Données projet'!$E$17+1,1))-AVERAGE(OFFSET($H$3,0,0,'Données projet'!$E$17+1,1))</f>
        <v>142.93037460866543</v>
      </c>
      <c r="GF151" s="62">
        <f t="shared" si="158"/>
        <v>146.18554498808049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5.6843418860808015E-14</v>
      </c>
      <c r="GV151" s="18">
        <f>GU151*VLOOKUP('Données projet'!$B$18,Paramètres!$A$1:$I$89,3,0)*VLOOKUP('Données projet'!$B$18,Paramètres!$A$1:$I$89,5,0)</f>
        <v>4.8771653382573282E-14</v>
      </c>
      <c r="GW151" s="14">
        <f t="shared" si="159"/>
        <v>7.9655698259503351E-13</v>
      </c>
      <c r="GX151" s="22">
        <f t="shared" si="136"/>
        <v>1.4722807076609983E-12</v>
      </c>
      <c r="GY151" s="62">
        <f t="shared" si="137"/>
        <v>293.33333333333479</v>
      </c>
      <c r="GZ151" s="62">
        <f ca="1">AVERAGE(OFFSET($GY$3,0,0,'Données projet'!$E$18+1,1))-AVERAGE(OFFSET($H$3,0,0,'Données projet'!$E$18+1,1))</f>
        <v>188.08607733149256</v>
      </c>
      <c r="HA151" s="62">
        <f t="shared" si="160"/>
        <v>119.95698016603842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44.550999999999945</v>
      </c>
      <c r="D152" s="12">
        <f t="shared" si="140"/>
        <v>13.197221735720296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445.77574673187559</v>
      </c>
      <c r="H152" s="70">
        <f t="shared" si="110"/>
        <v>357.24481952304609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6.1186256061773749E-14</v>
      </c>
      <c r="P152" s="14">
        <f t="shared" si="141"/>
        <v>9.7328366192051127E-13</v>
      </c>
      <c r="Q152" s="22">
        <f t="shared" si="108"/>
        <v>1.8017017738191463E-12</v>
      </c>
      <c r="R152" s="62">
        <f t="shared" si="109"/>
        <v>293.33333333333513</v>
      </c>
      <c r="S152" s="62">
        <f ca="1">AVERAGE(OFFSET($R$3,0,0,'Données projet'!$E$9+1,1))-AVERAGE(OFFSET($H$3,0,0,'Données projet'!$E$9+1,1))</f>
        <v>236.98575892380046</v>
      </c>
      <c r="T152" s="62">
        <f t="shared" si="142"/>
        <v>145.77678223659774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140.04898296125504</v>
      </c>
      <c r="AO152" s="62">
        <f t="shared" si="144"/>
        <v>129.5395511270716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-6.2527760746888816E-13</v>
      </c>
      <c r="BE152" s="14">
        <f>BD152*VLOOKUP('Données projet'!$B$11,Paramètres!$A$1:$I$89,3,0)*VLOOKUP('Données projet'!$B$11,Paramètres!$A$1:$I$89,5,0)</f>
        <v>-2.9262992029543964E-13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207.84100251878419</v>
      </c>
      <c r="BJ152" s="62">
        <f t="shared" si="146"/>
        <v>124.34917784241952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-2.9558577807620169E-14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211.05980622218578</v>
      </c>
      <c r="CE152" s="62">
        <f t="shared" si="148"/>
        <v>168.57746894604855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1.1341666666666668</v>
      </c>
      <c r="CT152" s="13">
        <f>IF('Données projet'!$A$140&gt;35,CT151+CS152-DB151,IF(A152&lt;'Données projet'!$A$140,$CQ$205^A152,IF(A152='Données projet'!$A$140,'Données projet'!$B$140,CT151+CS152-DB151)))</f>
        <v>129.07833333333335</v>
      </c>
      <c r="CU152" s="18">
        <f>CT152*VLOOKUP('Données projet'!$B$13,Paramètres!$A$1:$I$89,3,0)*VLOOKUP('Données projet'!$B$13,Paramètres!$A$1:$I$89,5,0)</f>
        <v>148.69824</v>
      </c>
      <c r="CV152" s="14">
        <f t="shared" si="149"/>
        <v>38.282606086404904</v>
      </c>
      <c r="CW152" s="22">
        <f t="shared" si="121"/>
        <v>325.65830693382185</v>
      </c>
      <c r="CX152" s="62">
        <f t="shared" si="122"/>
        <v>618.99164026715516</v>
      </c>
      <c r="CY152" s="62">
        <f ca="1">AVERAGE(OFFSET($CX$3,0,0,'Données projet'!$E$13+1,1))-AVERAGE(OFFSET($H$3,0,0,'Données projet'!$E$13+1,1))</f>
        <v>191.79777926975839</v>
      </c>
      <c r="CZ152" s="62">
        <f t="shared" si="150"/>
        <v>156.66161375678712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4.0679999999999987</v>
      </c>
      <c r="DO152" s="13">
        <f>IF('Données projet'!$A$166&gt;35,DO151+DN152-DW151,IF(A152&lt;'Données projet'!$A$166,$DL$205^A152,IF(A152='Données projet'!$A$166,'Données projet'!$B$166,DO151+DN152-DW151)))</f>
        <v>391.52199999999971</v>
      </c>
      <c r="DP152" s="18">
        <f>DO152*VLOOKUP('Données projet'!$B$14,Paramètres!$A$1:$I$89,3,0)*VLOOKUP('Données projet'!$B$14,Paramètres!$A$1:$I$89,5,0)</f>
        <v>427.54202399999969</v>
      </c>
      <c r="DQ152" s="14">
        <f t="shared" si="151"/>
        <v>97.338565215633963</v>
      </c>
      <c r="DR152" s="22">
        <f t="shared" si="124"/>
        <v>914.16702621722868</v>
      </c>
      <c r="DS152" s="62">
        <f t="shared" si="125"/>
        <v>1207.5003595505621</v>
      </c>
      <c r="DT152" s="62">
        <f ca="1">AVERAGE(OFFSET($DS$3,0,0,'Données projet'!$E$14+1,1))-AVERAGE(OFFSET($H$3,0,0,'Données projet'!$E$14+1,1))</f>
        <v>541.0854688453461</v>
      </c>
      <c r="DU152" s="62">
        <f t="shared" si="152"/>
        <v>171.04847168584473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5.1159076974727213E-13</v>
      </c>
      <c r="EK152" s="18">
        <f>EJ152*VLOOKUP('Données projet'!$B$15,Paramètres!$A$1:$I$89,3,0)*VLOOKUP('Données projet'!$B$15,Paramètres!$A$1:$I$89,5,0)</f>
        <v>3.0593128030886877E-13</v>
      </c>
      <c r="EL152" s="14">
        <f t="shared" si="153"/>
        <v>4.0350537939347394E-12</v>
      </c>
      <c r="EM152" s="22">
        <f t="shared" si="127"/>
        <v>7.5605490043076185E-12</v>
      </c>
      <c r="EN152" s="62">
        <f t="shared" si="128"/>
        <v>293.33333333334087</v>
      </c>
      <c r="EO152" s="62">
        <f ca="1">AVERAGE(OFFSET($EN$3,0,0,'Données projet'!$E$15+1,1))-AVERAGE(OFFSET($H$3,0,0,'Données projet'!$E$15+1,1))</f>
        <v>244.01698421598974</v>
      </c>
      <c r="EP152" s="62">
        <f t="shared" si="154"/>
        <v>156.96653202915024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0.13274496464509752</v>
      </c>
      <c r="EX152" s="23">
        <f>EXP(-LN(2)/2)*EX151+(1-EXP(-LN(2)/2))/(LN(2)/2)*ER152*EU152*VLOOKUP('Données projet'!$B$15,Paramètres!$A$1:$I$89,3,0)*0.475*44/12</f>
        <v>1.2215192581003735E-17</v>
      </c>
      <c r="EY152" s="24">
        <f t="shared" si="129"/>
        <v>0.13274496464509752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-5.6843418860808015E-14</v>
      </c>
      <c r="FF152" s="18">
        <f>FE152*VLOOKUP('Données projet'!$B$16,Paramètres!$A$1:$I$89,3,0)*VLOOKUP('Données projet'!$B$16,Paramètres!$A$1:$I$89,5,0)</f>
        <v>-4.9658410716801891E-14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175.08726167127026</v>
      </c>
      <c r="FK152" s="62">
        <f t="shared" si="156"/>
        <v>196.05343924817117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8.5265128291212022E-14</v>
      </c>
      <c r="GA152" s="18">
        <f>FZ152*VLOOKUP('Données projet'!$B$17,Paramètres!$A$1:$I$89,3,0)*VLOOKUP('Données projet'!$B$17,Paramètres!$A$1:$I$89,5,0)</f>
        <v>5.5865712056402117E-14</v>
      </c>
      <c r="GB152" s="14">
        <f t="shared" si="157"/>
        <v>8.9811031843713517E-13</v>
      </c>
      <c r="GC152" s="22">
        <f t="shared" si="133"/>
        <v>1.6615082531095774E-12</v>
      </c>
      <c r="GD152" s="62">
        <f t="shared" si="134"/>
        <v>293.33333333333496</v>
      </c>
      <c r="GE152" s="62">
        <f ca="1">AVERAGE(OFFSET($GD$3,0,0,'Données projet'!$E$17+1,1))-AVERAGE(OFFSET($H$3,0,0,'Données projet'!$E$17+1,1))</f>
        <v>142.93037460866543</v>
      </c>
      <c r="GF152" s="62">
        <f t="shared" si="158"/>
        <v>146.18554498808049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5.6843418860808015E-14</v>
      </c>
      <c r="GV152" s="18">
        <f>GU152*VLOOKUP('Données projet'!$B$18,Paramètres!$A$1:$I$89,3,0)*VLOOKUP('Données projet'!$B$18,Paramètres!$A$1:$I$89,5,0)</f>
        <v>4.8771653382573282E-14</v>
      </c>
      <c r="GW152" s="14">
        <f t="shared" si="159"/>
        <v>7.9655698259503351E-13</v>
      </c>
      <c r="GX152" s="22">
        <f t="shared" si="136"/>
        <v>1.4722807076609983E-12</v>
      </c>
      <c r="GY152" s="62">
        <f t="shared" si="137"/>
        <v>293.33333333333479</v>
      </c>
      <c r="GZ152" s="62">
        <f ca="1">AVERAGE(OFFSET($GY$3,0,0,'Données projet'!$E$18+1,1))-AVERAGE(OFFSET($H$3,0,0,'Données projet'!$E$18+1,1))</f>
        <v>188.08607733149256</v>
      </c>
      <c r="HA152" s="62">
        <f t="shared" si="160"/>
        <v>119.95698016603842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44.849999999999945</v>
      </c>
      <c r="D153" s="12">
        <f t="shared" si="140"/>
        <v>13.275453424326994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448.68771064392723</v>
      </c>
      <c r="H153" s="70">
        <f t="shared" si="110"/>
        <v>357.90183138070273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6.1186256061773749E-14</v>
      </c>
      <c r="P153" s="14">
        <f t="shared" si="141"/>
        <v>9.7328366192051127E-13</v>
      </c>
      <c r="Q153" s="22">
        <f t="shared" si="108"/>
        <v>1.8017017738191463E-12</v>
      </c>
      <c r="R153" s="62">
        <f t="shared" si="109"/>
        <v>293.33333333333513</v>
      </c>
      <c r="S153" s="62">
        <f ca="1">AVERAGE(OFFSET($R$3,0,0,'Données projet'!$E$9+1,1))-AVERAGE(OFFSET($H$3,0,0,'Données projet'!$E$9+1,1))</f>
        <v>236.98575892380046</v>
      </c>
      <c r="T153" s="62">
        <f t="shared" si="142"/>
        <v>145.77678223659774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140.04898296125504</v>
      </c>
      <c r="AO153" s="62">
        <f t="shared" si="144"/>
        <v>129.5395511270716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-6.2527760746888816E-13</v>
      </c>
      <c r="BE153" s="14">
        <f>BD153*VLOOKUP('Données projet'!$B$11,Paramètres!$A$1:$I$89,3,0)*VLOOKUP('Données projet'!$B$11,Paramètres!$A$1:$I$89,5,0)</f>
        <v>-2.9262992029543964E-13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207.84100251878419</v>
      </c>
      <c r="BJ153" s="62">
        <f t="shared" si="146"/>
        <v>124.34917784241952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-2.9558577807620169E-14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211.05980622218578</v>
      </c>
      <c r="CE153" s="62">
        <f t="shared" si="148"/>
        <v>168.57746894604855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130.21250000000001</v>
      </c>
      <c r="CR153" s="13">
        <f>VLOOKUP(A153,'Données projet'!$A$139:$I$159,9,0)</f>
        <v>1.1341666666666668</v>
      </c>
      <c r="CS153" s="13">
        <f t="array" ref="CS153">INDEX(CR:CR,MIN(IF(ISNUMBER(CR153:CR349),ROW(CR153:CR349),"")))</f>
        <v>1.1341666666666668</v>
      </c>
      <c r="CT153" s="13">
        <f>IF('Données projet'!$A$140&gt;35,CT152+CS153-DB152,IF(A153&lt;'Données projet'!$A$140,$CQ$205^A153,IF(A153='Données projet'!$A$140,'Données projet'!$B$140,CT152+CS153-DB152)))</f>
        <v>130.21250000000001</v>
      </c>
      <c r="CU153" s="18">
        <f>CT153*VLOOKUP('Données projet'!$B$13,Paramètres!$A$1:$I$89,3,0)*VLOOKUP('Données projet'!$B$13,Paramètres!$A$1:$I$89,5,0)</f>
        <v>150.00479999999999</v>
      </c>
      <c r="CV153" s="14">
        <f t="shared" si="149"/>
        <v>38.579676436046306</v>
      </c>
      <c r="CW153" s="22">
        <f t="shared" si="121"/>
        <v>328.45129645944729</v>
      </c>
      <c r="CX153" s="62">
        <f t="shared" si="122"/>
        <v>621.78462979278061</v>
      </c>
      <c r="CY153" s="62">
        <f ca="1">AVERAGE(OFFSET($CX$3,0,0,'Données projet'!$E$13+1,1))-AVERAGE(OFFSET($H$3,0,0,'Données projet'!$E$13+1,1))</f>
        <v>191.79777926975839</v>
      </c>
      <c r="CZ153" s="62">
        <f t="shared" si="150"/>
        <v>156.66161375678712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130.21250000000001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4.0679999999999987</v>
      </c>
      <c r="DO153" s="13">
        <f>IF('Données projet'!$A$166&gt;35,DO152+DN153-DW152,IF(A153&lt;'Données projet'!$A$166,$DL$205^A153,IF(A153='Données projet'!$A$166,'Données projet'!$B$166,DO152+DN153-DW152)))</f>
        <v>395.58999999999969</v>
      </c>
      <c r="DP153" s="18">
        <f>DO153*VLOOKUP('Données projet'!$B$14,Paramètres!$A$1:$I$89,3,0)*VLOOKUP('Données projet'!$B$14,Paramètres!$A$1:$I$89,5,0)</f>
        <v>431.98427999999967</v>
      </c>
      <c r="DQ153" s="14">
        <f t="shared" si="151"/>
        <v>98.231672702035794</v>
      </c>
      <c r="DR153" s="22">
        <f t="shared" si="124"/>
        <v>923.45945095604509</v>
      </c>
      <c r="DS153" s="62">
        <f t="shared" si="125"/>
        <v>1216.7927842893785</v>
      </c>
      <c r="DT153" s="62">
        <f ca="1">AVERAGE(OFFSET($DS$3,0,0,'Données projet'!$E$14+1,1))-AVERAGE(OFFSET($H$3,0,0,'Données projet'!$E$14+1,1))</f>
        <v>541.0854688453461</v>
      </c>
      <c r="DU153" s="62">
        <f t="shared" si="152"/>
        <v>171.04847168584473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5.1159076974727213E-13</v>
      </c>
      <c r="EK153" s="18">
        <f>EJ153*VLOOKUP('Données projet'!$B$15,Paramètres!$A$1:$I$89,3,0)*VLOOKUP('Données projet'!$B$15,Paramètres!$A$1:$I$89,5,0)</f>
        <v>3.0593128030886877E-13</v>
      </c>
      <c r="EL153" s="14">
        <f t="shared" si="153"/>
        <v>4.0350537939347394E-12</v>
      </c>
      <c r="EM153" s="22">
        <f t="shared" si="127"/>
        <v>7.5605490043076185E-12</v>
      </c>
      <c r="EN153" s="62">
        <f t="shared" si="128"/>
        <v>293.33333333334087</v>
      </c>
      <c r="EO153" s="62">
        <f ca="1">AVERAGE(OFFSET($EN$3,0,0,'Données projet'!$E$15+1,1))-AVERAGE(OFFSET($H$3,0,0,'Données projet'!$E$15+1,1))</f>
        <v>244.01698421598974</v>
      </c>
      <c r="EP153" s="62">
        <f t="shared" si="154"/>
        <v>156.96653202915024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0.12911504660612302</v>
      </c>
      <c r="EX153" s="23">
        <f>EXP(-LN(2)/2)*EX152+(1-EXP(-LN(2)/2))/(LN(2)/2)*ER153*EU153*VLOOKUP('Données projet'!$B$15,Paramètres!$A$1:$I$89,3,0)*0.475*44/12</f>
        <v>8.6374455075273463E-18</v>
      </c>
      <c r="EY153" s="24">
        <f t="shared" si="129"/>
        <v>0.12911504660612302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-5.6843418860808015E-14</v>
      </c>
      <c r="FF153" s="18">
        <f>FE153*VLOOKUP('Données projet'!$B$16,Paramètres!$A$1:$I$89,3,0)*VLOOKUP('Données projet'!$B$16,Paramètres!$A$1:$I$89,5,0)</f>
        <v>-4.9658410716801891E-14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175.08726167127026</v>
      </c>
      <c r="FK153" s="62">
        <f t="shared" si="156"/>
        <v>196.05343924817117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8.5265128291212022E-14</v>
      </c>
      <c r="GA153" s="18">
        <f>FZ153*VLOOKUP('Données projet'!$B$17,Paramètres!$A$1:$I$89,3,0)*VLOOKUP('Données projet'!$B$17,Paramètres!$A$1:$I$89,5,0)</f>
        <v>5.5865712056402117E-14</v>
      </c>
      <c r="GB153" s="14">
        <f t="shared" si="157"/>
        <v>8.9811031843713517E-13</v>
      </c>
      <c r="GC153" s="22">
        <f t="shared" si="133"/>
        <v>1.6615082531095774E-12</v>
      </c>
      <c r="GD153" s="62">
        <f t="shared" si="134"/>
        <v>293.33333333333496</v>
      </c>
      <c r="GE153" s="62">
        <f ca="1">AVERAGE(OFFSET($GD$3,0,0,'Données projet'!$E$17+1,1))-AVERAGE(OFFSET($H$3,0,0,'Données projet'!$E$17+1,1))</f>
        <v>142.93037460866543</v>
      </c>
      <c r="GF153" s="62">
        <f t="shared" si="158"/>
        <v>146.18554498808049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5.6843418860808015E-14</v>
      </c>
      <c r="GV153" s="18">
        <f>GU153*VLOOKUP('Données projet'!$B$18,Paramètres!$A$1:$I$89,3,0)*VLOOKUP('Données projet'!$B$18,Paramètres!$A$1:$I$89,5,0)</f>
        <v>4.8771653382573282E-14</v>
      </c>
      <c r="GW153" s="14">
        <f t="shared" si="159"/>
        <v>7.9655698259503351E-13</v>
      </c>
      <c r="GX153" s="22">
        <f t="shared" si="136"/>
        <v>1.4722807076609983E-12</v>
      </c>
      <c r="GY153" s="62">
        <f t="shared" si="137"/>
        <v>293.33333333333479</v>
      </c>
      <c r="GZ153" s="62">
        <f ca="1">AVERAGE(OFFSET($GY$3,0,0,'Données projet'!$E$18+1,1))-AVERAGE(OFFSET($H$3,0,0,'Données projet'!$E$18+1,1))</f>
        <v>188.08607733149256</v>
      </c>
      <c r="HA153" s="62">
        <f t="shared" si="160"/>
        <v>119.95698016603842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45.148999999999944</v>
      </c>
      <c r="D154" s="12">
        <f t="shared" si="140"/>
        <v>13.353624428216362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451.59920611254694</v>
      </c>
      <c r="H154" s="70">
        <f t="shared" si="110"/>
        <v>358.55873754581006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6.1186256061773749E-14</v>
      </c>
      <c r="P154" s="14">
        <f t="shared" si="141"/>
        <v>9.7328366192051127E-13</v>
      </c>
      <c r="Q154" s="22">
        <f t="shared" ref="Q154:Q203" si="162">(O154+P154)*0.475*44/12</f>
        <v>1.8017017738191463E-12</v>
      </c>
      <c r="R154" s="62">
        <f t="shared" si="109"/>
        <v>293.33333333333513</v>
      </c>
      <c r="S154" s="62">
        <f ca="1">AVERAGE(OFFSET($R$3,0,0,'Données projet'!$E$9+1,1))-AVERAGE(OFFSET($H$3,0,0,'Données projet'!$E$9+1,1))</f>
        <v>236.98575892380046</v>
      </c>
      <c r="T154" s="62">
        <f t="shared" si="142"/>
        <v>145.77678223659774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140.04898296125504</v>
      </c>
      <c r="AO154" s="62">
        <f t="shared" si="144"/>
        <v>129.5395511270716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-6.2527760746888816E-13</v>
      </c>
      <c r="BE154" s="14">
        <f>BD154*VLOOKUP('Données projet'!$B$11,Paramètres!$A$1:$I$89,3,0)*VLOOKUP('Données projet'!$B$11,Paramètres!$A$1:$I$89,5,0)</f>
        <v>-2.9262992029543964E-13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207.84100251878419</v>
      </c>
      <c r="BJ154" s="62">
        <f t="shared" si="146"/>
        <v>124.34917784241952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-2.9558577807620169E-14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211.05980622218578</v>
      </c>
      <c r="CE154" s="62">
        <f t="shared" si="148"/>
        <v>168.57746894604855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191.79777926975839</v>
      </c>
      <c r="CZ154" s="62">
        <f t="shared" si="150"/>
        <v>156.66161375678712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4.0679999999999987</v>
      </c>
      <c r="DO154" s="13">
        <f>IF('Données projet'!$A$166&gt;35,DO153+DN154-DW153,IF(A154&lt;'Données projet'!$A$166,$DL$205^A154,IF(A154='Données projet'!$A$166,'Données projet'!$B$166,DO153+DN154-DW153)))</f>
        <v>399.65799999999967</v>
      </c>
      <c r="DP154" s="18">
        <f>DO154*VLOOKUP('Données projet'!$B$14,Paramètres!$A$1:$I$89,3,0)*VLOOKUP('Données projet'!$B$14,Paramètres!$A$1:$I$89,5,0)</f>
        <v>436.4265359999996</v>
      </c>
      <c r="DQ154" s="14">
        <f t="shared" ref="DQ154:DQ203" si="176">EXP(-1.0587+0.8836*LN(DP154)+0.284)</f>
        <v>99.123711772029779</v>
      </c>
      <c r="DR154" s="22">
        <f t="shared" ref="DR154:DR203" si="177">(DP154+DQ154)*0.475*44/12</f>
        <v>932.75001486961776</v>
      </c>
      <c r="DS154" s="62">
        <f t="shared" si="125"/>
        <v>1226.0833482029511</v>
      </c>
      <c r="DT154" s="62">
        <f ca="1">AVERAGE(OFFSET($DS$3,0,0,'Données projet'!$E$14+1,1))-AVERAGE(OFFSET($H$3,0,0,'Données projet'!$E$14+1,1))</f>
        <v>541.0854688453461</v>
      </c>
      <c r="DU154" s="62">
        <f t="shared" si="152"/>
        <v>171.04847168584473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5.1159076974727213E-13</v>
      </c>
      <c r="EK154" s="18">
        <f>EJ154*VLOOKUP('Données projet'!$B$15,Paramètres!$A$1:$I$89,3,0)*VLOOKUP('Données projet'!$B$15,Paramètres!$A$1:$I$89,5,0)</f>
        <v>3.0593128030886877E-13</v>
      </c>
      <c r="EL154" s="14">
        <f t="shared" ref="EL154:EL203" si="179">EXP(-1.0587+0.8836*LN(EK154)+0.284)</f>
        <v>4.0350537939347394E-12</v>
      </c>
      <c r="EM154" s="22">
        <f t="shared" ref="EM154:EM203" si="180">(EK154+EL154)*0.475*44/12</f>
        <v>7.5605490043076185E-12</v>
      </c>
      <c r="EN154" s="62">
        <f t="shared" si="128"/>
        <v>293.33333333334087</v>
      </c>
      <c r="EO154" s="62">
        <f ca="1">AVERAGE(OFFSET($EN$3,0,0,'Données projet'!$E$15+1,1))-AVERAGE(OFFSET($H$3,0,0,'Données projet'!$E$15+1,1))</f>
        <v>244.01698421598974</v>
      </c>
      <c r="EP154" s="62">
        <f t="shared" si="154"/>
        <v>156.96653202915024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0.12558438886681339</v>
      </c>
      <c r="EX154" s="23">
        <f>EXP(-LN(2)/2)*EX153+(1-EXP(-LN(2)/2))/(LN(2)/2)*ER154*EU154*VLOOKUP('Données projet'!$B$15,Paramètres!$A$1:$I$89,3,0)*0.475*44/12</f>
        <v>6.1075962905018673E-18</v>
      </c>
      <c r="EY154" s="24">
        <f t="shared" ref="EY154:EY203" si="181">SUM(EV154:EX154)</f>
        <v>0.12558438886681339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-5.6843418860808015E-14</v>
      </c>
      <c r="FF154" s="18">
        <f>FE154*VLOOKUP('Données projet'!$B$16,Paramètres!$A$1:$I$89,3,0)*VLOOKUP('Données projet'!$B$16,Paramètres!$A$1:$I$89,5,0)</f>
        <v>-4.9658410716801891E-14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175.08726167127026</v>
      </c>
      <c r="FK154" s="62">
        <f t="shared" si="156"/>
        <v>196.05343924817117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8.5265128291212022E-14</v>
      </c>
      <c r="GA154" s="18">
        <f>FZ154*VLOOKUP('Données projet'!$B$17,Paramètres!$A$1:$I$89,3,0)*VLOOKUP('Données projet'!$B$17,Paramètres!$A$1:$I$89,5,0)</f>
        <v>5.5865712056402117E-14</v>
      </c>
      <c r="GB154" s="14">
        <f t="shared" ref="GB154:GB203" si="185">EXP(-1.0587+0.8836*LN(GA154)+0.284)</f>
        <v>8.9811031843713517E-13</v>
      </c>
      <c r="GC154" s="22">
        <f t="shared" ref="GC154:GC203" si="186">(GA154+GB154)*0.475*44/12</f>
        <v>1.6615082531095774E-12</v>
      </c>
      <c r="GD154" s="62">
        <f t="shared" si="134"/>
        <v>293.33333333333496</v>
      </c>
      <c r="GE154" s="62">
        <f ca="1">AVERAGE(OFFSET($GD$3,0,0,'Données projet'!$E$17+1,1))-AVERAGE(OFFSET($H$3,0,0,'Données projet'!$E$17+1,1))</f>
        <v>142.93037460866543</v>
      </c>
      <c r="GF154" s="62">
        <f t="shared" si="158"/>
        <v>146.18554498808049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5.6843418860808015E-14</v>
      </c>
      <c r="GV154" s="18">
        <f>GU154*VLOOKUP('Données projet'!$B$18,Paramètres!$A$1:$I$89,3,0)*VLOOKUP('Données projet'!$B$18,Paramètres!$A$1:$I$89,5,0)</f>
        <v>4.8771653382573282E-14</v>
      </c>
      <c r="GW154" s="14">
        <f t="shared" ref="GW154:GW203" si="188">EXP(-1.0587+0.8836*LN(GV154)+0.284)</f>
        <v>7.9655698259503351E-13</v>
      </c>
      <c r="GX154" s="22">
        <f t="shared" ref="GX154:GX203" si="189">(GV154+GW154)*0.475*44/12</f>
        <v>1.4722807076609983E-12</v>
      </c>
      <c r="GY154" s="62">
        <f t="shared" si="137"/>
        <v>293.33333333333479</v>
      </c>
      <c r="GZ154" s="62">
        <f ca="1">AVERAGE(OFFSET($GY$3,0,0,'Données projet'!$E$18+1,1))-AVERAGE(OFFSET($H$3,0,0,'Données projet'!$E$18+1,1))</f>
        <v>188.08607733149256</v>
      </c>
      <c r="HA154" s="62">
        <f t="shared" si="160"/>
        <v>119.95698016603842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45.447999999999944</v>
      </c>
      <c r="D155" s="12">
        <f t="shared" si="140"/>
        <v>13.431735195887123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454.51023659983002</v>
      </c>
      <c r="H155" s="70">
        <f t="shared" si="110"/>
        <v>359.21553879950329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6.1186256061773749E-14</v>
      </c>
      <c r="P155" s="14">
        <f t="shared" si="141"/>
        <v>9.7328366192051127E-13</v>
      </c>
      <c r="Q155" s="22">
        <f t="shared" si="162"/>
        <v>1.8017017738191463E-12</v>
      </c>
      <c r="R155" s="62">
        <f t="shared" si="109"/>
        <v>293.33333333333513</v>
      </c>
      <c r="S155" s="62">
        <f ca="1">AVERAGE(OFFSET($R$3,0,0,'Données projet'!$E$9+1,1))-AVERAGE(OFFSET($H$3,0,0,'Données projet'!$E$9+1,1))</f>
        <v>236.98575892380046</v>
      </c>
      <c r="T155" s="62">
        <f t="shared" si="142"/>
        <v>145.77678223659774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140.04898296125504</v>
      </c>
      <c r="AO155" s="62">
        <f t="shared" si="144"/>
        <v>129.5395511270716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-6.2527760746888816E-13</v>
      </c>
      <c r="BE155" s="14">
        <f>BD155*VLOOKUP('Données projet'!$B$11,Paramètres!$A$1:$I$89,3,0)*VLOOKUP('Données projet'!$B$11,Paramètres!$A$1:$I$89,5,0)</f>
        <v>-2.9262992029543964E-13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207.84100251878419</v>
      </c>
      <c r="BJ155" s="62">
        <f t="shared" si="146"/>
        <v>124.34917784241952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-2.9558577807620169E-14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211.05980622218578</v>
      </c>
      <c r="CE155" s="62">
        <f t="shared" si="148"/>
        <v>168.57746894604855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191.79777926975839</v>
      </c>
      <c r="CZ155" s="62">
        <f t="shared" si="150"/>
        <v>156.66161375678712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4.0679999999999987</v>
      </c>
      <c r="DO155" s="13">
        <f>IF('Données projet'!$A$166&gt;35,DO154+DN155-DW154,IF(A155&lt;'Données projet'!$A$166,$DL$205^A155,IF(A155='Données projet'!$A$166,'Données projet'!$B$166,DO154+DN155-DW154)))</f>
        <v>403.72599999999966</v>
      </c>
      <c r="DP155" s="18">
        <f>DO155*VLOOKUP('Données projet'!$B$14,Paramètres!$A$1:$I$89,3,0)*VLOOKUP('Données projet'!$B$14,Paramètres!$A$1:$I$89,5,0)</f>
        <v>440.86879199999959</v>
      </c>
      <c r="DQ155" s="14">
        <f t="shared" si="176"/>
        <v>100.01469455980133</v>
      </c>
      <c r="DR155" s="22">
        <f t="shared" si="177"/>
        <v>942.03873909165316</v>
      </c>
      <c r="DS155" s="62">
        <f t="shared" si="125"/>
        <v>1235.3720724249865</v>
      </c>
      <c r="DT155" s="62">
        <f ca="1">AVERAGE(OFFSET($DS$3,0,0,'Données projet'!$E$14+1,1))-AVERAGE(OFFSET($H$3,0,0,'Données projet'!$E$14+1,1))</f>
        <v>541.0854688453461</v>
      </c>
      <c r="DU155" s="62">
        <f t="shared" si="152"/>
        <v>171.04847168584473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5.1159076974727213E-13</v>
      </c>
      <c r="EK155" s="18">
        <f>EJ155*VLOOKUP('Données projet'!$B$15,Paramètres!$A$1:$I$89,3,0)*VLOOKUP('Données projet'!$B$15,Paramètres!$A$1:$I$89,5,0)</f>
        <v>3.0593128030886877E-13</v>
      </c>
      <c r="EL155" s="14">
        <f t="shared" si="179"/>
        <v>4.0350537939347394E-12</v>
      </c>
      <c r="EM155" s="22">
        <f t="shared" si="180"/>
        <v>7.5605490043076185E-12</v>
      </c>
      <c r="EN155" s="62">
        <f t="shared" si="128"/>
        <v>293.33333333334087</v>
      </c>
      <c r="EO155" s="62">
        <f ca="1">AVERAGE(OFFSET($EN$3,0,0,'Données projet'!$E$15+1,1))-AVERAGE(OFFSET($H$3,0,0,'Données projet'!$E$15+1,1))</f>
        <v>244.01698421598974</v>
      </c>
      <c r="EP155" s="62">
        <f t="shared" si="154"/>
        <v>156.96653202915024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0.1221502771490544</v>
      </c>
      <c r="EX155" s="23">
        <f>EXP(-LN(2)/2)*EX154+(1-EXP(-LN(2)/2))/(LN(2)/2)*ER155*EU155*VLOOKUP('Données projet'!$B$15,Paramètres!$A$1:$I$89,3,0)*0.475*44/12</f>
        <v>4.3187227537636731E-18</v>
      </c>
      <c r="EY155" s="24">
        <f t="shared" si="181"/>
        <v>0.1221502771490544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-5.6843418860808015E-14</v>
      </c>
      <c r="FF155" s="18">
        <f>FE155*VLOOKUP('Données projet'!$B$16,Paramètres!$A$1:$I$89,3,0)*VLOOKUP('Données projet'!$B$16,Paramètres!$A$1:$I$89,5,0)</f>
        <v>-4.9658410716801891E-14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175.08726167127026</v>
      </c>
      <c r="FK155" s="62">
        <f t="shared" si="156"/>
        <v>196.05343924817117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8.5265128291212022E-14</v>
      </c>
      <c r="GA155" s="18">
        <f>FZ155*VLOOKUP('Données projet'!$B$17,Paramètres!$A$1:$I$89,3,0)*VLOOKUP('Données projet'!$B$17,Paramètres!$A$1:$I$89,5,0)</f>
        <v>5.5865712056402117E-14</v>
      </c>
      <c r="GB155" s="14">
        <f t="shared" si="185"/>
        <v>8.9811031843713517E-13</v>
      </c>
      <c r="GC155" s="22">
        <f t="shared" si="186"/>
        <v>1.6615082531095774E-12</v>
      </c>
      <c r="GD155" s="62">
        <f t="shared" si="134"/>
        <v>293.33333333333496</v>
      </c>
      <c r="GE155" s="62">
        <f ca="1">AVERAGE(OFFSET($GD$3,0,0,'Données projet'!$E$17+1,1))-AVERAGE(OFFSET($H$3,0,0,'Données projet'!$E$17+1,1))</f>
        <v>142.93037460866543</v>
      </c>
      <c r="GF155" s="62">
        <f t="shared" si="158"/>
        <v>146.18554498808049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5.6843418860808015E-14</v>
      </c>
      <c r="GV155" s="18">
        <f>GU155*VLOOKUP('Données projet'!$B$18,Paramètres!$A$1:$I$89,3,0)*VLOOKUP('Données projet'!$B$18,Paramètres!$A$1:$I$89,5,0)</f>
        <v>4.8771653382573282E-14</v>
      </c>
      <c r="GW155" s="14">
        <f t="shared" si="188"/>
        <v>7.9655698259503351E-13</v>
      </c>
      <c r="GX155" s="22">
        <f t="shared" si="189"/>
        <v>1.4722807076609983E-12</v>
      </c>
      <c r="GY155" s="62">
        <f t="shared" si="137"/>
        <v>293.33333333333479</v>
      </c>
      <c r="GZ155" s="62">
        <f ca="1">AVERAGE(OFFSET($GY$3,0,0,'Données projet'!$E$18+1,1))-AVERAGE(OFFSET($H$3,0,0,'Données projet'!$E$18+1,1))</f>
        <v>188.08607733149256</v>
      </c>
      <c r="HA155" s="62">
        <f t="shared" si="160"/>
        <v>119.95698016603842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45.746999999999943</v>
      </c>
      <c r="D156" s="12">
        <f t="shared" si="140"/>
        <v>13.509786169595481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457.42080551968394</v>
      </c>
      <c r="H156" s="70">
        <f t="shared" si="110"/>
        <v>359.87223591204537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6.1186256061773749E-14</v>
      </c>
      <c r="P156" s="14">
        <f t="shared" si="141"/>
        <v>9.7328366192051127E-13</v>
      </c>
      <c r="Q156" s="22">
        <f t="shared" si="162"/>
        <v>1.8017017738191463E-12</v>
      </c>
      <c r="R156" s="62">
        <f t="shared" si="109"/>
        <v>293.33333333333513</v>
      </c>
      <c r="S156" s="62">
        <f ca="1">AVERAGE(OFFSET($R$3,0,0,'Données projet'!$E$9+1,1))-AVERAGE(OFFSET($H$3,0,0,'Données projet'!$E$9+1,1))</f>
        <v>236.98575892380046</v>
      </c>
      <c r="T156" s="62">
        <f t="shared" si="142"/>
        <v>145.77678223659774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140.04898296125504</v>
      </c>
      <c r="AO156" s="62">
        <f t="shared" si="144"/>
        <v>129.5395511270716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-6.2527760746888816E-13</v>
      </c>
      <c r="BE156" s="14">
        <f>BD156*VLOOKUP('Données projet'!$B$11,Paramètres!$A$1:$I$89,3,0)*VLOOKUP('Données projet'!$B$11,Paramètres!$A$1:$I$89,5,0)</f>
        <v>-2.9262992029543964E-13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207.84100251878419</v>
      </c>
      <c r="BJ156" s="62">
        <f t="shared" si="146"/>
        <v>124.34917784241952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-2.9558577807620169E-14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211.05980622218578</v>
      </c>
      <c r="CE156" s="62">
        <f t="shared" si="148"/>
        <v>168.57746894604855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191.79777926975839</v>
      </c>
      <c r="CZ156" s="62">
        <f t="shared" si="150"/>
        <v>156.66161375678712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4.0679999999999987</v>
      </c>
      <c r="DO156" s="13">
        <f>IF('Données projet'!$A$166&gt;35,DO155+DN156-DW155,IF(A156&lt;'Données projet'!$A$166,$DL$205^A156,IF(A156='Données projet'!$A$166,'Données projet'!$B$166,DO155+DN156-DW155)))</f>
        <v>407.79399999999964</v>
      </c>
      <c r="DP156" s="18">
        <f>DO156*VLOOKUP('Données projet'!$B$14,Paramètres!$A$1:$I$89,3,0)*VLOOKUP('Données projet'!$B$14,Paramètres!$A$1:$I$89,5,0)</f>
        <v>445.31104799999957</v>
      </c>
      <c r="DQ156" s="14">
        <f t="shared" si="176"/>
        <v>100.90463294091147</v>
      </c>
      <c r="DR156" s="22">
        <f t="shared" si="177"/>
        <v>951.32564430542004</v>
      </c>
      <c r="DS156" s="62">
        <f t="shared" si="125"/>
        <v>1244.6589776387534</v>
      </c>
      <c r="DT156" s="62">
        <f ca="1">AVERAGE(OFFSET($DS$3,0,0,'Données projet'!$E$14+1,1))-AVERAGE(OFFSET($H$3,0,0,'Données projet'!$E$14+1,1))</f>
        <v>541.0854688453461</v>
      </c>
      <c r="DU156" s="62">
        <f t="shared" si="152"/>
        <v>171.04847168584473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5.1159076974727213E-13</v>
      </c>
      <c r="EK156" s="18">
        <f>EJ156*VLOOKUP('Données projet'!$B$15,Paramètres!$A$1:$I$89,3,0)*VLOOKUP('Données projet'!$B$15,Paramètres!$A$1:$I$89,5,0)</f>
        <v>3.0593128030886877E-13</v>
      </c>
      <c r="EL156" s="14">
        <f t="shared" si="179"/>
        <v>4.0350537939347394E-12</v>
      </c>
      <c r="EM156" s="22">
        <f t="shared" si="180"/>
        <v>7.5605490043076185E-12</v>
      </c>
      <c r="EN156" s="62">
        <f t="shared" si="128"/>
        <v>293.33333333334087</v>
      </c>
      <c r="EO156" s="62">
        <f ca="1">AVERAGE(OFFSET($EN$3,0,0,'Données projet'!$E$15+1,1))-AVERAGE(OFFSET($H$3,0,0,'Données projet'!$E$15+1,1))</f>
        <v>244.01698421598974</v>
      </c>
      <c r="EP156" s="62">
        <f t="shared" si="154"/>
        <v>156.96653202915024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0.1188100713968096</v>
      </c>
      <c r="EX156" s="23">
        <f>EXP(-LN(2)/2)*EX155+(1-EXP(-LN(2)/2))/(LN(2)/2)*ER156*EU156*VLOOKUP('Données projet'!$B$15,Paramètres!$A$1:$I$89,3,0)*0.475*44/12</f>
        <v>3.0537981452509336E-18</v>
      </c>
      <c r="EY156" s="24">
        <f t="shared" si="181"/>
        <v>0.1188100713968096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-5.6843418860808015E-14</v>
      </c>
      <c r="FF156" s="18">
        <f>FE156*VLOOKUP('Données projet'!$B$16,Paramètres!$A$1:$I$89,3,0)*VLOOKUP('Données projet'!$B$16,Paramètres!$A$1:$I$89,5,0)</f>
        <v>-4.9658410716801891E-14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175.08726167127026</v>
      </c>
      <c r="FK156" s="62">
        <f t="shared" si="156"/>
        <v>196.05343924817117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8.5265128291212022E-14</v>
      </c>
      <c r="GA156" s="18">
        <f>FZ156*VLOOKUP('Données projet'!$B$17,Paramètres!$A$1:$I$89,3,0)*VLOOKUP('Données projet'!$B$17,Paramètres!$A$1:$I$89,5,0)</f>
        <v>5.5865712056402117E-14</v>
      </c>
      <c r="GB156" s="14">
        <f t="shared" si="185"/>
        <v>8.9811031843713517E-13</v>
      </c>
      <c r="GC156" s="22">
        <f t="shared" si="186"/>
        <v>1.6615082531095774E-12</v>
      </c>
      <c r="GD156" s="62">
        <f t="shared" si="134"/>
        <v>293.33333333333496</v>
      </c>
      <c r="GE156" s="62">
        <f ca="1">AVERAGE(OFFSET($GD$3,0,0,'Données projet'!$E$17+1,1))-AVERAGE(OFFSET($H$3,0,0,'Données projet'!$E$17+1,1))</f>
        <v>142.93037460866543</v>
      </c>
      <c r="GF156" s="62">
        <f t="shared" si="158"/>
        <v>146.18554498808049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5.6843418860808015E-14</v>
      </c>
      <c r="GV156" s="18">
        <f>GU156*VLOOKUP('Données projet'!$B$18,Paramètres!$A$1:$I$89,3,0)*VLOOKUP('Données projet'!$B$18,Paramètres!$A$1:$I$89,5,0)</f>
        <v>4.8771653382573282E-14</v>
      </c>
      <c r="GW156" s="14">
        <f t="shared" si="188"/>
        <v>7.9655698259503351E-13</v>
      </c>
      <c r="GX156" s="22">
        <f t="shared" si="189"/>
        <v>1.4722807076609983E-12</v>
      </c>
      <c r="GY156" s="62">
        <f t="shared" si="137"/>
        <v>293.33333333333479</v>
      </c>
      <c r="GZ156" s="62">
        <f ca="1">AVERAGE(OFFSET($GY$3,0,0,'Données projet'!$E$18+1,1))-AVERAGE(OFFSET($H$3,0,0,'Données projet'!$E$18+1,1))</f>
        <v>188.08607733149256</v>
      </c>
      <c r="HA156" s="62">
        <f t="shared" si="160"/>
        <v>119.95698016603842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46.045999999999943</v>
      </c>
      <c r="D157" s="12">
        <f t="shared" si="140"/>
        <v>13.587777785482274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460.33091623881018</v>
      </c>
      <c r="H157" s="70">
        <f t="shared" si="110"/>
        <v>360.5288296430482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6.1186256061773749E-14</v>
      </c>
      <c r="P157" s="14">
        <f t="shared" si="141"/>
        <v>9.7328366192051127E-13</v>
      </c>
      <c r="Q157" s="22">
        <f t="shared" si="162"/>
        <v>1.8017017738191463E-12</v>
      </c>
      <c r="R157" s="62">
        <f t="shared" si="109"/>
        <v>293.33333333333513</v>
      </c>
      <c r="S157" s="62">
        <f ca="1">AVERAGE(OFFSET($R$3,0,0,'Données projet'!$E$9+1,1))-AVERAGE(OFFSET($H$3,0,0,'Données projet'!$E$9+1,1))</f>
        <v>236.98575892380046</v>
      </c>
      <c r="T157" s="62">
        <f t="shared" si="142"/>
        <v>145.77678223659774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140.04898296125504</v>
      </c>
      <c r="AO157" s="62">
        <f t="shared" si="144"/>
        <v>129.5395511270716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-6.2527760746888816E-13</v>
      </c>
      <c r="BE157" s="14">
        <f>BD157*VLOOKUP('Données projet'!$B$11,Paramètres!$A$1:$I$89,3,0)*VLOOKUP('Données projet'!$B$11,Paramètres!$A$1:$I$89,5,0)</f>
        <v>-2.9262992029543964E-13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207.84100251878419</v>
      </c>
      <c r="BJ157" s="62">
        <f t="shared" si="146"/>
        <v>124.34917784241952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-2.9558577807620169E-14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211.05980622218578</v>
      </c>
      <c r="CE157" s="62">
        <f t="shared" si="148"/>
        <v>168.57746894604855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191.79777926975839</v>
      </c>
      <c r="CZ157" s="62">
        <f t="shared" si="150"/>
        <v>156.66161375678712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4.0679999999999987</v>
      </c>
      <c r="DO157" s="13">
        <f>IF('Données projet'!$A$166&gt;35,DO156+DN157-DW156,IF(A157&lt;'Données projet'!$A$166,$DL$205^A157,IF(A157='Données projet'!$A$166,'Données projet'!$B$166,DO156+DN157-DW156)))</f>
        <v>411.86199999999963</v>
      </c>
      <c r="DP157" s="18">
        <f>DO157*VLOOKUP('Données projet'!$B$14,Paramètres!$A$1:$I$89,3,0)*VLOOKUP('Données projet'!$B$14,Paramètres!$A$1:$I$89,5,0)</f>
        <v>449.75330399999962</v>
      </c>
      <c r="DQ157" s="14">
        <f t="shared" si="176"/>
        <v>101.79353854033232</v>
      </c>
      <c r="DR157" s="22">
        <f t="shared" si="177"/>
        <v>960.61075075774454</v>
      </c>
      <c r="DS157" s="62">
        <f t="shared" si="125"/>
        <v>1253.9440840910779</v>
      </c>
      <c r="DT157" s="62">
        <f ca="1">AVERAGE(OFFSET($DS$3,0,0,'Données projet'!$E$14+1,1))-AVERAGE(OFFSET($H$3,0,0,'Données projet'!$E$14+1,1))</f>
        <v>541.0854688453461</v>
      </c>
      <c r="DU157" s="62">
        <f t="shared" si="152"/>
        <v>171.04847168584473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5.1159076974727213E-13</v>
      </c>
      <c r="EK157" s="18">
        <f>EJ157*VLOOKUP('Données projet'!$B$15,Paramètres!$A$1:$I$89,3,0)*VLOOKUP('Données projet'!$B$15,Paramètres!$A$1:$I$89,5,0)</f>
        <v>3.0593128030886877E-13</v>
      </c>
      <c r="EL157" s="14">
        <f t="shared" si="179"/>
        <v>4.0350537939347394E-12</v>
      </c>
      <c r="EM157" s="22">
        <f t="shared" si="180"/>
        <v>7.5605490043076185E-12</v>
      </c>
      <c r="EN157" s="62">
        <f t="shared" si="128"/>
        <v>293.33333333334087</v>
      </c>
      <c r="EO157" s="62">
        <f ca="1">AVERAGE(OFFSET($EN$3,0,0,'Données projet'!$E$15+1,1))-AVERAGE(OFFSET($H$3,0,0,'Données projet'!$E$15+1,1))</f>
        <v>244.01698421598974</v>
      </c>
      <c r="EP157" s="62">
        <f t="shared" si="154"/>
        <v>156.96653202915024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0.11556120374651373</v>
      </c>
      <c r="EX157" s="23">
        <f>EXP(-LN(2)/2)*EX156+(1-EXP(-LN(2)/2))/(LN(2)/2)*ER157*EU157*VLOOKUP('Données projet'!$B$15,Paramètres!$A$1:$I$89,3,0)*0.475*44/12</f>
        <v>2.1593613768818366E-18</v>
      </c>
      <c r="EY157" s="24">
        <f t="shared" si="181"/>
        <v>0.11556120374651373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-5.6843418860808015E-14</v>
      </c>
      <c r="FF157" s="18">
        <f>FE157*VLOOKUP('Données projet'!$B$16,Paramètres!$A$1:$I$89,3,0)*VLOOKUP('Données projet'!$B$16,Paramètres!$A$1:$I$89,5,0)</f>
        <v>-4.9658410716801891E-14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175.08726167127026</v>
      </c>
      <c r="FK157" s="62">
        <f t="shared" si="156"/>
        <v>196.05343924817117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8.5265128291212022E-14</v>
      </c>
      <c r="GA157" s="18">
        <f>FZ157*VLOOKUP('Données projet'!$B$17,Paramètres!$A$1:$I$89,3,0)*VLOOKUP('Données projet'!$B$17,Paramètres!$A$1:$I$89,5,0)</f>
        <v>5.5865712056402117E-14</v>
      </c>
      <c r="GB157" s="14">
        <f t="shared" si="185"/>
        <v>8.9811031843713517E-13</v>
      </c>
      <c r="GC157" s="22">
        <f t="shared" si="186"/>
        <v>1.6615082531095774E-12</v>
      </c>
      <c r="GD157" s="62">
        <f t="shared" si="134"/>
        <v>293.33333333333496</v>
      </c>
      <c r="GE157" s="62">
        <f ca="1">AVERAGE(OFFSET($GD$3,0,0,'Données projet'!$E$17+1,1))-AVERAGE(OFFSET($H$3,0,0,'Données projet'!$E$17+1,1))</f>
        <v>142.93037460866543</v>
      </c>
      <c r="GF157" s="62">
        <f t="shared" si="158"/>
        <v>146.18554498808049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5.6843418860808015E-14</v>
      </c>
      <c r="GV157" s="18">
        <f>GU157*VLOOKUP('Données projet'!$B$18,Paramètres!$A$1:$I$89,3,0)*VLOOKUP('Données projet'!$B$18,Paramètres!$A$1:$I$89,5,0)</f>
        <v>4.8771653382573282E-14</v>
      </c>
      <c r="GW157" s="14">
        <f t="shared" si="188"/>
        <v>7.9655698259503351E-13</v>
      </c>
      <c r="GX157" s="22">
        <f t="shared" si="189"/>
        <v>1.4722807076609983E-12</v>
      </c>
      <c r="GY157" s="62">
        <f t="shared" si="137"/>
        <v>293.33333333333479</v>
      </c>
      <c r="GZ157" s="62">
        <f ca="1">AVERAGE(OFFSET($GY$3,0,0,'Données projet'!$E$18+1,1))-AVERAGE(OFFSET($H$3,0,0,'Données projet'!$E$18+1,1))</f>
        <v>188.08607733149256</v>
      </c>
      <c r="HA157" s="62">
        <f t="shared" si="160"/>
        <v>119.95698016603842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46.344999999999942</v>
      </c>
      <c r="D158" s="12">
        <f t="shared" si="140"/>
        <v>13.665710473696642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463.24057207765782</v>
      </c>
      <c r="H158" s="70">
        <f t="shared" si="110"/>
        <v>361.18532074168826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6.1186256061773749E-14</v>
      </c>
      <c r="P158" s="14">
        <f t="shared" si="141"/>
        <v>9.7328366192051127E-13</v>
      </c>
      <c r="Q158" s="22">
        <f t="shared" si="162"/>
        <v>1.8017017738191463E-12</v>
      </c>
      <c r="R158" s="62">
        <f t="shared" si="109"/>
        <v>293.33333333333513</v>
      </c>
      <c r="S158" s="62">
        <f ca="1">AVERAGE(OFFSET($R$3,0,0,'Données projet'!$E$9+1,1))-AVERAGE(OFFSET($H$3,0,0,'Données projet'!$E$9+1,1))</f>
        <v>236.98575892380046</v>
      </c>
      <c r="T158" s="62">
        <f t="shared" si="142"/>
        <v>145.77678223659774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140.04898296125504</v>
      </c>
      <c r="AO158" s="62">
        <f t="shared" si="144"/>
        <v>129.5395511270716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-6.2527760746888816E-13</v>
      </c>
      <c r="BE158" s="14">
        <f>BD158*VLOOKUP('Données projet'!$B$11,Paramètres!$A$1:$I$89,3,0)*VLOOKUP('Données projet'!$B$11,Paramètres!$A$1:$I$89,5,0)</f>
        <v>-2.9262992029543964E-13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207.84100251878419</v>
      </c>
      <c r="BJ158" s="62">
        <f t="shared" si="146"/>
        <v>124.34917784241952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-2.9558577807620169E-14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211.05980622218578</v>
      </c>
      <c r="CE158" s="62">
        <f t="shared" si="148"/>
        <v>168.57746894604855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191.79777926975839</v>
      </c>
      <c r="CZ158" s="62">
        <f t="shared" si="150"/>
        <v>156.66161375678712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4.0679999999999987</v>
      </c>
      <c r="DO158" s="13">
        <f>IF('Données projet'!$A$166&gt;35,DO157+DN158-DW157,IF(A158&lt;'Données projet'!$A$166,$DL$205^A158,IF(A158='Données projet'!$A$166,'Données projet'!$B$166,DO157+DN158-DW157)))</f>
        <v>415.92999999999961</v>
      </c>
      <c r="DP158" s="18">
        <f>DO158*VLOOKUP('Données projet'!$B$14,Paramètres!$A$1:$I$89,3,0)*VLOOKUP('Données projet'!$B$14,Paramètres!$A$1:$I$89,5,0)</f>
        <v>454.1955599999996</v>
      </c>
      <c r="DQ158" s="14">
        <f t="shared" si="176"/>
        <v>102.68142274015695</v>
      </c>
      <c r="DR158" s="22">
        <f t="shared" si="177"/>
        <v>969.89407827243929</v>
      </c>
      <c r="DS158" s="62">
        <f t="shared" si="125"/>
        <v>1263.2274116057727</v>
      </c>
      <c r="DT158" s="62">
        <f ca="1">AVERAGE(OFFSET($DS$3,0,0,'Données projet'!$E$14+1,1))-AVERAGE(OFFSET($H$3,0,0,'Données projet'!$E$14+1,1))</f>
        <v>541.0854688453461</v>
      </c>
      <c r="DU158" s="62">
        <f t="shared" si="152"/>
        <v>171.04847168584473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5.1159076974727213E-13</v>
      </c>
      <c r="EK158" s="18">
        <f>EJ158*VLOOKUP('Données projet'!$B$15,Paramètres!$A$1:$I$89,3,0)*VLOOKUP('Données projet'!$B$15,Paramètres!$A$1:$I$89,5,0)</f>
        <v>3.0593128030886877E-13</v>
      </c>
      <c r="EL158" s="14">
        <f t="shared" si="179"/>
        <v>4.0350537939347394E-12</v>
      </c>
      <c r="EM158" s="22">
        <f t="shared" si="180"/>
        <v>7.5605490043076185E-12</v>
      </c>
      <c r="EN158" s="62">
        <f t="shared" si="128"/>
        <v>293.33333333334087</v>
      </c>
      <c r="EO158" s="62">
        <f ca="1">AVERAGE(OFFSET($EN$3,0,0,'Données projet'!$E$15+1,1))-AVERAGE(OFFSET($H$3,0,0,'Données projet'!$E$15+1,1))</f>
        <v>244.01698421598974</v>
      </c>
      <c r="EP158" s="62">
        <f t="shared" si="154"/>
        <v>156.96653202915024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0.11240117655296572</v>
      </c>
      <c r="EX158" s="23">
        <f>EXP(-LN(2)/2)*EX157+(1-EXP(-LN(2)/2))/(LN(2)/2)*ER158*EU158*VLOOKUP('Données projet'!$B$15,Paramètres!$A$1:$I$89,3,0)*0.475*44/12</f>
        <v>1.5268990726254668E-18</v>
      </c>
      <c r="EY158" s="24">
        <f t="shared" si="181"/>
        <v>0.11240117655296572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-5.6843418860808015E-14</v>
      </c>
      <c r="FF158" s="18">
        <f>FE158*VLOOKUP('Données projet'!$B$16,Paramètres!$A$1:$I$89,3,0)*VLOOKUP('Données projet'!$B$16,Paramètres!$A$1:$I$89,5,0)</f>
        <v>-4.9658410716801891E-14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175.08726167127026</v>
      </c>
      <c r="FK158" s="62">
        <f t="shared" si="156"/>
        <v>196.05343924817117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8.5265128291212022E-14</v>
      </c>
      <c r="GA158" s="18">
        <f>FZ158*VLOOKUP('Données projet'!$B$17,Paramètres!$A$1:$I$89,3,0)*VLOOKUP('Données projet'!$B$17,Paramètres!$A$1:$I$89,5,0)</f>
        <v>5.5865712056402117E-14</v>
      </c>
      <c r="GB158" s="14">
        <f t="shared" si="185"/>
        <v>8.9811031843713517E-13</v>
      </c>
      <c r="GC158" s="22">
        <f t="shared" si="186"/>
        <v>1.6615082531095774E-12</v>
      </c>
      <c r="GD158" s="62">
        <f t="shared" si="134"/>
        <v>293.33333333333496</v>
      </c>
      <c r="GE158" s="62">
        <f ca="1">AVERAGE(OFFSET($GD$3,0,0,'Données projet'!$E$17+1,1))-AVERAGE(OFFSET($H$3,0,0,'Données projet'!$E$17+1,1))</f>
        <v>142.93037460866543</v>
      </c>
      <c r="GF158" s="62">
        <f t="shared" si="158"/>
        <v>146.18554498808049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5.6843418860808015E-14</v>
      </c>
      <c r="GV158" s="18">
        <f>GU158*VLOOKUP('Données projet'!$B$18,Paramètres!$A$1:$I$89,3,0)*VLOOKUP('Données projet'!$B$18,Paramètres!$A$1:$I$89,5,0)</f>
        <v>4.8771653382573282E-14</v>
      </c>
      <c r="GW158" s="14">
        <f t="shared" si="188"/>
        <v>7.9655698259503351E-13</v>
      </c>
      <c r="GX158" s="22">
        <f t="shared" si="189"/>
        <v>1.4722807076609983E-12</v>
      </c>
      <c r="GY158" s="62">
        <f t="shared" si="137"/>
        <v>293.33333333333479</v>
      </c>
      <c r="GZ158" s="62">
        <f ca="1">AVERAGE(OFFSET($GY$3,0,0,'Données projet'!$E$18+1,1))-AVERAGE(OFFSET($H$3,0,0,'Données projet'!$E$18+1,1))</f>
        <v>188.08607733149256</v>
      </c>
      <c r="HA158" s="62">
        <f t="shared" si="160"/>
        <v>119.95698016603842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46.643999999999942</v>
      </c>
      <c r="D159" s="12">
        <f t="shared" si="140"/>
        <v>13.74358465851647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466.14977631135474</v>
      </c>
      <c r="H159" s="70">
        <f t="shared" si="110"/>
        <v>361.84170994691613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6.1186256061773749E-14</v>
      </c>
      <c r="P159" s="14">
        <f t="shared" si="141"/>
        <v>9.7328366192051127E-13</v>
      </c>
      <c r="Q159" s="22">
        <f t="shared" si="162"/>
        <v>1.8017017738191463E-12</v>
      </c>
      <c r="R159" s="62">
        <f t="shared" si="109"/>
        <v>293.33333333333513</v>
      </c>
      <c r="S159" s="62">
        <f ca="1">AVERAGE(OFFSET($R$3,0,0,'Données projet'!$E$9+1,1))-AVERAGE(OFFSET($H$3,0,0,'Données projet'!$E$9+1,1))</f>
        <v>236.98575892380046</v>
      </c>
      <c r="T159" s="62">
        <f t="shared" si="142"/>
        <v>145.77678223659774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140.04898296125504</v>
      </c>
      <c r="AO159" s="62">
        <f t="shared" si="144"/>
        <v>129.5395511270716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-6.2527760746888816E-13</v>
      </c>
      <c r="BE159" s="14">
        <f>BD159*VLOOKUP('Données projet'!$B$11,Paramètres!$A$1:$I$89,3,0)*VLOOKUP('Données projet'!$B$11,Paramètres!$A$1:$I$89,5,0)</f>
        <v>-2.9262992029543964E-13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207.84100251878419</v>
      </c>
      <c r="BJ159" s="62">
        <f t="shared" si="146"/>
        <v>124.34917784241952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-2.9558577807620169E-14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211.05980622218578</v>
      </c>
      <c r="CE159" s="62">
        <f t="shared" si="148"/>
        <v>168.57746894604855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191.79777926975839</v>
      </c>
      <c r="CZ159" s="62">
        <f t="shared" si="150"/>
        <v>156.66161375678712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4.0679999999999987</v>
      </c>
      <c r="DO159" s="13">
        <f>IF('Données projet'!$A$166&gt;35,DO158+DN159-DW158,IF(A159&lt;'Données projet'!$A$166,$DL$205^A159,IF(A159='Données projet'!$A$166,'Données projet'!$B$166,DO158+DN159-DW158)))</f>
        <v>419.99799999999959</v>
      </c>
      <c r="DP159" s="18">
        <f>DO159*VLOOKUP('Données projet'!$B$14,Paramètres!$A$1:$I$89,3,0)*VLOOKUP('Données projet'!$B$14,Paramètres!$A$1:$I$89,5,0)</f>
        <v>458.63781599999948</v>
      </c>
      <c r="DQ159" s="14">
        <f t="shared" si="176"/>
        <v>103.56829668699861</v>
      </c>
      <c r="DR159" s="22">
        <f t="shared" si="177"/>
        <v>979.17564626318801</v>
      </c>
      <c r="DS159" s="62">
        <f t="shared" si="125"/>
        <v>1272.5089795965214</v>
      </c>
      <c r="DT159" s="62">
        <f ca="1">AVERAGE(OFFSET($DS$3,0,0,'Données projet'!$E$14+1,1))-AVERAGE(OFFSET($H$3,0,0,'Données projet'!$E$14+1,1))</f>
        <v>541.0854688453461</v>
      </c>
      <c r="DU159" s="62">
        <f t="shared" si="152"/>
        <v>171.04847168584473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5.1159076974727213E-13</v>
      </c>
      <c r="EK159" s="18">
        <f>EJ159*VLOOKUP('Données projet'!$B$15,Paramètres!$A$1:$I$89,3,0)*VLOOKUP('Données projet'!$B$15,Paramètres!$A$1:$I$89,5,0)</f>
        <v>3.0593128030886877E-13</v>
      </c>
      <c r="EL159" s="14">
        <f t="shared" si="179"/>
        <v>4.0350537939347394E-12</v>
      </c>
      <c r="EM159" s="22">
        <f t="shared" si="180"/>
        <v>7.5605490043076185E-12</v>
      </c>
      <c r="EN159" s="62">
        <f t="shared" si="128"/>
        <v>293.33333333334087</v>
      </c>
      <c r="EO159" s="62">
        <f ca="1">AVERAGE(OFFSET($EN$3,0,0,'Données projet'!$E$15+1,1))-AVERAGE(OFFSET($H$3,0,0,'Données projet'!$E$15+1,1))</f>
        <v>244.01698421598974</v>
      </c>
      <c r="EP159" s="62">
        <f t="shared" si="154"/>
        <v>156.96653202915024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0.10932756046920389</v>
      </c>
      <c r="EX159" s="23">
        <f>EXP(-LN(2)/2)*EX158+(1-EXP(-LN(2)/2))/(LN(2)/2)*ER159*EU159*VLOOKUP('Données projet'!$B$15,Paramètres!$A$1:$I$89,3,0)*0.475*44/12</f>
        <v>1.0796806884409183E-18</v>
      </c>
      <c r="EY159" s="24">
        <f t="shared" si="181"/>
        <v>0.10932756046920389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-5.6843418860808015E-14</v>
      </c>
      <c r="FF159" s="18">
        <f>FE159*VLOOKUP('Données projet'!$B$16,Paramètres!$A$1:$I$89,3,0)*VLOOKUP('Données projet'!$B$16,Paramètres!$A$1:$I$89,5,0)</f>
        <v>-4.9658410716801891E-14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175.08726167127026</v>
      </c>
      <c r="FK159" s="62">
        <f t="shared" si="156"/>
        <v>196.05343924817117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8.5265128291212022E-14</v>
      </c>
      <c r="GA159" s="18">
        <f>FZ159*VLOOKUP('Données projet'!$B$17,Paramètres!$A$1:$I$89,3,0)*VLOOKUP('Données projet'!$B$17,Paramètres!$A$1:$I$89,5,0)</f>
        <v>5.5865712056402117E-14</v>
      </c>
      <c r="GB159" s="14">
        <f t="shared" si="185"/>
        <v>8.9811031843713517E-13</v>
      </c>
      <c r="GC159" s="22">
        <f t="shared" si="186"/>
        <v>1.6615082531095774E-12</v>
      </c>
      <c r="GD159" s="62">
        <f t="shared" si="134"/>
        <v>293.33333333333496</v>
      </c>
      <c r="GE159" s="62">
        <f ca="1">AVERAGE(OFFSET($GD$3,0,0,'Données projet'!$E$17+1,1))-AVERAGE(OFFSET($H$3,0,0,'Données projet'!$E$17+1,1))</f>
        <v>142.93037460866543</v>
      </c>
      <c r="GF159" s="62">
        <f t="shared" si="158"/>
        <v>146.18554498808049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5.6843418860808015E-14</v>
      </c>
      <c r="GV159" s="18">
        <f>GU159*VLOOKUP('Données projet'!$B$18,Paramètres!$A$1:$I$89,3,0)*VLOOKUP('Données projet'!$B$18,Paramètres!$A$1:$I$89,5,0)</f>
        <v>4.8771653382573282E-14</v>
      </c>
      <c r="GW159" s="14">
        <f t="shared" si="188"/>
        <v>7.9655698259503351E-13</v>
      </c>
      <c r="GX159" s="22">
        <f t="shared" si="189"/>
        <v>1.4722807076609983E-12</v>
      </c>
      <c r="GY159" s="62">
        <f t="shared" si="137"/>
        <v>293.33333333333479</v>
      </c>
      <c r="GZ159" s="62">
        <f ca="1">AVERAGE(OFFSET($GY$3,0,0,'Données projet'!$E$18+1,1))-AVERAGE(OFFSET($H$3,0,0,'Données projet'!$E$18+1,1))</f>
        <v>188.08607733149256</v>
      </c>
      <c r="HA159" s="62">
        <f t="shared" si="160"/>
        <v>119.95698016603842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46.942999999999941</v>
      </c>
      <c r="D160" s="12">
        <f t="shared" si="140"/>
        <v>13.821400758465646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469.0585321706115</v>
      </c>
      <c r="H160" s="70">
        <f t="shared" si="110"/>
        <v>362.49799798766088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6.1186256061773749E-14</v>
      </c>
      <c r="P160" s="14">
        <f t="shared" si="141"/>
        <v>9.7328366192051127E-13</v>
      </c>
      <c r="Q160" s="22">
        <f t="shared" si="162"/>
        <v>1.8017017738191463E-12</v>
      </c>
      <c r="R160" s="62">
        <f t="shared" si="109"/>
        <v>293.33333333333513</v>
      </c>
      <c r="S160" s="62">
        <f ca="1">AVERAGE(OFFSET($R$3,0,0,'Données projet'!$E$9+1,1))-AVERAGE(OFFSET($H$3,0,0,'Données projet'!$E$9+1,1))</f>
        <v>236.98575892380046</v>
      </c>
      <c r="T160" s="62">
        <f t="shared" si="142"/>
        <v>145.77678223659774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140.04898296125504</v>
      </c>
      <c r="AO160" s="62">
        <f t="shared" si="144"/>
        <v>129.5395511270716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-6.2527760746888816E-13</v>
      </c>
      <c r="BE160" s="14">
        <f>BD160*VLOOKUP('Données projet'!$B$11,Paramètres!$A$1:$I$89,3,0)*VLOOKUP('Données projet'!$B$11,Paramètres!$A$1:$I$89,5,0)</f>
        <v>-2.9262992029543964E-13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207.84100251878419</v>
      </c>
      <c r="BJ160" s="62">
        <f t="shared" si="146"/>
        <v>124.34917784241952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-2.9558577807620169E-14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211.05980622218578</v>
      </c>
      <c r="CE160" s="62">
        <f t="shared" si="148"/>
        <v>168.57746894604855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191.79777926975839</v>
      </c>
      <c r="CZ160" s="62">
        <f t="shared" si="150"/>
        <v>156.66161375678712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4.0679999999999987</v>
      </c>
      <c r="DO160" s="13">
        <f>IF('Données projet'!$A$166&gt;35,DO159+DN160-DW159,IF(A160&lt;'Données projet'!$A$166,$DL$205^A160,IF(A160='Données projet'!$A$166,'Données projet'!$B$166,DO159+DN160-DW159)))</f>
        <v>424.06599999999958</v>
      </c>
      <c r="DP160" s="18">
        <f>DO160*VLOOKUP('Données projet'!$B$14,Paramètres!$A$1:$I$89,3,0)*VLOOKUP('Données projet'!$B$14,Paramètres!$A$1:$I$89,5,0)</f>
        <v>463.08007199999952</v>
      </c>
      <c r="DQ160" s="14">
        <f t="shared" si="176"/>
        <v>104.45417129909481</v>
      </c>
      <c r="DR160" s="22">
        <f t="shared" si="177"/>
        <v>988.45547374592263</v>
      </c>
      <c r="DS160" s="62">
        <f t="shared" si="125"/>
        <v>1281.788807079256</v>
      </c>
      <c r="DT160" s="62">
        <f ca="1">AVERAGE(OFFSET($DS$3,0,0,'Données projet'!$E$14+1,1))-AVERAGE(OFFSET($H$3,0,0,'Données projet'!$E$14+1,1))</f>
        <v>541.0854688453461</v>
      </c>
      <c r="DU160" s="62">
        <f t="shared" si="152"/>
        <v>171.04847168584473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5.1159076974727213E-13</v>
      </c>
      <c r="EK160" s="18">
        <f>EJ160*VLOOKUP('Données projet'!$B$15,Paramètres!$A$1:$I$89,3,0)*VLOOKUP('Données projet'!$B$15,Paramètres!$A$1:$I$89,5,0)</f>
        <v>3.0593128030886877E-13</v>
      </c>
      <c r="EL160" s="14">
        <f t="shared" si="179"/>
        <v>4.0350537939347394E-12</v>
      </c>
      <c r="EM160" s="22">
        <f t="shared" si="180"/>
        <v>7.5605490043076185E-12</v>
      </c>
      <c r="EN160" s="62">
        <f t="shared" si="128"/>
        <v>293.33333333334087</v>
      </c>
      <c r="EO160" s="62">
        <f ca="1">AVERAGE(OFFSET($EN$3,0,0,'Données projet'!$E$15+1,1))-AVERAGE(OFFSET($H$3,0,0,'Données projet'!$E$15+1,1))</f>
        <v>244.01698421598974</v>
      </c>
      <c r="EP160" s="62">
        <f t="shared" si="154"/>
        <v>156.96653202915024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0.10633799257888697</v>
      </c>
      <c r="EX160" s="23">
        <f>EXP(-LN(2)/2)*EX159+(1-EXP(-LN(2)/2))/(LN(2)/2)*ER160*EU160*VLOOKUP('Données projet'!$B$15,Paramètres!$A$1:$I$89,3,0)*0.475*44/12</f>
        <v>7.6344953631273341E-19</v>
      </c>
      <c r="EY160" s="24">
        <f t="shared" si="181"/>
        <v>0.10633799257888697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-5.6843418860808015E-14</v>
      </c>
      <c r="FF160" s="18">
        <f>FE160*VLOOKUP('Données projet'!$B$16,Paramètres!$A$1:$I$89,3,0)*VLOOKUP('Données projet'!$B$16,Paramètres!$A$1:$I$89,5,0)</f>
        <v>-4.9658410716801891E-14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175.08726167127026</v>
      </c>
      <c r="FK160" s="62">
        <f t="shared" si="156"/>
        <v>196.05343924817117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8.5265128291212022E-14</v>
      </c>
      <c r="GA160" s="18">
        <f>FZ160*VLOOKUP('Données projet'!$B$17,Paramètres!$A$1:$I$89,3,0)*VLOOKUP('Données projet'!$B$17,Paramètres!$A$1:$I$89,5,0)</f>
        <v>5.5865712056402117E-14</v>
      </c>
      <c r="GB160" s="14">
        <f t="shared" si="185"/>
        <v>8.9811031843713517E-13</v>
      </c>
      <c r="GC160" s="22">
        <f t="shared" si="186"/>
        <v>1.6615082531095774E-12</v>
      </c>
      <c r="GD160" s="62">
        <f t="shared" si="134"/>
        <v>293.33333333333496</v>
      </c>
      <c r="GE160" s="62">
        <f ca="1">AVERAGE(OFFSET($GD$3,0,0,'Données projet'!$E$17+1,1))-AVERAGE(OFFSET($H$3,0,0,'Données projet'!$E$17+1,1))</f>
        <v>142.93037460866543</v>
      </c>
      <c r="GF160" s="62">
        <f t="shared" si="158"/>
        <v>146.18554498808049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5.6843418860808015E-14</v>
      </c>
      <c r="GV160" s="18">
        <f>GU160*VLOOKUP('Données projet'!$B$18,Paramètres!$A$1:$I$89,3,0)*VLOOKUP('Données projet'!$B$18,Paramètres!$A$1:$I$89,5,0)</f>
        <v>4.8771653382573282E-14</v>
      </c>
      <c r="GW160" s="14">
        <f t="shared" si="188"/>
        <v>7.9655698259503351E-13</v>
      </c>
      <c r="GX160" s="22">
        <f t="shared" si="189"/>
        <v>1.4722807076609983E-12</v>
      </c>
      <c r="GY160" s="62">
        <f t="shared" si="137"/>
        <v>293.33333333333479</v>
      </c>
      <c r="GZ160" s="62">
        <f ca="1">AVERAGE(OFFSET($GY$3,0,0,'Données projet'!$E$18+1,1))-AVERAGE(OFFSET($H$3,0,0,'Données projet'!$E$18+1,1))</f>
        <v>188.08607733149256</v>
      </c>
      <c r="HA160" s="62">
        <f t="shared" si="160"/>
        <v>119.95698016603842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47.24199999999994</v>
      </c>
      <c r="D161" s="12">
        <f t="shared" si="140"/>
        <v>13.899159186428221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471.9668428426034</v>
      </c>
      <c r="H161" s="70">
        <f t="shared" si="110"/>
        <v>363.15418558302906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6.1186256061773749E-14</v>
      </c>
      <c r="P161" s="14">
        <f t="shared" si="141"/>
        <v>9.7328366192051127E-13</v>
      </c>
      <c r="Q161" s="22">
        <f t="shared" si="162"/>
        <v>1.8017017738191463E-12</v>
      </c>
      <c r="R161" s="62">
        <f t="shared" si="109"/>
        <v>293.33333333333513</v>
      </c>
      <c r="S161" s="62">
        <f ca="1">AVERAGE(OFFSET($R$3,0,0,'Données projet'!$E$9+1,1))-AVERAGE(OFFSET($H$3,0,0,'Données projet'!$E$9+1,1))</f>
        <v>236.98575892380046</v>
      </c>
      <c r="T161" s="62">
        <f t="shared" si="142"/>
        <v>145.77678223659774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140.04898296125504</v>
      </c>
      <c r="AO161" s="62">
        <f t="shared" si="144"/>
        <v>129.5395511270716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-6.2527760746888816E-13</v>
      </c>
      <c r="BE161" s="14">
        <f>BD161*VLOOKUP('Données projet'!$B$11,Paramètres!$A$1:$I$89,3,0)*VLOOKUP('Données projet'!$B$11,Paramètres!$A$1:$I$89,5,0)</f>
        <v>-2.9262992029543964E-13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207.84100251878419</v>
      </c>
      <c r="BJ161" s="62">
        <f t="shared" si="146"/>
        <v>124.34917784241952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-2.9558577807620169E-14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211.05980622218578</v>
      </c>
      <c r="CE161" s="62">
        <f t="shared" si="148"/>
        <v>168.57746894604855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191.79777926975839</v>
      </c>
      <c r="CZ161" s="62">
        <f t="shared" si="150"/>
        <v>156.66161375678712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4.0679999999999987</v>
      </c>
      <c r="DO161" s="13">
        <f>IF('Données projet'!$A$166&gt;35,DO160+DN161-DW160,IF(A161&lt;'Données projet'!$A$166,$DL$205^A161,IF(A161='Données projet'!$A$166,'Données projet'!$B$166,DO160+DN161-DW160)))</f>
        <v>428.13399999999956</v>
      </c>
      <c r="DP161" s="18">
        <f>DO161*VLOOKUP('Données projet'!$B$14,Paramètres!$A$1:$I$89,3,0)*VLOOKUP('Données projet'!$B$14,Paramètres!$A$1:$I$89,5,0)</f>
        <v>467.5223279999995</v>
      </c>
      <c r="DQ161" s="14">
        <f t="shared" si="176"/>
        <v>105.33905727313132</v>
      </c>
      <c r="DR161" s="22">
        <f t="shared" si="177"/>
        <v>997.73357935070283</v>
      </c>
      <c r="DS161" s="62">
        <f t="shared" si="125"/>
        <v>1291.0669126840362</v>
      </c>
      <c r="DT161" s="62">
        <f ca="1">AVERAGE(OFFSET($DS$3,0,0,'Données projet'!$E$14+1,1))-AVERAGE(OFFSET($H$3,0,0,'Données projet'!$E$14+1,1))</f>
        <v>541.0854688453461</v>
      </c>
      <c r="DU161" s="62">
        <f t="shared" si="152"/>
        <v>171.04847168584473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5.1159076974727213E-13</v>
      </c>
      <c r="EK161" s="18">
        <f>EJ161*VLOOKUP('Données projet'!$B$15,Paramètres!$A$1:$I$89,3,0)*VLOOKUP('Données projet'!$B$15,Paramètres!$A$1:$I$89,5,0)</f>
        <v>3.0593128030886877E-13</v>
      </c>
      <c r="EL161" s="14">
        <f t="shared" si="179"/>
        <v>4.0350537939347394E-12</v>
      </c>
      <c r="EM161" s="22">
        <f t="shared" si="180"/>
        <v>7.5605490043076185E-12</v>
      </c>
      <c r="EN161" s="62">
        <f t="shared" si="128"/>
        <v>293.33333333334087</v>
      </c>
      <c r="EO161" s="62">
        <f ca="1">AVERAGE(OFFSET($EN$3,0,0,'Données projet'!$E$15+1,1))-AVERAGE(OFFSET($H$3,0,0,'Données projet'!$E$15+1,1))</f>
        <v>244.01698421598974</v>
      </c>
      <c r="EP161" s="62">
        <f t="shared" si="154"/>
        <v>156.96653202915024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0.10343017457974532</v>
      </c>
      <c r="EX161" s="23">
        <f>EXP(-LN(2)/2)*EX160+(1-EXP(-LN(2)/2))/(LN(2)/2)*ER161*EU161*VLOOKUP('Données projet'!$B$15,Paramètres!$A$1:$I$89,3,0)*0.475*44/12</f>
        <v>5.3984034422045914E-19</v>
      </c>
      <c r="EY161" s="24">
        <f t="shared" si="181"/>
        <v>0.10343017457974532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-5.6843418860808015E-14</v>
      </c>
      <c r="FF161" s="18">
        <f>FE161*VLOOKUP('Données projet'!$B$16,Paramètres!$A$1:$I$89,3,0)*VLOOKUP('Données projet'!$B$16,Paramètres!$A$1:$I$89,5,0)</f>
        <v>-4.9658410716801891E-14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175.08726167127026</v>
      </c>
      <c r="FK161" s="62">
        <f t="shared" si="156"/>
        <v>196.05343924817117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8.5265128291212022E-14</v>
      </c>
      <c r="GA161" s="18">
        <f>FZ161*VLOOKUP('Données projet'!$B$17,Paramètres!$A$1:$I$89,3,0)*VLOOKUP('Données projet'!$B$17,Paramètres!$A$1:$I$89,5,0)</f>
        <v>5.5865712056402117E-14</v>
      </c>
      <c r="GB161" s="14">
        <f t="shared" si="185"/>
        <v>8.9811031843713517E-13</v>
      </c>
      <c r="GC161" s="22">
        <f t="shared" si="186"/>
        <v>1.6615082531095774E-12</v>
      </c>
      <c r="GD161" s="62">
        <f t="shared" si="134"/>
        <v>293.33333333333496</v>
      </c>
      <c r="GE161" s="62">
        <f ca="1">AVERAGE(OFFSET($GD$3,0,0,'Données projet'!$E$17+1,1))-AVERAGE(OFFSET($H$3,0,0,'Données projet'!$E$17+1,1))</f>
        <v>142.93037460866543</v>
      </c>
      <c r="GF161" s="62">
        <f t="shared" si="158"/>
        <v>146.18554498808049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5.6843418860808015E-14</v>
      </c>
      <c r="GV161" s="18">
        <f>GU161*VLOOKUP('Données projet'!$B$18,Paramètres!$A$1:$I$89,3,0)*VLOOKUP('Données projet'!$B$18,Paramètres!$A$1:$I$89,5,0)</f>
        <v>4.8771653382573282E-14</v>
      </c>
      <c r="GW161" s="14">
        <f t="shared" si="188"/>
        <v>7.9655698259503351E-13</v>
      </c>
      <c r="GX161" s="22">
        <f t="shared" si="189"/>
        <v>1.4722807076609983E-12</v>
      </c>
      <c r="GY161" s="62">
        <f t="shared" si="137"/>
        <v>293.33333333333479</v>
      </c>
      <c r="GZ161" s="62">
        <f ca="1">AVERAGE(OFFSET($GY$3,0,0,'Données projet'!$E$18+1,1))-AVERAGE(OFFSET($H$3,0,0,'Données projet'!$E$18+1,1))</f>
        <v>188.08607733149256</v>
      </c>
      <c r="HA161" s="62">
        <f t="shared" si="160"/>
        <v>119.95698016603842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47.54099999999994</v>
      </c>
      <c r="D162" s="12">
        <f t="shared" si="140"/>
        <v>13.976860349759619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474.87471147182822</v>
      </c>
      <c r="H162" s="70">
        <f t="shared" si="110"/>
        <v>363.81027344249793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6.1186256061773749E-14</v>
      </c>
      <c r="P162" s="14">
        <f t="shared" si="141"/>
        <v>9.7328366192051127E-13</v>
      </c>
      <c r="Q162" s="22">
        <f t="shared" si="162"/>
        <v>1.8017017738191463E-12</v>
      </c>
      <c r="R162" s="62">
        <f t="shared" si="109"/>
        <v>293.33333333333513</v>
      </c>
      <c r="S162" s="62">
        <f ca="1">AVERAGE(OFFSET($R$3,0,0,'Données projet'!$E$9+1,1))-AVERAGE(OFFSET($H$3,0,0,'Données projet'!$E$9+1,1))</f>
        <v>236.98575892380046</v>
      </c>
      <c r="T162" s="62">
        <f t="shared" si="142"/>
        <v>145.77678223659774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140.04898296125504</v>
      </c>
      <c r="AO162" s="62">
        <f t="shared" si="144"/>
        <v>129.5395511270716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-6.2527760746888816E-13</v>
      </c>
      <c r="BE162" s="14">
        <f>BD162*VLOOKUP('Données projet'!$B$11,Paramètres!$A$1:$I$89,3,0)*VLOOKUP('Données projet'!$B$11,Paramètres!$A$1:$I$89,5,0)</f>
        <v>-2.9262992029543964E-13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207.84100251878419</v>
      </c>
      <c r="BJ162" s="62">
        <f t="shared" si="146"/>
        <v>124.34917784241952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-2.9558577807620169E-14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211.05980622218578</v>
      </c>
      <c r="CE162" s="62">
        <f t="shared" si="148"/>
        <v>168.57746894604855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191.79777926975839</v>
      </c>
      <c r="CZ162" s="62">
        <f t="shared" si="150"/>
        <v>156.66161375678712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4.0679999999999987</v>
      </c>
      <c r="DO162" s="13">
        <f>IF('Données projet'!$A$166&gt;35,DO161+DN162-DW161,IF(A162&lt;'Données projet'!$A$166,$DL$205^A162,IF(A162='Données projet'!$A$166,'Données projet'!$B$166,DO161+DN162-DW161)))</f>
        <v>432.20199999999954</v>
      </c>
      <c r="DP162" s="18">
        <f>DO162*VLOOKUP('Données projet'!$B$14,Paramètres!$A$1:$I$89,3,0)*VLOOKUP('Données projet'!$B$14,Paramètres!$A$1:$I$89,5,0)</f>
        <v>471.96458399999949</v>
      </c>
      <c r="DQ162" s="14">
        <f t="shared" si="176"/>
        <v>106.22296509079933</v>
      </c>
      <c r="DR162" s="22">
        <f t="shared" si="177"/>
        <v>1007.0099813331412</v>
      </c>
      <c r="DS162" s="62">
        <f t="shared" si="125"/>
        <v>1300.3433146664745</v>
      </c>
      <c r="DT162" s="62">
        <f ca="1">AVERAGE(OFFSET($DS$3,0,0,'Données projet'!$E$14+1,1))-AVERAGE(OFFSET($H$3,0,0,'Données projet'!$E$14+1,1))</f>
        <v>541.0854688453461</v>
      </c>
      <c r="DU162" s="62">
        <f t="shared" si="152"/>
        <v>171.04847168584473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5.1159076974727213E-13</v>
      </c>
      <c r="EK162" s="18">
        <f>EJ162*VLOOKUP('Données projet'!$B$15,Paramètres!$A$1:$I$89,3,0)*VLOOKUP('Données projet'!$B$15,Paramètres!$A$1:$I$89,5,0)</f>
        <v>3.0593128030886877E-13</v>
      </c>
      <c r="EL162" s="14">
        <f t="shared" si="179"/>
        <v>4.0350537939347394E-12</v>
      </c>
      <c r="EM162" s="22">
        <f t="shared" si="180"/>
        <v>7.5605490043076185E-12</v>
      </c>
      <c r="EN162" s="62">
        <f t="shared" si="128"/>
        <v>293.33333333334087</v>
      </c>
      <c r="EO162" s="62">
        <f ca="1">AVERAGE(OFFSET($EN$3,0,0,'Données projet'!$E$15+1,1))-AVERAGE(OFFSET($H$3,0,0,'Données projet'!$E$15+1,1))</f>
        <v>244.01698421598974</v>
      </c>
      <c r="EP162" s="62">
        <f t="shared" si="154"/>
        <v>156.96653202915024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0.1006018710167057</v>
      </c>
      <c r="EX162" s="23">
        <f>EXP(-LN(2)/2)*EX161+(1-EXP(-LN(2)/2))/(LN(2)/2)*ER162*EU162*VLOOKUP('Données projet'!$B$15,Paramètres!$A$1:$I$89,3,0)*0.475*44/12</f>
        <v>3.8172476815636671E-19</v>
      </c>
      <c r="EY162" s="24">
        <f t="shared" si="181"/>
        <v>0.1006018710167057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-5.6843418860808015E-14</v>
      </c>
      <c r="FF162" s="18">
        <f>FE162*VLOOKUP('Données projet'!$B$16,Paramètres!$A$1:$I$89,3,0)*VLOOKUP('Données projet'!$B$16,Paramètres!$A$1:$I$89,5,0)</f>
        <v>-4.9658410716801891E-14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175.08726167127026</v>
      </c>
      <c r="FK162" s="62">
        <f t="shared" si="156"/>
        <v>196.05343924817117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8.5265128291212022E-14</v>
      </c>
      <c r="GA162" s="18">
        <f>FZ162*VLOOKUP('Données projet'!$B$17,Paramètres!$A$1:$I$89,3,0)*VLOOKUP('Données projet'!$B$17,Paramètres!$A$1:$I$89,5,0)</f>
        <v>5.5865712056402117E-14</v>
      </c>
      <c r="GB162" s="14">
        <f t="shared" si="185"/>
        <v>8.9811031843713517E-13</v>
      </c>
      <c r="GC162" s="22">
        <f t="shared" si="186"/>
        <v>1.6615082531095774E-12</v>
      </c>
      <c r="GD162" s="62">
        <f t="shared" si="134"/>
        <v>293.33333333333496</v>
      </c>
      <c r="GE162" s="62">
        <f ca="1">AVERAGE(OFFSET($GD$3,0,0,'Données projet'!$E$17+1,1))-AVERAGE(OFFSET($H$3,0,0,'Données projet'!$E$17+1,1))</f>
        <v>142.93037460866543</v>
      </c>
      <c r="GF162" s="62">
        <f t="shared" si="158"/>
        <v>146.18554498808049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5.6843418860808015E-14</v>
      </c>
      <c r="GV162" s="18">
        <f>GU162*VLOOKUP('Données projet'!$B$18,Paramètres!$A$1:$I$89,3,0)*VLOOKUP('Données projet'!$B$18,Paramètres!$A$1:$I$89,5,0)</f>
        <v>4.8771653382573282E-14</v>
      </c>
      <c r="GW162" s="14">
        <f t="shared" si="188"/>
        <v>7.9655698259503351E-13</v>
      </c>
      <c r="GX162" s="22">
        <f t="shared" si="189"/>
        <v>1.4722807076609983E-12</v>
      </c>
      <c r="GY162" s="62">
        <f t="shared" si="137"/>
        <v>293.33333333333479</v>
      </c>
      <c r="GZ162" s="62">
        <f ca="1">AVERAGE(OFFSET($GY$3,0,0,'Données projet'!$E$18+1,1))-AVERAGE(OFFSET($H$3,0,0,'Données projet'!$E$18+1,1))</f>
        <v>188.08607733149256</v>
      </c>
      <c r="HA162" s="62">
        <f t="shared" si="160"/>
        <v>119.95698016603842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47.839999999999939</v>
      </c>
      <c r="D163" s="12">
        <f t="shared" si="140"/>
        <v>14.054504650394954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477.78214116094313</v>
      </c>
      <c r="H163" s="70">
        <f t="shared" si="110"/>
        <v>364.46626226610442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6.1186256061773749E-14</v>
      </c>
      <c r="P163" s="14">
        <f t="shared" si="141"/>
        <v>9.7328366192051127E-13</v>
      </c>
      <c r="Q163" s="22">
        <f t="shared" si="162"/>
        <v>1.8017017738191463E-12</v>
      </c>
      <c r="R163" s="62">
        <f t="shared" si="109"/>
        <v>293.33333333333513</v>
      </c>
      <c r="S163" s="62">
        <f ca="1">AVERAGE(OFFSET($R$3,0,0,'Données projet'!$E$9+1,1))-AVERAGE(OFFSET($H$3,0,0,'Données projet'!$E$9+1,1))</f>
        <v>236.98575892380046</v>
      </c>
      <c r="T163" s="62">
        <f t="shared" si="142"/>
        <v>145.77678223659774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140.04898296125504</v>
      </c>
      <c r="AO163" s="62">
        <f t="shared" si="144"/>
        <v>129.5395511270716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-6.2527760746888816E-13</v>
      </c>
      <c r="BE163" s="14">
        <f>BD163*VLOOKUP('Données projet'!$B$11,Paramètres!$A$1:$I$89,3,0)*VLOOKUP('Données projet'!$B$11,Paramètres!$A$1:$I$89,5,0)</f>
        <v>-2.9262992029543964E-13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207.84100251878419</v>
      </c>
      <c r="BJ163" s="62">
        <f t="shared" si="146"/>
        <v>124.34917784241952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-2.9558577807620169E-14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211.05980622218578</v>
      </c>
      <c r="CE163" s="62">
        <f t="shared" si="148"/>
        <v>168.57746894604855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191.79777926975839</v>
      </c>
      <c r="CZ163" s="62">
        <f t="shared" si="150"/>
        <v>156.66161375678712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>
        <f>VLOOKUP(A163,'Données projet'!$A$165:$I$185,2,0)</f>
        <v>436.27</v>
      </c>
      <c r="DM163" s="13">
        <f>VLOOKUP(A163,'Données projet'!$A$165:$I$185,9,0)</f>
        <v>4.0679999999999987</v>
      </c>
      <c r="DN163" s="13">
        <f t="array" ref="DN163">INDEX(DM:DM,MIN(IF(ISNUMBER(DM163:DM359),ROW(DM163:DM359),"")))</f>
        <v>4.0679999999999987</v>
      </c>
      <c r="DO163" s="13">
        <f>IF('Données projet'!$A$166&gt;35,DO162+DN163-DW162,IF(A163&lt;'Données projet'!$A$166,$DL$205^A163,IF(A163='Données projet'!$A$166,'Données projet'!$B$166,DO162+DN163-DW162)))</f>
        <v>436.26999999999953</v>
      </c>
      <c r="DP163" s="18">
        <f>DO163*VLOOKUP('Données projet'!$B$14,Paramètres!$A$1:$I$89,3,0)*VLOOKUP('Données projet'!$B$14,Paramètres!$A$1:$I$89,5,0)</f>
        <v>476.40683999999948</v>
      </c>
      <c r="DQ163" s="14">
        <f t="shared" si="176"/>
        <v>107.10590502509885</v>
      </c>
      <c r="DR163" s="22">
        <f t="shared" si="177"/>
        <v>1016.2846975853796</v>
      </c>
      <c r="DS163" s="62">
        <f t="shared" si="125"/>
        <v>1309.618030918713</v>
      </c>
      <c r="DT163" s="62">
        <f ca="1">AVERAGE(OFFSET($DS$3,0,0,'Données projet'!$E$14+1,1))-AVERAGE(OFFSET($H$3,0,0,'Données projet'!$E$14+1,1))</f>
        <v>541.0854688453461</v>
      </c>
      <c r="DU163" s="62">
        <f t="shared" si="152"/>
        <v>171.04847168584473</v>
      </c>
      <c r="DV163" s="16">
        <f>IF(ISNA(VLOOKUP(A163,'Données projet'!$A$165:$I$185,3,0)),0,VLOOKUP(A163,'Données projet'!$A$165:$I$185,3,0))</f>
        <v>7</v>
      </c>
      <c r="DW163" s="16">
        <f>IF(ISNA(VLOOKUP(A163,'Données projet'!$A$165:$I$185,4,0)),0,VLOOKUP(A163,'Données projet'!$A$165:$I$185,4,0))</f>
        <v>58.34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5.1159076974727213E-13</v>
      </c>
      <c r="EK163" s="18">
        <f>EJ163*VLOOKUP('Données projet'!$B$15,Paramètres!$A$1:$I$89,3,0)*VLOOKUP('Données projet'!$B$15,Paramètres!$A$1:$I$89,5,0)</f>
        <v>3.0593128030886877E-13</v>
      </c>
      <c r="EL163" s="14">
        <f t="shared" si="179"/>
        <v>4.0350537939347394E-12</v>
      </c>
      <c r="EM163" s="22">
        <f t="shared" si="180"/>
        <v>7.5605490043076185E-12</v>
      </c>
      <c r="EN163" s="62">
        <f t="shared" si="128"/>
        <v>293.33333333334087</v>
      </c>
      <c r="EO163" s="62">
        <f ca="1">AVERAGE(OFFSET($EN$3,0,0,'Données projet'!$E$15+1,1))-AVERAGE(OFFSET($H$3,0,0,'Données projet'!$E$15+1,1))</f>
        <v>244.01698421598974</v>
      </c>
      <c r="EP163" s="62">
        <f t="shared" si="154"/>
        <v>156.96653202915024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9.785090756333141E-2</v>
      </c>
      <c r="EX163" s="23">
        <f>EXP(-LN(2)/2)*EX162+(1-EXP(-LN(2)/2))/(LN(2)/2)*ER163*EU163*VLOOKUP('Données projet'!$B$15,Paramètres!$A$1:$I$89,3,0)*0.475*44/12</f>
        <v>2.6992017211022957E-19</v>
      </c>
      <c r="EY163" s="24">
        <f t="shared" si="181"/>
        <v>9.785090756333141E-2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-5.6843418860808015E-14</v>
      </c>
      <c r="FF163" s="18">
        <f>FE163*VLOOKUP('Données projet'!$B$16,Paramètres!$A$1:$I$89,3,0)*VLOOKUP('Données projet'!$B$16,Paramètres!$A$1:$I$89,5,0)</f>
        <v>-4.9658410716801891E-14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175.08726167127026</v>
      </c>
      <c r="FK163" s="62">
        <f t="shared" si="156"/>
        <v>196.05343924817117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8.5265128291212022E-14</v>
      </c>
      <c r="GA163" s="18">
        <f>FZ163*VLOOKUP('Données projet'!$B$17,Paramètres!$A$1:$I$89,3,0)*VLOOKUP('Données projet'!$B$17,Paramètres!$A$1:$I$89,5,0)</f>
        <v>5.5865712056402117E-14</v>
      </c>
      <c r="GB163" s="14">
        <f t="shared" si="185"/>
        <v>8.9811031843713517E-13</v>
      </c>
      <c r="GC163" s="22">
        <f t="shared" si="186"/>
        <v>1.6615082531095774E-12</v>
      </c>
      <c r="GD163" s="62">
        <f t="shared" si="134"/>
        <v>293.33333333333496</v>
      </c>
      <c r="GE163" s="62">
        <f ca="1">AVERAGE(OFFSET($GD$3,0,0,'Données projet'!$E$17+1,1))-AVERAGE(OFFSET($H$3,0,0,'Données projet'!$E$17+1,1))</f>
        <v>142.93037460866543</v>
      </c>
      <c r="GF163" s="62">
        <f t="shared" si="158"/>
        <v>146.18554498808049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5.6843418860808015E-14</v>
      </c>
      <c r="GV163" s="18">
        <f>GU163*VLOOKUP('Données projet'!$B$18,Paramètres!$A$1:$I$89,3,0)*VLOOKUP('Données projet'!$B$18,Paramètres!$A$1:$I$89,5,0)</f>
        <v>4.8771653382573282E-14</v>
      </c>
      <c r="GW163" s="14">
        <f t="shared" si="188"/>
        <v>7.9655698259503351E-13</v>
      </c>
      <c r="GX163" s="22">
        <f t="shared" si="189"/>
        <v>1.4722807076609983E-12</v>
      </c>
      <c r="GY163" s="62">
        <f t="shared" si="137"/>
        <v>293.33333333333479</v>
      </c>
      <c r="GZ163" s="62">
        <f ca="1">AVERAGE(OFFSET($GY$3,0,0,'Données projet'!$E$18+1,1))-AVERAGE(OFFSET($H$3,0,0,'Données projet'!$E$18+1,1))</f>
        <v>188.08607733149256</v>
      </c>
      <c r="HA163" s="62">
        <f t="shared" si="160"/>
        <v>119.95698016603842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48.138999999999939</v>
      </c>
      <c r="D164" s="12">
        <f t="shared" si="140"/>
        <v>14.13209248495459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480.68913497157882</v>
      </c>
      <c r="H164" s="70">
        <f t="shared" si="110"/>
        <v>365.12215274462915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6.1186256061773749E-14</v>
      </c>
      <c r="P164" s="14">
        <f t="shared" si="141"/>
        <v>9.7328366192051127E-13</v>
      </c>
      <c r="Q164" s="22">
        <f t="shared" si="162"/>
        <v>1.8017017738191463E-12</v>
      </c>
      <c r="R164" s="62">
        <f t="shared" si="109"/>
        <v>293.33333333333513</v>
      </c>
      <c r="S164" s="62">
        <f ca="1">AVERAGE(OFFSET($R$3,0,0,'Données projet'!$E$9+1,1))-AVERAGE(OFFSET($H$3,0,0,'Données projet'!$E$9+1,1))</f>
        <v>236.98575892380046</v>
      </c>
      <c r="T164" s="62">
        <f t="shared" si="142"/>
        <v>145.77678223659774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140.04898296125504</v>
      </c>
      <c r="AO164" s="62">
        <f t="shared" si="144"/>
        <v>129.5395511270716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-6.2527760746888816E-13</v>
      </c>
      <c r="BE164" s="14">
        <f>BD164*VLOOKUP('Données projet'!$B$11,Paramètres!$A$1:$I$89,3,0)*VLOOKUP('Données projet'!$B$11,Paramètres!$A$1:$I$89,5,0)</f>
        <v>-2.9262992029543964E-13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207.84100251878419</v>
      </c>
      <c r="BJ164" s="62">
        <f t="shared" si="146"/>
        <v>124.34917784241952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-2.9558577807620169E-14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211.05980622218578</v>
      </c>
      <c r="CE164" s="62">
        <f t="shared" si="148"/>
        <v>168.57746894604855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191.79777926975839</v>
      </c>
      <c r="CZ164" s="62">
        <f t="shared" si="150"/>
        <v>156.66161375678712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3.3112500000000011</v>
      </c>
      <c r="DO164" s="13">
        <f>IF('Données projet'!$A$166&gt;35,DO163+DN164-DW163,IF(A164&lt;'Données projet'!$A$166,$DL$205^A164,IF(A164='Données projet'!$A$166,'Données projet'!$B$166,DO163+DN164-DW163)))</f>
        <v>381.24124999999947</v>
      </c>
      <c r="DP164" s="18">
        <f>DO164*VLOOKUP('Données projet'!$B$14,Paramètres!$A$1:$I$89,3,0)*VLOOKUP('Données projet'!$B$14,Paramètres!$A$1:$I$89,5,0)</f>
        <v>416.31544499999939</v>
      </c>
      <c r="DQ164" s="14">
        <f t="shared" si="176"/>
        <v>95.076635832935935</v>
      </c>
      <c r="DR164" s="22">
        <f t="shared" si="177"/>
        <v>890.67454078402898</v>
      </c>
      <c r="DS164" s="62">
        <f t="shared" si="125"/>
        <v>1184.0078741173622</v>
      </c>
      <c r="DT164" s="62">
        <f ca="1">AVERAGE(OFFSET($DS$3,0,0,'Données projet'!$E$14+1,1))-AVERAGE(OFFSET($H$3,0,0,'Données projet'!$E$14+1,1))</f>
        <v>541.0854688453461</v>
      </c>
      <c r="DU164" s="62">
        <f t="shared" si="152"/>
        <v>171.04847168584473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5.1159076974727213E-13</v>
      </c>
      <c r="EK164" s="18">
        <f>EJ164*VLOOKUP('Données projet'!$B$15,Paramètres!$A$1:$I$89,3,0)*VLOOKUP('Données projet'!$B$15,Paramètres!$A$1:$I$89,5,0)</f>
        <v>3.0593128030886877E-13</v>
      </c>
      <c r="EL164" s="14">
        <f t="shared" si="179"/>
        <v>4.0350537939347394E-12</v>
      </c>
      <c r="EM164" s="22">
        <f t="shared" si="180"/>
        <v>7.5605490043076185E-12</v>
      </c>
      <c r="EN164" s="62">
        <f t="shared" si="128"/>
        <v>293.33333333334087</v>
      </c>
      <c r="EO164" s="62">
        <f ca="1">AVERAGE(OFFSET($EN$3,0,0,'Données projet'!$E$15+1,1))-AVERAGE(OFFSET($H$3,0,0,'Données projet'!$E$15+1,1))</f>
        <v>244.01698421598974</v>
      </c>
      <c r="EP164" s="62">
        <f t="shared" si="154"/>
        <v>156.96653202915024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9.5175169350256522E-2</v>
      </c>
      <c r="EX164" s="23">
        <f>EXP(-LN(2)/2)*EX163+(1-EXP(-LN(2)/2))/(LN(2)/2)*ER164*EU164*VLOOKUP('Données projet'!$B$15,Paramètres!$A$1:$I$89,3,0)*0.475*44/12</f>
        <v>1.9086238407818335E-19</v>
      </c>
      <c r="EY164" s="24">
        <f t="shared" si="181"/>
        <v>9.5175169350256522E-2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-5.6843418860808015E-14</v>
      </c>
      <c r="FF164" s="18">
        <f>FE164*VLOOKUP('Données projet'!$B$16,Paramètres!$A$1:$I$89,3,0)*VLOOKUP('Données projet'!$B$16,Paramètres!$A$1:$I$89,5,0)</f>
        <v>-4.9658410716801891E-14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175.08726167127026</v>
      </c>
      <c r="FK164" s="62">
        <f t="shared" si="156"/>
        <v>196.05343924817117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8.5265128291212022E-14</v>
      </c>
      <c r="GA164" s="18">
        <f>FZ164*VLOOKUP('Données projet'!$B$17,Paramètres!$A$1:$I$89,3,0)*VLOOKUP('Données projet'!$B$17,Paramètres!$A$1:$I$89,5,0)</f>
        <v>5.5865712056402117E-14</v>
      </c>
      <c r="GB164" s="14">
        <f t="shared" si="185"/>
        <v>8.9811031843713517E-13</v>
      </c>
      <c r="GC164" s="22">
        <f t="shared" si="186"/>
        <v>1.6615082531095774E-12</v>
      </c>
      <c r="GD164" s="62">
        <f t="shared" si="134"/>
        <v>293.33333333333496</v>
      </c>
      <c r="GE164" s="62">
        <f ca="1">AVERAGE(OFFSET($GD$3,0,0,'Données projet'!$E$17+1,1))-AVERAGE(OFFSET($H$3,0,0,'Données projet'!$E$17+1,1))</f>
        <v>142.93037460866543</v>
      </c>
      <c r="GF164" s="62">
        <f t="shared" si="158"/>
        <v>146.18554498808049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5.6843418860808015E-14</v>
      </c>
      <c r="GV164" s="18">
        <f>GU164*VLOOKUP('Données projet'!$B$18,Paramètres!$A$1:$I$89,3,0)*VLOOKUP('Données projet'!$B$18,Paramètres!$A$1:$I$89,5,0)</f>
        <v>4.8771653382573282E-14</v>
      </c>
      <c r="GW164" s="14">
        <f t="shared" si="188"/>
        <v>7.9655698259503351E-13</v>
      </c>
      <c r="GX164" s="22">
        <f t="shared" si="189"/>
        <v>1.4722807076609983E-12</v>
      </c>
      <c r="GY164" s="62">
        <f t="shared" si="137"/>
        <v>293.33333333333479</v>
      </c>
      <c r="GZ164" s="62">
        <f ca="1">AVERAGE(OFFSET($GY$3,0,0,'Données projet'!$E$18+1,1))-AVERAGE(OFFSET($H$3,0,0,'Données projet'!$E$18+1,1))</f>
        <v>188.08607733149256</v>
      </c>
      <c r="HA164" s="62">
        <f t="shared" si="160"/>
        <v>119.95698016603842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48.437999999999938</v>
      </c>
      <c r="D165" s="12">
        <f t="shared" si="140"/>
        <v>14.209624244846959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483.59569592513395</v>
      </c>
      <c r="H165" s="70">
        <f t="shared" si="110"/>
        <v>365.77794555977499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6.1186256061773749E-14</v>
      </c>
      <c r="P165" s="14">
        <f t="shared" si="141"/>
        <v>9.7328366192051127E-13</v>
      </c>
      <c r="Q165" s="22">
        <f t="shared" si="162"/>
        <v>1.8017017738191463E-12</v>
      </c>
      <c r="R165" s="62">
        <f t="shared" si="109"/>
        <v>293.33333333333513</v>
      </c>
      <c r="S165" s="62">
        <f ca="1">AVERAGE(OFFSET($R$3,0,0,'Données projet'!$E$9+1,1))-AVERAGE(OFFSET($H$3,0,0,'Données projet'!$E$9+1,1))</f>
        <v>236.98575892380046</v>
      </c>
      <c r="T165" s="62">
        <f t="shared" si="142"/>
        <v>145.77678223659774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140.04898296125504</v>
      </c>
      <c r="AO165" s="62">
        <f t="shared" si="144"/>
        <v>129.5395511270716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-6.2527760746888816E-13</v>
      </c>
      <c r="BE165" s="14">
        <f>BD165*VLOOKUP('Données projet'!$B$11,Paramètres!$A$1:$I$89,3,0)*VLOOKUP('Données projet'!$B$11,Paramètres!$A$1:$I$89,5,0)</f>
        <v>-2.9262992029543964E-13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207.84100251878419</v>
      </c>
      <c r="BJ165" s="62">
        <f t="shared" si="146"/>
        <v>124.34917784241952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-2.9558577807620169E-14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211.05980622218578</v>
      </c>
      <c r="CE165" s="62">
        <f t="shared" si="148"/>
        <v>168.57746894604855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191.79777926975839</v>
      </c>
      <c r="CZ165" s="62">
        <f t="shared" si="150"/>
        <v>156.66161375678712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3.3112500000000011</v>
      </c>
      <c r="DO165" s="13">
        <f>IF('Données projet'!$A$166&gt;35,DO164+DN165-DW164,IF(A165&lt;'Données projet'!$A$166,$DL$205^A165,IF(A165='Données projet'!$A$166,'Données projet'!$B$166,DO164+DN165-DW164)))</f>
        <v>384.55249999999944</v>
      </c>
      <c r="DP165" s="18">
        <f>DO165*VLOOKUP('Données projet'!$B$14,Paramètres!$A$1:$I$89,3,0)*VLOOKUP('Données projet'!$B$14,Paramètres!$A$1:$I$89,5,0)</f>
        <v>419.93132999999932</v>
      </c>
      <c r="DQ165" s="14">
        <f t="shared" si="176"/>
        <v>95.805929963669669</v>
      </c>
      <c r="DR165" s="22">
        <f t="shared" si="177"/>
        <v>898.24239443672332</v>
      </c>
      <c r="DS165" s="62">
        <f t="shared" si="125"/>
        <v>1191.5757277700566</v>
      </c>
      <c r="DT165" s="62">
        <f ca="1">AVERAGE(OFFSET($DS$3,0,0,'Données projet'!$E$14+1,1))-AVERAGE(OFFSET($H$3,0,0,'Données projet'!$E$14+1,1))</f>
        <v>541.0854688453461</v>
      </c>
      <c r="DU165" s="62">
        <f t="shared" si="152"/>
        <v>171.04847168584473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5.1159076974727213E-13</v>
      </c>
      <c r="EK165" s="18">
        <f>EJ165*VLOOKUP('Données projet'!$B$15,Paramètres!$A$1:$I$89,3,0)*VLOOKUP('Données projet'!$B$15,Paramètres!$A$1:$I$89,5,0)</f>
        <v>3.0593128030886877E-13</v>
      </c>
      <c r="EL165" s="14">
        <f t="shared" si="179"/>
        <v>4.0350537939347394E-12</v>
      </c>
      <c r="EM165" s="22">
        <f t="shared" si="180"/>
        <v>7.5605490043076185E-12</v>
      </c>
      <c r="EN165" s="62">
        <f t="shared" si="128"/>
        <v>293.33333333334087</v>
      </c>
      <c r="EO165" s="62">
        <f ca="1">AVERAGE(OFFSET($EN$3,0,0,'Données projet'!$E$15+1,1))-AVERAGE(OFFSET($H$3,0,0,'Données projet'!$E$15+1,1))</f>
        <v>244.01698421598974</v>
      </c>
      <c r="EP165" s="62">
        <f t="shared" si="154"/>
        <v>156.96653202915024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9.2572599339329126E-2</v>
      </c>
      <c r="EX165" s="23">
        <f>EXP(-LN(2)/2)*EX164+(1-EXP(-LN(2)/2))/(LN(2)/2)*ER165*EU165*VLOOKUP('Données projet'!$B$15,Paramètres!$A$1:$I$89,3,0)*0.475*44/12</f>
        <v>1.3496008605511479E-19</v>
      </c>
      <c r="EY165" s="24">
        <f t="shared" si="181"/>
        <v>9.2572599339329126E-2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-5.6843418860808015E-14</v>
      </c>
      <c r="FF165" s="18">
        <f>FE165*VLOOKUP('Données projet'!$B$16,Paramètres!$A$1:$I$89,3,0)*VLOOKUP('Données projet'!$B$16,Paramètres!$A$1:$I$89,5,0)</f>
        <v>-4.9658410716801891E-14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175.08726167127026</v>
      </c>
      <c r="FK165" s="62">
        <f t="shared" si="156"/>
        <v>196.05343924817117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8.5265128291212022E-14</v>
      </c>
      <c r="GA165" s="18">
        <f>FZ165*VLOOKUP('Données projet'!$B$17,Paramètres!$A$1:$I$89,3,0)*VLOOKUP('Données projet'!$B$17,Paramètres!$A$1:$I$89,5,0)</f>
        <v>5.5865712056402117E-14</v>
      </c>
      <c r="GB165" s="14">
        <f t="shared" si="185"/>
        <v>8.9811031843713517E-13</v>
      </c>
      <c r="GC165" s="22">
        <f t="shared" si="186"/>
        <v>1.6615082531095774E-12</v>
      </c>
      <c r="GD165" s="62">
        <f t="shared" si="134"/>
        <v>293.33333333333496</v>
      </c>
      <c r="GE165" s="62">
        <f ca="1">AVERAGE(OFFSET($GD$3,0,0,'Données projet'!$E$17+1,1))-AVERAGE(OFFSET($H$3,0,0,'Données projet'!$E$17+1,1))</f>
        <v>142.93037460866543</v>
      </c>
      <c r="GF165" s="62">
        <f t="shared" si="158"/>
        <v>146.18554498808049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5.6843418860808015E-14</v>
      </c>
      <c r="GV165" s="18">
        <f>GU165*VLOOKUP('Données projet'!$B$18,Paramètres!$A$1:$I$89,3,0)*VLOOKUP('Données projet'!$B$18,Paramètres!$A$1:$I$89,5,0)</f>
        <v>4.8771653382573282E-14</v>
      </c>
      <c r="GW165" s="14">
        <f t="shared" si="188"/>
        <v>7.9655698259503351E-13</v>
      </c>
      <c r="GX165" s="22">
        <f t="shared" si="189"/>
        <v>1.4722807076609983E-12</v>
      </c>
      <c r="GY165" s="62">
        <f t="shared" si="137"/>
        <v>293.33333333333479</v>
      </c>
      <c r="GZ165" s="62">
        <f ca="1">AVERAGE(OFFSET($GY$3,0,0,'Données projet'!$E$18+1,1))-AVERAGE(OFFSET($H$3,0,0,'Données projet'!$E$18+1,1))</f>
        <v>188.08607733149256</v>
      </c>
      <c r="HA165" s="62">
        <f t="shared" si="160"/>
        <v>119.95698016603842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48.736999999999938</v>
      </c>
      <c r="D166" s="12">
        <f t="shared" si="140"/>
        <v>14.287100316368777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486.50182700354804</v>
      </c>
      <c r="H166" s="70">
        <f t="shared" si="110"/>
        <v>366.4336413843422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6.1186256061773749E-14</v>
      </c>
      <c r="P166" s="14">
        <f t="shared" si="141"/>
        <v>9.7328366192051127E-13</v>
      </c>
      <c r="Q166" s="22">
        <f t="shared" si="162"/>
        <v>1.8017017738191463E-12</v>
      </c>
      <c r="R166" s="62">
        <f t="shared" si="109"/>
        <v>293.33333333333513</v>
      </c>
      <c r="S166" s="62">
        <f ca="1">AVERAGE(OFFSET($R$3,0,0,'Données projet'!$E$9+1,1))-AVERAGE(OFFSET($H$3,0,0,'Données projet'!$E$9+1,1))</f>
        <v>236.98575892380046</v>
      </c>
      <c r="T166" s="62">
        <f t="shared" si="142"/>
        <v>145.77678223659774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140.04898296125504</v>
      </c>
      <c r="AO166" s="62">
        <f t="shared" si="144"/>
        <v>129.5395511270716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-6.2527760746888816E-13</v>
      </c>
      <c r="BE166" s="14">
        <f>BD166*VLOOKUP('Données projet'!$B$11,Paramètres!$A$1:$I$89,3,0)*VLOOKUP('Données projet'!$B$11,Paramètres!$A$1:$I$89,5,0)</f>
        <v>-2.9262992029543964E-13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207.84100251878419</v>
      </c>
      <c r="BJ166" s="62">
        <f t="shared" si="146"/>
        <v>124.34917784241952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-2.9558577807620169E-14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211.05980622218578</v>
      </c>
      <c r="CE166" s="62">
        <f t="shared" si="148"/>
        <v>168.57746894604855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191.79777926975839</v>
      </c>
      <c r="CZ166" s="62">
        <f t="shared" si="150"/>
        <v>156.66161375678712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3.3112500000000011</v>
      </c>
      <c r="DO166" s="13">
        <f>IF('Données projet'!$A$166&gt;35,DO165+DN166-DW165,IF(A166&lt;'Données projet'!$A$166,$DL$205^A166,IF(A166='Données projet'!$A$166,'Données projet'!$B$166,DO165+DN166-DW165)))</f>
        <v>387.86374999999941</v>
      </c>
      <c r="DP166" s="18">
        <f>DO166*VLOOKUP('Données projet'!$B$14,Paramètres!$A$1:$I$89,3,0)*VLOOKUP('Données projet'!$B$14,Paramètres!$A$1:$I$89,5,0)</f>
        <v>423.54721499999937</v>
      </c>
      <c r="DQ166" s="14">
        <f t="shared" si="176"/>
        <v>96.53449349370517</v>
      </c>
      <c r="DR166" s="22">
        <f t="shared" si="177"/>
        <v>905.80897562653547</v>
      </c>
      <c r="DS166" s="62">
        <f t="shared" si="125"/>
        <v>1199.1423089598688</v>
      </c>
      <c r="DT166" s="62">
        <f ca="1">AVERAGE(OFFSET($DS$3,0,0,'Données projet'!$E$14+1,1))-AVERAGE(OFFSET($H$3,0,0,'Données projet'!$E$14+1,1))</f>
        <v>541.0854688453461</v>
      </c>
      <c r="DU166" s="62">
        <f t="shared" si="152"/>
        <v>171.04847168584473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5.1159076974727213E-13</v>
      </c>
      <c r="EK166" s="18">
        <f>EJ166*VLOOKUP('Données projet'!$B$15,Paramètres!$A$1:$I$89,3,0)*VLOOKUP('Données projet'!$B$15,Paramètres!$A$1:$I$89,5,0)</f>
        <v>3.0593128030886877E-13</v>
      </c>
      <c r="EL166" s="14">
        <f t="shared" si="179"/>
        <v>4.0350537939347394E-12</v>
      </c>
      <c r="EM166" s="22">
        <f t="shared" si="180"/>
        <v>7.5605490043076185E-12</v>
      </c>
      <c r="EN166" s="62">
        <f t="shared" si="128"/>
        <v>293.33333333334087</v>
      </c>
      <c r="EO166" s="62">
        <f ca="1">AVERAGE(OFFSET($EN$3,0,0,'Données projet'!$E$15+1,1))-AVERAGE(OFFSET($H$3,0,0,'Données projet'!$E$15+1,1))</f>
        <v>244.01698421598974</v>
      </c>
      <c r="EP166" s="62">
        <f t="shared" si="154"/>
        <v>156.96653202915024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9.0041196742213753E-2</v>
      </c>
      <c r="EX166" s="23">
        <f>EXP(-LN(2)/2)*EX165+(1-EXP(-LN(2)/2))/(LN(2)/2)*ER166*EU166*VLOOKUP('Données projet'!$B$15,Paramètres!$A$1:$I$89,3,0)*0.475*44/12</f>
        <v>9.5431192039091676E-20</v>
      </c>
      <c r="EY166" s="24">
        <f t="shared" si="181"/>
        <v>9.0041196742213753E-2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-5.6843418860808015E-14</v>
      </c>
      <c r="FF166" s="18">
        <f>FE166*VLOOKUP('Données projet'!$B$16,Paramètres!$A$1:$I$89,3,0)*VLOOKUP('Données projet'!$B$16,Paramètres!$A$1:$I$89,5,0)</f>
        <v>-4.9658410716801891E-14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175.08726167127026</v>
      </c>
      <c r="FK166" s="62">
        <f t="shared" si="156"/>
        <v>196.05343924817117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8.5265128291212022E-14</v>
      </c>
      <c r="GA166" s="18">
        <f>FZ166*VLOOKUP('Données projet'!$B$17,Paramètres!$A$1:$I$89,3,0)*VLOOKUP('Données projet'!$B$17,Paramètres!$A$1:$I$89,5,0)</f>
        <v>5.5865712056402117E-14</v>
      </c>
      <c r="GB166" s="14">
        <f t="shared" si="185"/>
        <v>8.9811031843713517E-13</v>
      </c>
      <c r="GC166" s="22">
        <f t="shared" si="186"/>
        <v>1.6615082531095774E-12</v>
      </c>
      <c r="GD166" s="62">
        <f t="shared" si="134"/>
        <v>293.33333333333496</v>
      </c>
      <c r="GE166" s="62">
        <f ca="1">AVERAGE(OFFSET($GD$3,0,0,'Données projet'!$E$17+1,1))-AVERAGE(OFFSET($H$3,0,0,'Données projet'!$E$17+1,1))</f>
        <v>142.93037460866543</v>
      </c>
      <c r="GF166" s="62">
        <f t="shared" si="158"/>
        <v>146.18554498808049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5.6843418860808015E-14</v>
      </c>
      <c r="GV166" s="18">
        <f>GU166*VLOOKUP('Données projet'!$B$18,Paramètres!$A$1:$I$89,3,0)*VLOOKUP('Données projet'!$B$18,Paramètres!$A$1:$I$89,5,0)</f>
        <v>4.8771653382573282E-14</v>
      </c>
      <c r="GW166" s="14">
        <f t="shared" si="188"/>
        <v>7.9655698259503351E-13</v>
      </c>
      <c r="GX166" s="22">
        <f t="shared" si="189"/>
        <v>1.4722807076609983E-12</v>
      </c>
      <c r="GY166" s="62">
        <f t="shared" si="137"/>
        <v>293.33333333333479</v>
      </c>
      <c r="GZ166" s="62">
        <f ca="1">AVERAGE(OFFSET($GY$3,0,0,'Données projet'!$E$18+1,1))-AVERAGE(OFFSET($H$3,0,0,'Données projet'!$E$18+1,1))</f>
        <v>188.08607733149256</v>
      </c>
      <c r="HA166" s="62">
        <f t="shared" si="160"/>
        <v>119.95698016603842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49.035999999999937</v>
      </c>
      <c r="D167" s="12">
        <f t="shared" si="140"/>
        <v>14.36452108080279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489.40753115005617</v>
      </c>
      <c r="H167" s="70">
        <f t="shared" si="110"/>
        <v>367.08924088239809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6.1186256061773749E-14</v>
      </c>
      <c r="P167" s="14">
        <f t="shared" si="141"/>
        <v>9.7328366192051127E-13</v>
      </c>
      <c r="Q167" s="22">
        <f t="shared" si="162"/>
        <v>1.8017017738191463E-12</v>
      </c>
      <c r="R167" s="62">
        <f t="shared" si="109"/>
        <v>293.33333333333513</v>
      </c>
      <c r="S167" s="62">
        <f ca="1">AVERAGE(OFFSET($R$3,0,0,'Données projet'!$E$9+1,1))-AVERAGE(OFFSET($H$3,0,0,'Données projet'!$E$9+1,1))</f>
        <v>236.98575892380046</v>
      </c>
      <c r="T167" s="62">
        <f t="shared" si="142"/>
        <v>145.77678223659774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140.04898296125504</v>
      </c>
      <c r="AO167" s="62">
        <f t="shared" si="144"/>
        <v>129.5395511270716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-6.2527760746888816E-13</v>
      </c>
      <c r="BE167" s="14">
        <f>BD167*VLOOKUP('Données projet'!$B$11,Paramètres!$A$1:$I$89,3,0)*VLOOKUP('Données projet'!$B$11,Paramètres!$A$1:$I$89,5,0)</f>
        <v>-2.9262992029543964E-13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207.84100251878419</v>
      </c>
      <c r="BJ167" s="62">
        <f t="shared" si="146"/>
        <v>124.34917784241952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-2.9558577807620169E-14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211.05980622218578</v>
      </c>
      <c r="CE167" s="62">
        <f t="shared" si="148"/>
        <v>168.57746894604855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191.79777926975839</v>
      </c>
      <c r="CZ167" s="62">
        <f t="shared" si="150"/>
        <v>156.66161375678712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3.3112500000000011</v>
      </c>
      <c r="DO167" s="13">
        <f>IF('Données projet'!$A$166&gt;35,DO166+DN167-DW166,IF(A167&lt;'Données projet'!$A$166,$DL$205^A167,IF(A167='Données projet'!$A$166,'Données projet'!$B$166,DO166+DN167-DW166)))</f>
        <v>391.17499999999939</v>
      </c>
      <c r="DP167" s="18">
        <f>DO167*VLOOKUP('Données projet'!$B$14,Paramètres!$A$1:$I$89,3,0)*VLOOKUP('Données projet'!$B$14,Paramètres!$A$1:$I$89,5,0)</f>
        <v>427.1630999999993</v>
      </c>
      <c r="DQ167" s="14">
        <f t="shared" si="176"/>
        <v>97.262333383014578</v>
      </c>
      <c r="DR167" s="22">
        <f t="shared" si="177"/>
        <v>913.37429647541592</v>
      </c>
      <c r="DS167" s="62">
        <f t="shared" si="125"/>
        <v>1206.7076298087493</v>
      </c>
      <c r="DT167" s="62">
        <f ca="1">AVERAGE(OFFSET($DS$3,0,0,'Données projet'!$E$14+1,1))-AVERAGE(OFFSET($H$3,0,0,'Données projet'!$E$14+1,1))</f>
        <v>541.0854688453461</v>
      </c>
      <c r="DU167" s="62">
        <f t="shared" si="152"/>
        <v>171.04847168584473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5.1159076974727213E-13</v>
      </c>
      <c r="EK167" s="18">
        <f>EJ167*VLOOKUP('Données projet'!$B$15,Paramètres!$A$1:$I$89,3,0)*VLOOKUP('Données projet'!$B$15,Paramètres!$A$1:$I$89,5,0)</f>
        <v>3.0593128030886877E-13</v>
      </c>
      <c r="EL167" s="14">
        <f t="shared" si="179"/>
        <v>4.0350537939347394E-12</v>
      </c>
      <c r="EM167" s="22">
        <f t="shared" si="180"/>
        <v>7.5605490043076185E-12</v>
      </c>
      <c r="EN167" s="62">
        <f t="shared" si="128"/>
        <v>293.33333333334087</v>
      </c>
      <c r="EO167" s="62">
        <f ca="1">AVERAGE(OFFSET($EN$3,0,0,'Données projet'!$E$15+1,1))-AVERAGE(OFFSET($H$3,0,0,'Données projet'!$E$15+1,1))</f>
        <v>244.01698421598974</v>
      </c>
      <c r="EP167" s="62">
        <f t="shared" si="154"/>
        <v>156.96653202915024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8.7579015482237177E-2</v>
      </c>
      <c r="EX167" s="23">
        <f>EXP(-LN(2)/2)*EX166+(1-EXP(-LN(2)/2))/(LN(2)/2)*ER167*EU167*VLOOKUP('Données projet'!$B$15,Paramètres!$A$1:$I$89,3,0)*0.475*44/12</f>
        <v>6.7480043027557393E-20</v>
      </c>
      <c r="EY167" s="24">
        <f t="shared" si="181"/>
        <v>8.7579015482237177E-2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-5.6843418860808015E-14</v>
      </c>
      <c r="FF167" s="18">
        <f>FE167*VLOOKUP('Données projet'!$B$16,Paramètres!$A$1:$I$89,3,0)*VLOOKUP('Données projet'!$B$16,Paramètres!$A$1:$I$89,5,0)</f>
        <v>-4.9658410716801891E-14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175.08726167127026</v>
      </c>
      <c r="FK167" s="62">
        <f t="shared" si="156"/>
        <v>196.05343924817117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8.5265128291212022E-14</v>
      </c>
      <c r="GA167" s="18">
        <f>FZ167*VLOOKUP('Données projet'!$B$17,Paramètres!$A$1:$I$89,3,0)*VLOOKUP('Données projet'!$B$17,Paramètres!$A$1:$I$89,5,0)</f>
        <v>5.5865712056402117E-14</v>
      </c>
      <c r="GB167" s="14">
        <f t="shared" si="185"/>
        <v>8.9811031843713517E-13</v>
      </c>
      <c r="GC167" s="22">
        <f t="shared" si="186"/>
        <v>1.6615082531095774E-12</v>
      </c>
      <c r="GD167" s="62">
        <f t="shared" si="134"/>
        <v>293.33333333333496</v>
      </c>
      <c r="GE167" s="62">
        <f ca="1">AVERAGE(OFFSET($GD$3,0,0,'Données projet'!$E$17+1,1))-AVERAGE(OFFSET($H$3,0,0,'Données projet'!$E$17+1,1))</f>
        <v>142.93037460866543</v>
      </c>
      <c r="GF167" s="62">
        <f t="shared" si="158"/>
        <v>146.18554498808049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5.6843418860808015E-14</v>
      </c>
      <c r="GV167" s="18">
        <f>GU167*VLOOKUP('Données projet'!$B$18,Paramètres!$A$1:$I$89,3,0)*VLOOKUP('Données projet'!$B$18,Paramètres!$A$1:$I$89,5,0)</f>
        <v>4.8771653382573282E-14</v>
      </c>
      <c r="GW167" s="14">
        <f t="shared" si="188"/>
        <v>7.9655698259503351E-13</v>
      </c>
      <c r="GX167" s="22">
        <f t="shared" si="189"/>
        <v>1.4722807076609983E-12</v>
      </c>
      <c r="GY167" s="62">
        <f t="shared" si="137"/>
        <v>293.33333333333479</v>
      </c>
      <c r="GZ167" s="62">
        <f ca="1">AVERAGE(OFFSET($GY$3,0,0,'Données projet'!$E$18+1,1))-AVERAGE(OFFSET($H$3,0,0,'Données projet'!$E$18+1,1))</f>
        <v>188.08607733149256</v>
      </c>
      <c r="HA167" s="62">
        <f t="shared" si="160"/>
        <v>119.95698016603842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49.334999999999937</v>
      </c>
      <c r="D168" s="12">
        <f t="shared" si="140"/>
        <v>14.441886914512976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492.31281126992423</v>
      </c>
      <c r="H168" s="70">
        <f t="shared" si="110"/>
        <v>367.74474470944335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6.1186256061773749E-14</v>
      </c>
      <c r="P168" s="14">
        <f t="shared" si="141"/>
        <v>9.7328366192051127E-13</v>
      </c>
      <c r="Q168" s="22">
        <f t="shared" si="162"/>
        <v>1.8017017738191463E-12</v>
      </c>
      <c r="R168" s="62">
        <f t="shared" si="109"/>
        <v>293.33333333333513</v>
      </c>
      <c r="S168" s="62">
        <f ca="1">AVERAGE(OFFSET($R$3,0,0,'Données projet'!$E$9+1,1))-AVERAGE(OFFSET($H$3,0,0,'Données projet'!$E$9+1,1))</f>
        <v>236.98575892380046</v>
      </c>
      <c r="T168" s="62">
        <f t="shared" si="142"/>
        <v>145.77678223659774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140.04898296125504</v>
      </c>
      <c r="AO168" s="62">
        <f t="shared" si="144"/>
        <v>129.5395511270716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-6.2527760746888816E-13</v>
      </c>
      <c r="BE168" s="14">
        <f>BD168*VLOOKUP('Données projet'!$B$11,Paramètres!$A$1:$I$89,3,0)*VLOOKUP('Données projet'!$B$11,Paramètres!$A$1:$I$89,5,0)</f>
        <v>-2.9262992029543964E-13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207.84100251878419</v>
      </c>
      <c r="BJ168" s="62">
        <f t="shared" si="146"/>
        <v>124.34917784241952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-2.9558577807620169E-14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211.05980622218578</v>
      </c>
      <c r="CE168" s="62">
        <f t="shared" si="148"/>
        <v>168.57746894604855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191.79777926975839</v>
      </c>
      <c r="CZ168" s="62">
        <f t="shared" si="150"/>
        <v>156.66161375678712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3.3112500000000011</v>
      </c>
      <c r="DO168" s="13">
        <f>IF('Données projet'!$A$166&gt;35,DO167+DN168-DW167,IF(A168&lt;'Données projet'!$A$166,$DL$205^A168,IF(A168='Données projet'!$A$166,'Données projet'!$B$166,DO167+DN168-DW167)))</f>
        <v>394.48624999999936</v>
      </c>
      <c r="DP168" s="18">
        <f>DO168*VLOOKUP('Données projet'!$B$14,Paramètres!$A$1:$I$89,3,0)*VLOOKUP('Données projet'!$B$14,Paramètres!$A$1:$I$89,5,0)</f>
        <v>430.7789849999993</v>
      </c>
      <c r="DQ168" s="14">
        <f t="shared" si="176"/>
        <v>97.989456466938904</v>
      </c>
      <c r="DR168" s="22">
        <f t="shared" si="177"/>
        <v>920.93836888825047</v>
      </c>
      <c r="DS168" s="62">
        <f t="shared" si="125"/>
        <v>1214.2717022215838</v>
      </c>
      <c r="DT168" s="62">
        <f ca="1">AVERAGE(OFFSET($DS$3,0,0,'Données projet'!$E$14+1,1))-AVERAGE(OFFSET($H$3,0,0,'Données projet'!$E$14+1,1))</f>
        <v>541.0854688453461</v>
      </c>
      <c r="DU168" s="62">
        <f t="shared" si="152"/>
        <v>171.04847168584473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5.1159076974727213E-13</v>
      </c>
      <c r="EK168" s="18">
        <f>EJ168*VLOOKUP('Données projet'!$B$15,Paramètres!$A$1:$I$89,3,0)*VLOOKUP('Données projet'!$B$15,Paramètres!$A$1:$I$89,5,0)</f>
        <v>3.0593128030886877E-13</v>
      </c>
      <c r="EL168" s="14">
        <f t="shared" si="179"/>
        <v>4.0350537939347394E-12</v>
      </c>
      <c r="EM168" s="22">
        <f t="shared" si="180"/>
        <v>7.5605490043076185E-12</v>
      </c>
      <c r="EN168" s="62">
        <f t="shared" si="128"/>
        <v>293.33333333334087</v>
      </c>
      <c r="EO168" s="62">
        <f ca="1">AVERAGE(OFFSET($EN$3,0,0,'Données projet'!$E$15+1,1))-AVERAGE(OFFSET($H$3,0,0,'Données projet'!$E$15+1,1))</f>
        <v>244.01698421598974</v>
      </c>
      <c r="EP168" s="62">
        <f t="shared" si="154"/>
        <v>156.96653202915024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8.5184162698295138E-2</v>
      </c>
      <c r="EX168" s="23">
        <f>EXP(-LN(2)/2)*EX167+(1-EXP(-LN(2)/2))/(LN(2)/2)*ER168*EU168*VLOOKUP('Données projet'!$B$15,Paramètres!$A$1:$I$89,3,0)*0.475*44/12</f>
        <v>4.7715596019545838E-20</v>
      </c>
      <c r="EY168" s="24">
        <f t="shared" si="181"/>
        <v>8.5184162698295138E-2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-5.6843418860808015E-14</v>
      </c>
      <c r="FF168" s="18">
        <f>FE168*VLOOKUP('Données projet'!$B$16,Paramètres!$A$1:$I$89,3,0)*VLOOKUP('Données projet'!$B$16,Paramètres!$A$1:$I$89,5,0)</f>
        <v>-4.9658410716801891E-14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175.08726167127026</v>
      </c>
      <c r="FK168" s="62">
        <f t="shared" si="156"/>
        <v>196.05343924817117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8.5265128291212022E-14</v>
      </c>
      <c r="GA168" s="18">
        <f>FZ168*VLOOKUP('Données projet'!$B$17,Paramètres!$A$1:$I$89,3,0)*VLOOKUP('Données projet'!$B$17,Paramètres!$A$1:$I$89,5,0)</f>
        <v>5.5865712056402117E-14</v>
      </c>
      <c r="GB168" s="14">
        <f t="shared" si="185"/>
        <v>8.9811031843713517E-13</v>
      </c>
      <c r="GC168" s="22">
        <f t="shared" si="186"/>
        <v>1.6615082531095774E-12</v>
      </c>
      <c r="GD168" s="62">
        <f t="shared" si="134"/>
        <v>293.33333333333496</v>
      </c>
      <c r="GE168" s="62">
        <f ca="1">AVERAGE(OFFSET($GD$3,0,0,'Données projet'!$E$17+1,1))-AVERAGE(OFFSET($H$3,0,0,'Données projet'!$E$17+1,1))</f>
        <v>142.93037460866543</v>
      </c>
      <c r="GF168" s="62">
        <f t="shared" si="158"/>
        <v>146.18554498808049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5.6843418860808015E-14</v>
      </c>
      <c r="GV168" s="18">
        <f>GU168*VLOOKUP('Données projet'!$B$18,Paramètres!$A$1:$I$89,3,0)*VLOOKUP('Données projet'!$B$18,Paramètres!$A$1:$I$89,5,0)</f>
        <v>4.8771653382573282E-14</v>
      </c>
      <c r="GW168" s="14">
        <f t="shared" si="188"/>
        <v>7.9655698259503351E-13</v>
      </c>
      <c r="GX168" s="22">
        <f t="shared" si="189"/>
        <v>1.4722807076609983E-12</v>
      </c>
      <c r="GY168" s="62">
        <f t="shared" si="137"/>
        <v>293.33333333333479</v>
      </c>
      <c r="GZ168" s="62">
        <f ca="1">AVERAGE(OFFSET($GY$3,0,0,'Données projet'!$E$18+1,1))-AVERAGE(OFFSET($H$3,0,0,'Données projet'!$E$18+1,1))</f>
        <v>188.08607733149256</v>
      </c>
      <c r="HA168" s="62">
        <f t="shared" si="160"/>
        <v>119.95698016603842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49.633999999999936</v>
      </c>
      <c r="D169" s="12">
        <f t="shared" si="140"/>
        <v>14.519198189037443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495.21767023116576</v>
      </c>
      <c r="H169" s="70">
        <f t="shared" si="110"/>
        <v>368.40015351257347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6.1186256061773749E-14</v>
      </c>
      <c r="P169" s="14">
        <f t="shared" si="141"/>
        <v>9.7328366192051127E-13</v>
      </c>
      <c r="Q169" s="22">
        <f t="shared" si="162"/>
        <v>1.8017017738191463E-12</v>
      </c>
      <c r="R169" s="62">
        <f t="shared" si="109"/>
        <v>293.33333333333513</v>
      </c>
      <c r="S169" s="62">
        <f ca="1">AVERAGE(OFFSET($R$3,0,0,'Données projet'!$E$9+1,1))-AVERAGE(OFFSET($H$3,0,0,'Données projet'!$E$9+1,1))</f>
        <v>236.98575892380046</v>
      </c>
      <c r="T169" s="62">
        <f t="shared" si="142"/>
        <v>145.77678223659774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140.04898296125504</v>
      </c>
      <c r="AO169" s="62">
        <f t="shared" si="144"/>
        <v>129.5395511270716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-6.2527760746888816E-13</v>
      </c>
      <c r="BE169" s="14">
        <f>BD169*VLOOKUP('Données projet'!$B$11,Paramètres!$A$1:$I$89,3,0)*VLOOKUP('Données projet'!$B$11,Paramètres!$A$1:$I$89,5,0)</f>
        <v>-2.9262992029543964E-13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207.84100251878419</v>
      </c>
      <c r="BJ169" s="62">
        <f t="shared" si="146"/>
        <v>124.34917784241952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-2.9558577807620169E-14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211.05980622218578</v>
      </c>
      <c r="CE169" s="62">
        <f t="shared" si="148"/>
        <v>168.57746894604855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191.79777926975839</v>
      </c>
      <c r="CZ169" s="62">
        <f t="shared" si="150"/>
        <v>156.66161375678712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3.3112500000000011</v>
      </c>
      <c r="DO169" s="13">
        <f>IF('Données projet'!$A$166&gt;35,DO168+DN169-DW168,IF(A169&lt;'Données projet'!$A$166,$DL$205^A169,IF(A169='Données projet'!$A$166,'Données projet'!$B$166,DO168+DN169-DW168)))</f>
        <v>397.79749999999933</v>
      </c>
      <c r="DP169" s="18">
        <f>DO169*VLOOKUP('Données projet'!$B$14,Paramètres!$A$1:$I$89,3,0)*VLOOKUP('Données projet'!$B$14,Paramètres!$A$1:$I$89,5,0)</f>
        <v>434.39486999999923</v>
      </c>
      <c r="DQ169" s="14">
        <f t="shared" si="176"/>
        <v>98.71586945944631</v>
      </c>
      <c r="DR169" s="22">
        <f t="shared" si="177"/>
        <v>928.50120455853437</v>
      </c>
      <c r="DS169" s="62">
        <f t="shared" si="125"/>
        <v>1221.8345378918677</v>
      </c>
      <c r="DT169" s="62">
        <f ca="1">AVERAGE(OFFSET($DS$3,0,0,'Données projet'!$E$14+1,1))-AVERAGE(OFFSET($H$3,0,0,'Données projet'!$E$14+1,1))</f>
        <v>541.0854688453461</v>
      </c>
      <c r="DU169" s="62">
        <f t="shared" si="152"/>
        <v>171.04847168584473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5.1159076974727213E-13</v>
      </c>
      <c r="EK169" s="18">
        <f>EJ169*VLOOKUP('Données projet'!$B$15,Paramètres!$A$1:$I$89,3,0)*VLOOKUP('Données projet'!$B$15,Paramètres!$A$1:$I$89,5,0)</f>
        <v>3.0593128030886877E-13</v>
      </c>
      <c r="EL169" s="14">
        <f t="shared" si="179"/>
        <v>4.0350537939347394E-12</v>
      </c>
      <c r="EM169" s="22">
        <f t="shared" si="180"/>
        <v>7.5605490043076185E-12</v>
      </c>
      <c r="EN169" s="62">
        <f t="shared" si="128"/>
        <v>293.33333333334087</v>
      </c>
      <c r="EO169" s="62">
        <f ca="1">AVERAGE(OFFSET($EN$3,0,0,'Données projet'!$E$15+1,1))-AVERAGE(OFFSET($H$3,0,0,'Données projet'!$E$15+1,1))</f>
        <v>244.01698421598974</v>
      </c>
      <c r="EP169" s="62">
        <f t="shared" si="154"/>
        <v>156.96653202915024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8.2854797289669838E-2</v>
      </c>
      <c r="EX169" s="23">
        <f>EXP(-LN(2)/2)*EX168+(1-EXP(-LN(2)/2))/(LN(2)/2)*ER169*EU169*VLOOKUP('Données projet'!$B$15,Paramètres!$A$1:$I$89,3,0)*0.475*44/12</f>
        <v>3.3740021513778696E-20</v>
      </c>
      <c r="EY169" s="24">
        <f t="shared" si="181"/>
        <v>8.2854797289669838E-2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-5.6843418860808015E-14</v>
      </c>
      <c r="FF169" s="18">
        <f>FE169*VLOOKUP('Données projet'!$B$16,Paramètres!$A$1:$I$89,3,0)*VLOOKUP('Données projet'!$B$16,Paramètres!$A$1:$I$89,5,0)</f>
        <v>-4.9658410716801891E-14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175.08726167127026</v>
      </c>
      <c r="FK169" s="62">
        <f t="shared" si="156"/>
        <v>196.05343924817117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8.5265128291212022E-14</v>
      </c>
      <c r="GA169" s="18">
        <f>FZ169*VLOOKUP('Données projet'!$B$17,Paramètres!$A$1:$I$89,3,0)*VLOOKUP('Données projet'!$B$17,Paramètres!$A$1:$I$89,5,0)</f>
        <v>5.5865712056402117E-14</v>
      </c>
      <c r="GB169" s="14">
        <f t="shared" si="185"/>
        <v>8.9811031843713517E-13</v>
      </c>
      <c r="GC169" s="22">
        <f t="shared" si="186"/>
        <v>1.6615082531095774E-12</v>
      </c>
      <c r="GD169" s="62">
        <f t="shared" si="134"/>
        <v>293.33333333333496</v>
      </c>
      <c r="GE169" s="62">
        <f ca="1">AVERAGE(OFFSET($GD$3,0,0,'Données projet'!$E$17+1,1))-AVERAGE(OFFSET($H$3,0,0,'Données projet'!$E$17+1,1))</f>
        <v>142.93037460866543</v>
      </c>
      <c r="GF169" s="62">
        <f t="shared" si="158"/>
        <v>146.18554498808049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5.6843418860808015E-14</v>
      </c>
      <c r="GV169" s="18">
        <f>GU169*VLOOKUP('Données projet'!$B$18,Paramètres!$A$1:$I$89,3,0)*VLOOKUP('Données projet'!$B$18,Paramètres!$A$1:$I$89,5,0)</f>
        <v>4.8771653382573282E-14</v>
      </c>
      <c r="GW169" s="14">
        <f t="shared" si="188"/>
        <v>7.9655698259503351E-13</v>
      </c>
      <c r="GX169" s="22">
        <f t="shared" si="189"/>
        <v>1.4722807076609983E-12</v>
      </c>
      <c r="GY169" s="62">
        <f t="shared" si="137"/>
        <v>293.33333333333479</v>
      </c>
      <c r="GZ169" s="62">
        <f ca="1">AVERAGE(OFFSET($GY$3,0,0,'Données projet'!$E$18+1,1))-AVERAGE(OFFSET($H$3,0,0,'Données projet'!$E$18+1,1))</f>
        <v>188.08607733149256</v>
      </c>
      <c r="HA169" s="62">
        <f t="shared" si="160"/>
        <v>119.95698016603842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49.932999999999936</v>
      </c>
      <c r="D170" s="12">
        <f t="shared" si="140"/>
        <v>14.596455271178982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498.12211086524081</v>
      </c>
      <c r="H170" s="70">
        <f t="shared" si="110"/>
        <v>369.05546793063661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6.1186256061773749E-14</v>
      </c>
      <c r="P170" s="14">
        <f t="shared" si="141"/>
        <v>9.7328366192051127E-13</v>
      </c>
      <c r="Q170" s="22">
        <f t="shared" si="162"/>
        <v>1.8017017738191463E-12</v>
      </c>
      <c r="R170" s="62">
        <f t="shared" si="109"/>
        <v>293.33333333333513</v>
      </c>
      <c r="S170" s="62">
        <f ca="1">AVERAGE(OFFSET($R$3,0,0,'Données projet'!$E$9+1,1))-AVERAGE(OFFSET($H$3,0,0,'Données projet'!$E$9+1,1))</f>
        <v>236.98575892380046</v>
      </c>
      <c r="T170" s="62">
        <f t="shared" si="142"/>
        <v>145.77678223659774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140.04898296125504</v>
      </c>
      <c r="AO170" s="62">
        <f t="shared" si="144"/>
        <v>129.5395511270716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-6.2527760746888816E-13</v>
      </c>
      <c r="BE170" s="14">
        <f>BD170*VLOOKUP('Données projet'!$B$11,Paramètres!$A$1:$I$89,3,0)*VLOOKUP('Données projet'!$B$11,Paramètres!$A$1:$I$89,5,0)</f>
        <v>-2.9262992029543964E-13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207.84100251878419</v>
      </c>
      <c r="BJ170" s="62">
        <f t="shared" si="146"/>
        <v>124.34917784241952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-2.9558577807620169E-14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211.05980622218578</v>
      </c>
      <c r="CE170" s="62">
        <f t="shared" si="148"/>
        <v>168.57746894604855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191.79777926975839</v>
      </c>
      <c r="CZ170" s="62">
        <f t="shared" si="150"/>
        <v>156.66161375678712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3.3112500000000011</v>
      </c>
      <c r="DO170" s="13">
        <f>IF('Données projet'!$A$166&gt;35,DO169+DN170-DW169,IF(A170&lt;'Données projet'!$A$166,$DL$205^A170,IF(A170='Données projet'!$A$166,'Données projet'!$B$166,DO169+DN170-DW169)))</f>
        <v>401.1087499999993</v>
      </c>
      <c r="DP170" s="18">
        <f>DO170*VLOOKUP('Données projet'!$B$14,Paramètres!$A$1:$I$89,3,0)*VLOOKUP('Données projet'!$B$14,Paramètres!$A$1:$I$89,5,0)</f>
        <v>438.01075499999916</v>
      </c>
      <c r="DQ170" s="14">
        <f t="shared" si="176"/>
        <v>99.441578956279628</v>
      </c>
      <c r="DR170" s="22">
        <f t="shared" si="177"/>
        <v>936.06281497385226</v>
      </c>
      <c r="DS170" s="62">
        <f t="shared" si="125"/>
        <v>1229.3961483071855</v>
      </c>
      <c r="DT170" s="62">
        <f ca="1">AVERAGE(OFFSET($DS$3,0,0,'Données projet'!$E$14+1,1))-AVERAGE(OFFSET($H$3,0,0,'Données projet'!$E$14+1,1))</f>
        <v>541.0854688453461</v>
      </c>
      <c r="DU170" s="62">
        <f t="shared" si="152"/>
        <v>171.04847168584473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5.1159076974727213E-13</v>
      </c>
      <c r="EK170" s="18">
        <f>EJ170*VLOOKUP('Données projet'!$B$15,Paramètres!$A$1:$I$89,3,0)*VLOOKUP('Données projet'!$B$15,Paramètres!$A$1:$I$89,5,0)</f>
        <v>3.0593128030886877E-13</v>
      </c>
      <c r="EL170" s="14">
        <f t="shared" si="179"/>
        <v>4.0350537939347394E-12</v>
      </c>
      <c r="EM170" s="22">
        <f t="shared" si="180"/>
        <v>7.5605490043076185E-12</v>
      </c>
      <c r="EN170" s="62">
        <f t="shared" si="128"/>
        <v>293.33333333334087</v>
      </c>
      <c r="EO170" s="62">
        <f ca="1">AVERAGE(OFFSET($EN$3,0,0,'Données projet'!$E$15+1,1))-AVERAGE(OFFSET($H$3,0,0,'Données projet'!$E$15+1,1))</f>
        <v>244.01698421598974</v>
      </c>
      <c r="EP170" s="62">
        <f t="shared" si="154"/>
        <v>156.96653202915024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8.0589128500639387E-2</v>
      </c>
      <c r="EX170" s="23">
        <f>EXP(-LN(2)/2)*EX169+(1-EXP(-LN(2)/2))/(LN(2)/2)*ER170*EU170*VLOOKUP('Données projet'!$B$15,Paramètres!$A$1:$I$89,3,0)*0.475*44/12</f>
        <v>2.3857798009772919E-20</v>
      </c>
      <c r="EY170" s="24">
        <f t="shared" si="181"/>
        <v>8.0589128500639387E-2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-5.6843418860808015E-14</v>
      </c>
      <c r="FF170" s="18">
        <f>FE170*VLOOKUP('Données projet'!$B$16,Paramètres!$A$1:$I$89,3,0)*VLOOKUP('Données projet'!$B$16,Paramètres!$A$1:$I$89,5,0)</f>
        <v>-4.9658410716801891E-14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175.08726167127026</v>
      </c>
      <c r="FK170" s="62">
        <f t="shared" si="156"/>
        <v>196.05343924817117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8.5265128291212022E-14</v>
      </c>
      <c r="GA170" s="18">
        <f>FZ170*VLOOKUP('Données projet'!$B$17,Paramètres!$A$1:$I$89,3,0)*VLOOKUP('Données projet'!$B$17,Paramètres!$A$1:$I$89,5,0)</f>
        <v>5.5865712056402117E-14</v>
      </c>
      <c r="GB170" s="14">
        <f t="shared" si="185"/>
        <v>8.9811031843713517E-13</v>
      </c>
      <c r="GC170" s="22">
        <f t="shared" si="186"/>
        <v>1.6615082531095774E-12</v>
      </c>
      <c r="GD170" s="62">
        <f t="shared" si="134"/>
        <v>293.33333333333496</v>
      </c>
      <c r="GE170" s="62">
        <f ca="1">AVERAGE(OFFSET($GD$3,0,0,'Données projet'!$E$17+1,1))-AVERAGE(OFFSET($H$3,0,0,'Données projet'!$E$17+1,1))</f>
        <v>142.93037460866543</v>
      </c>
      <c r="GF170" s="62">
        <f t="shared" si="158"/>
        <v>146.18554498808049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5.6843418860808015E-14</v>
      </c>
      <c r="GV170" s="18">
        <f>GU170*VLOOKUP('Données projet'!$B$18,Paramètres!$A$1:$I$89,3,0)*VLOOKUP('Données projet'!$B$18,Paramètres!$A$1:$I$89,5,0)</f>
        <v>4.8771653382573282E-14</v>
      </c>
      <c r="GW170" s="14">
        <f t="shared" si="188"/>
        <v>7.9655698259503351E-13</v>
      </c>
      <c r="GX170" s="22">
        <f t="shared" si="189"/>
        <v>1.4722807076609983E-12</v>
      </c>
      <c r="GY170" s="62">
        <f t="shared" si="137"/>
        <v>293.33333333333479</v>
      </c>
      <c r="GZ170" s="62">
        <f ca="1">AVERAGE(OFFSET($GY$3,0,0,'Données projet'!$E$18+1,1))-AVERAGE(OFFSET($H$3,0,0,'Données projet'!$E$18+1,1))</f>
        <v>188.08607733149256</v>
      </c>
      <c r="HA170" s="62">
        <f t="shared" si="160"/>
        <v>119.95698016603842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50.231999999999935</v>
      </c>
      <c r="D171" s="12">
        <f t="shared" si="140"/>
        <v>14.673658523093398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501.02613596773807</v>
      </c>
      <c r="H171" s="70">
        <f t="shared" si="110"/>
        <v>369.71068859438759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6.1186256061773749E-14</v>
      </c>
      <c r="P171" s="14">
        <f t="shared" si="141"/>
        <v>9.7328366192051127E-13</v>
      </c>
      <c r="Q171" s="22">
        <f t="shared" si="162"/>
        <v>1.8017017738191463E-12</v>
      </c>
      <c r="R171" s="62">
        <f t="shared" si="109"/>
        <v>293.33333333333513</v>
      </c>
      <c r="S171" s="62">
        <f ca="1">AVERAGE(OFFSET($R$3,0,0,'Données projet'!$E$9+1,1))-AVERAGE(OFFSET($H$3,0,0,'Données projet'!$E$9+1,1))</f>
        <v>236.98575892380046</v>
      </c>
      <c r="T171" s="62">
        <f t="shared" si="142"/>
        <v>145.77678223659774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140.04898296125504</v>
      </c>
      <c r="AO171" s="62">
        <f t="shared" si="144"/>
        <v>129.5395511270716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-6.2527760746888816E-13</v>
      </c>
      <c r="BE171" s="14">
        <f>BD171*VLOOKUP('Données projet'!$B$11,Paramètres!$A$1:$I$89,3,0)*VLOOKUP('Données projet'!$B$11,Paramètres!$A$1:$I$89,5,0)</f>
        <v>-2.9262992029543964E-13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207.84100251878419</v>
      </c>
      <c r="BJ171" s="62">
        <f t="shared" si="146"/>
        <v>124.34917784241952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-2.9558577807620169E-14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211.05980622218578</v>
      </c>
      <c r="CE171" s="62">
        <f t="shared" si="148"/>
        <v>168.57746894604855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191.79777926975839</v>
      </c>
      <c r="CZ171" s="62">
        <f t="shared" si="150"/>
        <v>156.66161375678712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3.3112500000000011</v>
      </c>
      <c r="DO171" s="13">
        <f>IF('Données projet'!$A$166&gt;35,DO170+DN171-DW170,IF(A171&lt;'Données projet'!$A$166,$DL$205^A171,IF(A171='Données projet'!$A$166,'Données projet'!$B$166,DO170+DN171-DW170)))</f>
        <v>404.41999999999928</v>
      </c>
      <c r="DP171" s="18">
        <f>DO171*VLOOKUP('Données projet'!$B$14,Paramètres!$A$1:$I$89,3,0)*VLOOKUP('Données projet'!$B$14,Paramètres!$A$1:$I$89,5,0)</f>
        <v>441.62663999999921</v>
      </c>
      <c r="DQ171" s="14">
        <f t="shared" si="176"/>
        <v>100.166591437996</v>
      </c>
      <c r="DR171" s="22">
        <f t="shared" si="177"/>
        <v>943.62321142117491</v>
      </c>
      <c r="DS171" s="62">
        <f t="shared" si="125"/>
        <v>1236.9565447545083</v>
      </c>
      <c r="DT171" s="62">
        <f ca="1">AVERAGE(OFFSET($DS$3,0,0,'Données projet'!$E$14+1,1))-AVERAGE(OFFSET($H$3,0,0,'Données projet'!$E$14+1,1))</f>
        <v>541.0854688453461</v>
      </c>
      <c r="DU171" s="62">
        <f t="shared" si="152"/>
        <v>171.04847168584473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5.1159076974727213E-13</v>
      </c>
      <c r="EK171" s="18">
        <f>EJ171*VLOOKUP('Données projet'!$B$15,Paramètres!$A$1:$I$89,3,0)*VLOOKUP('Données projet'!$B$15,Paramètres!$A$1:$I$89,5,0)</f>
        <v>3.0593128030886877E-13</v>
      </c>
      <c r="EL171" s="14">
        <f t="shared" si="179"/>
        <v>4.0350537939347394E-12</v>
      </c>
      <c r="EM171" s="22">
        <f t="shared" si="180"/>
        <v>7.5605490043076185E-12</v>
      </c>
      <c r="EN171" s="62">
        <f t="shared" si="128"/>
        <v>293.33333333334087</v>
      </c>
      <c r="EO171" s="62">
        <f ca="1">AVERAGE(OFFSET($EN$3,0,0,'Données projet'!$E$15+1,1))-AVERAGE(OFFSET($H$3,0,0,'Données projet'!$E$15+1,1))</f>
        <v>244.01698421598974</v>
      </c>
      <c r="EP171" s="62">
        <f t="shared" si="154"/>
        <v>156.96653202915024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7.8385414543791318E-2</v>
      </c>
      <c r="EX171" s="23">
        <f>EXP(-LN(2)/2)*EX170+(1-EXP(-LN(2)/2))/(LN(2)/2)*ER171*EU171*VLOOKUP('Données projet'!$B$15,Paramètres!$A$1:$I$89,3,0)*0.475*44/12</f>
        <v>1.6870010756889348E-20</v>
      </c>
      <c r="EY171" s="24">
        <f t="shared" si="181"/>
        <v>7.8385414543791318E-2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-5.6843418860808015E-14</v>
      </c>
      <c r="FF171" s="18">
        <f>FE171*VLOOKUP('Données projet'!$B$16,Paramètres!$A$1:$I$89,3,0)*VLOOKUP('Données projet'!$B$16,Paramètres!$A$1:$I$89,5,0)</f>
        <v>-4.9658410716801891E-14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175.08726167127026</v>
      </c>
      <c r="FK171" s="62">
        <f t="shared" si="156"/>
        <v>196.05343924817117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8.5265128291212022E-14</v>
      </c>
      <c r="GA171" s="18">
        <f>FZ171*VLOOKUP('Données projet'!$B$17,Paramètres!$A$1:$I$89,3,0)*VLOOKUP('Données projet'!$B$17,Paramètres!$A$1:$I$89,5,0)</f>
        <v>5.5865712056402117E-14</v>
      </c>
      <c r="GB171" s="14">
        <f t="shared" si="185"/>
        <v>8.9811031843713517E-13</v>
      </c>
      <c r="GC171" s="22">
        <f t="shared" si="186"/>
        <v>1.6615082531095774E-12</v>
      </c>
      <c r="GD171" s="62">
        <f t="shared" si="134"/>
        <v>293.33333333333496</v>
      </c>
      <c r="GE171" s="62">
        <f ca="1">AVERAGE(OFFSET($GD$3,0,0,'Données projet'!$E$17+1,1))-AVERAGE(OFFSET($H$3,0,0,'Données projet'!$E$17+1,1))</f>
        <v>142.93037460866543</v>
      </c>
      <c r="GF171" s="62">
        <f t="shared" si="158"/>
        <v>146.18554498808049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5.6843418860808015E-14</v>
      </c>
      <c r="GV171" s="18">
        <f>GU171*VLOOKUP('Données projet'!$B$18,Paramètres!$A$1:$I$89,3,0)*VLOOKUP('Données projet'!$B$18,Paramètres!$A$1:$I$89,5,0)</f>
        <v>4.8771653382573282E-14</v>
      </c>
      <c r="GW171" s="14">
        <f t="shared" si="188"/>
        <v>7.9655698259503351E-13</v>
      </c>
      <c r="GX171" s="22">
        <f t="shared" si="189"/>
        <v>1.4722807076609983E-12</v>
      </c>
      <c r="GY171" s="62">
        <f t="shared" si="137"/>
        <v>293.33333333333479</v>
      </c>
      <c r="GZ171" s="62">
        <f ca="1">AVERAGE(OFFSET($GY$3,0,0,'Données projet'!$E$18+1,1))-AVERAGE(OFFSET($H$3,0,0,'Données projet'!$E$18+1,1))</f>
        <v>188.08607733149256</v>
      </c>
      <c r="HA171" s="62">
        <f t="shared" si="160"/>
        <v>119.95698016603842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50.530999999999935</v>
      </c>
      <c r="D172" s="12">
        <f t="shared" si="140"/>
        <v>14.750808302375727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503.92974829904023</v>
      </c>
      <c r="H172" s="70">
        <f t="shared" si="110"/>
        <v>370.36581612663764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6.1186256061773749E-14</v>
      </c>
      <c r="P172" s="14">
        <f t="shared" si="141"/>
        <v>9.7328366192051127E-13</v>
      </c>
      <c r="Q172" s="22">
        <f t="shared" si="162"/>
        <v>1.8017017738191463E-12</v>
      </c>
      <c r="R172" s="62">
        <f t="shared" si="109"/>
        <v>293.33333333333513</v>
      </c>
      <c r="S172" s="62">
        <f ca="1">AVERAGE(OFFSET($R$3,0,0,'Données projet'!$E$9+1,1))-AVERAGE(OFFSET($H$3,0,0,'Données projet'!$E$9+1,1))</f>
        <v>236.98575892380046</v>
      </c>
      <c r="T172" s="62">
        <f t="shared" si="142"/>
        <v>145.77678223659774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140.04898296125504</v>
      </c>
      <c r="AO172" s="62">
        <f t="shared" si="144"/>
        <v>129.5395511270716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-6.2527760746888816E-13</v>
      </c>
      <c r="BE172" s="14">
        <f>BD172*VLOOKUP('Données projet'!$B$11,Paramètres!$A$1:$I$89,3,0)*VLOOKUP('Données projet'!$B$11,Paramètres!$A$1:$I$89,5,0)</f>
        <v>-2.9262992029543964E-13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207.84100251878419</v>
      </c>
      <c r="BJ172" s="62">
        <f t="shared" si="146"/>
        <v>124.34917784241952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-2.9558577807620169E-14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211.05980622218578</v>
      </c>
      <c r="CE172" s="62">
        <f t="shared" si="148"/>
        <v>168.57746894604855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191.79777926975839</v>
      </c>
      <c r="CZ172" s="62">
        <f t="shared" si="150"/>
        <v>156.66161375678712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3.3112500000000011</v>
      </c>
      <c r="DO172" s="13">
        <f>IF('Données projet'!$A$166&gt;35,DO171+DN172-DW171,IF(A172&lt;'Données projet'!$A$166,$DL$205^A172,IF(A172='Données projet'!$A$166,'Données projet'!$B$166,DO171+DN172-DW171)))</f>
        <v>407.73124999999925</v>
      </c>
      <c r="DP172" s="18">
        <f>DO172*VLOOKUP('Données projet'!$B$14,Paramètres!$A$1:$I$89,3,0)*VLOOKUP('Données projet'!$B$14,Paramètres!$A$1:$I$89,5,0)</f>
        <v>445.24252499999915</v>
      </c>
      <c r="DQ172" s="14">
        <f t="shared" si="176"/>
        <v>100.89091327290515</v>
      </c>
      <c r="DR172" s="22">
        <f t="shared" si="177"/>
        <v>951.18240499197498</v>
      </c>
      <c r="DS172" s="62">
        <f t="shared" si="125"/>
        <v>1244.5157383253083</v>
      </c>
      <c r="DT172" s="62">
        <f ca="1">AVERAGE(OFFSET($DS$3,0,0,'Données projet'!$E$14+1,1))-AVERAGE(OFFSET($H$3,0,0,'Données projet'!$E$14+1,1))</f>
        <v>541.0854688453461</v>
      </c>
      <c r="DU172" s="62">
        <f t="shared" si="152"/>
        <v>171.04847168584473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5.1159076974727213E-13</v>
      </c>
      <c r="EK172" s="18">
        <f>EJ172*VLOOKUP('Données projet'!$B$15,Paramètres!$A$1:$I$89,3,0)*VLOOKUP('Données projet'!$B$15,Paramètres!$A$1:$I$89,5,0)</f>
        <v>3.0593128030886877E-13</v>
      </c>
      <c r="EL172" s="14">
        <f t="shared" si="179"/>
        <v>4.0350537939347394E-12</v>
      </c>
      <c r="EM172" s="22">
        <f t="shared" si="180"/>
        <v>7.5605490043076185E-12</v>
      </c>
      <c r="EN172" s="62">
        <f t="shared" si="128"/>
        <v>293.33333333334087</v>
      </c>
      <c r="EO172" s="62">
        <f ca="1">AVERAGE(OFFSET($EN$3,0,0,'Données projet'!$E$15+1,1))-AVERAGE(OFFSET($H$3,0,0,'Données projet'!$E$15+1,1))</f>
        <v>244.01698421598974</v>
      </c>
      <c r="EP172" s="62">
        <f t="shared" si="154"/>
        <v>156.96653202915024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7.6241961260981539E-2</v>
      </c>
      <c r="EX172" s="23">
        <f>EXP(-LN(2)/2)*EX171+(1-EXP(-LN(2)/2))/(LN(2)/2)*ER172*EU172*VLOOKUP('Données projet'!$B$15,Paramètres!$A$1:$I$89,3,0)*0.475*44/12</f>
        <v>1.192889900488646E-20</v>
      </c>
      <c r="EY172" s="24">
        <f t="shared" si="181"/>
        <v>7.6241961260981539E-2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-5.6843418860808015E-14</v>
      </c>
      <c r="FF172" s="18">
        <f>FE172*VLOOKUP('Données projet'!$B$16,Paramètres!$A$1:$I$89,3,0)*VLOOKUP('Données projet'!$B$16,Paramètres!$A$1:$I$89,5,0)</f>
        <v>-4.9658410716801891E-14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175.08726167127026</v>
      </c>
      <c r="FK172" s="62">
        <f t="shared" si="156"/>
        <v>196.05343924817117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8.5265128291212022E-14</v>
      </c>
      <c r="GA172" s="18">
        <f>FZ172*VLOOKUP('Données projet'!$B$17,Paramètres!$A$1:$I$89,3,0)*VLOOKUP('Données projet'!$B$17,Paramètres!$A$1:$I$89,5,0)</f>
        <v>5.5865712056402117E-14</v>
      </c>
      <c r="GB172" s="14">
        <f t="shared" si="185"/>
        <v>8.9811031843713517E-13</v>
      </c>
      <c r="GC172" s="22">
        <f t="shared" si="186"/>
        <v>1.6615082531095774E-12</v>
      </c>
      <c r="GD172" s="62">
        <f t="shared" si="134"/>
        <v>293.33333333333496</v>
      </c>
      <c r="GE172" s="62">
        <f ca="1">AVERAGE(OFFSET($GD$3,0,0,'Données projet'!$E$17+1,1))-AVERAGE(OFFSET($H$3,0,0,'Données projet'!$E$17+1,1))</f>
        <v>142.93037460866543</v>
      </c>
      <c r="GF172" s="62">
        <f t="shared" si="158"/>
        <v>146.18554498808049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5.6843418860808015E-14</v>
      </c>
      <c r="GV172" s="18">
        <f>GU172*VLOOKUP('Données projet'!$B$18,Paramètres!$A$1:$I$89,3,0)*VLOOKUP('Données projet'!$B$18,Paramètres!$A$1:$I$89,5,0)</f>
        <v>4.8771653382573282E-14</v>
      </c>
      <c r="GW172" s="14">
        <f t="shared" si="188"/>
        <v>7.9655698259503351E-13</v>
      </c>
      <c r="GX172" s="22">
        <f t="shared" si="189"/>
        <v>1.4722807076609983E-12</v>
      </c>
      <c r="GY172" s="62">
        <f t="shared" si="137"/>
        <v>293.33333333333479</v>
      </c>
      <c r="GZ172" s="62">
        <f ca="1">AVERAGE(OFFSET($GY$3,0,0,'Données projet'!$E$18+1,1))-AVERAGE(OFFSET($H$3,0,0,'Données projet'!$E$18+1,1))</f>
        <v>188.08607733149256</v>
      </c>
      <c r="HA172" s="62">
        <f t="shared" si="160"/>
        <v>119.95698016603842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50.829999999999934</v>
      </c>
      <c r="D173" s="12">
        <f t="shared" si="140"/>
        <v>14.827904962144244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506.83295058497259</v>
      </c>
      <c r="H173" s="70">
        <f t="shared" si="110"/>
        <v>371.02085114240111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6.1186256061773749E-14</v>
      </c>
      <c r="P173" s="14">
        <f t="shared" si="141"/>
        <v>9.7328366192051127E-13</v>
      </c>
      <c r="Q173" s="22">
        <f t="shared" si="162"/>
        <v>1.8017017738191463E-12</v>
      </c>
      <c r="R173" s="62">
        <f t="shared" si="109"/>
        <v>293.33333333333513</v>
      </c>
      <c r="S173" s="62">
        <f ca="1">AVERAGE(OFFSET($R$3,0,0,'Données projet'!$E$9+1,1))-AVERAGE(OFFSET($H$3,0,0,'Données projet'!$E$9+1,1))</f>
        <v>236.98575892380046</v>
      </c>
      <c r="T173" s="62">
        <f t="shared" si="142"/>
        <v>145.77678223659774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140.04898296125504</v>
      </c>
      <c r="AO173" s="62">
        <f t="shared" si="144"/>
        <v>129.5395511270716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-6.2527760746888816E-13</v>
      </c>
      <c r="BE173" s="14">
        <f>BD173*VLOOKUP('Données projet'!$B$11,Paramètres!$A$1:$I$89,3,0)*VLOOKUP('Données projet'!$B$11,Paramètres!$A$1:$I$89,5,0)</f>
        <v>-2.9262992029543964E-13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207.84100251878419</v>
      </c>
      <c r="BJ173" s="62">
        <f t="shared" si="146"/>
        <v>124.34917784241952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-2.9558577807620169E-14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211.05980622218578</v>
      </c>
      <c r="CE173" s="62">
        <f t="shared" si="148"/>
        <v>168.57746894604855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191.79777926975839</v>
      </c>
      <c r="CZ173" s="62">
        <f t="shared" si="150"/>
        <v>156.66161375678712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3.3112500000000011</v>
      </c>
      <c r="DO173" s="13">
        <f>IF('Données projet'!$A$166&gt;35,DO172+DN173-DW172,IF(A173&lt;'Données projet'!$A$166,$DL$205^A173,IF(A173='Données projet'!$A$166,'Données projet'!$B$166,DO172+DN173-DW172)))</f>
        <v>411.04249999999922</v>
      </c>
      <c r="DP173" s="18">
        <f>DO173*VLOOKUP('Données projet'!$B$14,Paramètres!$A$1:$I$89,3,0)*VLOOKUP('Données projet'!$B$14,Paramètres!$A$1:$I$89,5,0)</f>
        <v>448.85840999999914</v>
      </c>
      <c r="DQ173" s="14">
        <f t="shared" si="176"/>
        <v>101.61455071990899</v>
      </c>
      <c r="DR173" s="22">
        <f t="shared" si="177"/>
        <v>958.74040658717331</v>
      </c>
      <c r="DS173" s="62">
        <f t="shared" si="125"/>
        <v>1252.0737399205066</v>
      </c>
      <c r="DT173" s="62">
        <f ca="1">AVERAGE(OFFSET($DS$3,0,0,'Données projet'!$E$14+1,1))-AVERAGE(OFFSET($H$3,0,0,'Données projet'!$E$14+1,1))</f>
        <v>541.0854688453461</v>
      </c>
      <c r="DU173" s="62">
        <f t="shared" si="152"/>
        <v>171.04847168584473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5.1159076974727213E-13</v>
      </c>
      <c r="EK173" s="18">
        <f>EJ173*VLOOKUP('Données projet'!$B$15,Paramètres!$A$1:$I$89,3,0)*VLOOKUP('Données projet'!$B$15,Paramètres!$A$1:$I$89,5,0)</f>
        <v>3.0593128030886877E-13</v>
      </c>
      <c r="EL173" s="14">
        <f t="shared" si="179"/>
        <v>4.0350537939347394E-12</v>
      </c>
      <c r="EM173" s="22">
        <f t="shared" si="180"/>
        <v>7.5605490043076185E-12</v>
      </c>
      <c r="EN173" s="62">
        <f t="shared" si="128"/>
        <v>293.33333333334087</v>
      </c>
      <c r="EO173" s="62">
        <f ca="1">AVERAGE(OFFSET($EN$3,0,0,'Données projet'!$E$15+1,1))-AVERAGE(OFFSET($H$3,0,0,'Données projet'!$E$15+1,1))</f>
        <v>244.01698421598974</v>
      </c>
      <c r="EP173" s="62">
        <f t="shared" si="154"/>
        <v>156.96653202915024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7.4157120820909514E-2</v>
      </c>
      <c r="EX173" s="23">
        <f>EXP(-LN(2)/2)*EX172+(1-EXP(-LN(2)/2))/(LN(2)/2)*ER173*EU173*VLOOKUP('Données projet'!$B$15,Paramètres!$A$1:$I$89,3,0)*0.475*44/12</f>
        <v>8.4350053784446741E-21</v>
      </c>
      <c r="EY173" s="24">
        <f t="shared" si="181"/>
        <v>7.4157120820909514E-2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-5.6843418860808015E-14</v>
      </c>
      <c r="FF173" s="18">
        <f>FE173*VLOOKUP('Données projet'!$B$16,Paramètres!$A$1:$I$89,3,0)*VLOOKUP('Données projet'!$B$16,Paramètres!$A$1:$I$89,5,0)</f>
        <v>-4.9658410716801891E-14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175.08726167127026</v>
      </c>
      <c r="FK173" s="62">
        <f t="shared" si="156"/>
        <v>196.05343924817117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8.5265128291212022E-14</v>
      </c>
      <c r="GA173" s="18">
        <f>FZ173*VLOOKUP('Données projet'!$B$17,Paramètres!$A$1:$I$89,3,0)*VLOOKUP('Données projet'!$B$17,Paramètres!$A$1:$I$89,5,0)</f>
        <v>5.5865712056402117E-14</v>
      </c>
      <c r="GB173" s="14">
        <f t="shared" si="185"/>
        <v>8.9811031843713517E-13</v>
      </c>
      <c r="GC173" s="22">
        <f t="shared" si="186"/>
        <v>1.6615082531095774E-12</v>
      </c>
      <c r="GD173" s="62">
        <f t="shared" si="134"/>
        <v>293.33333333333496</v>
      </c>
      <c r="GE173" s="62">
        <f ca="1">AVERAGE(OFFSET($GD$3,0,0,'Données projet'!$E$17+1,1))-AVERAGE(OFFSET($H$3,0,0,'Données projet'!$E$17+1,1))</f>
        <v>142.93037460866543</v>
      </c>
      <c r="GF173" s="62">
        <f t="shared" si="158"/>
        <v>146.18554498808049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5.6843418860808015E-14</v>
      </c>
      <c r="GV173" s="18">
        <f>GU173*VLOOKUP('Données projet'!$B$18,Paramètres!$A$1:$I$89,3,0)*VLOOKUP('Données projet'!$B$18,Paramètres!$A$1:$I$89,5,0)</f>
        <v>4.8771653382573282E-14</v>
      </c>
      <c r="GW173" s="14">
        <f t="shared" si="188"/>
        <v>7.9655698259503351E-13</v>
      </c>
      <c r="GX173" s="22">
        <f t="shared" si="189"/>
        <v>1.4722807076609983E-12</v>
      </c>
      <c r="GY173" s="62">
        <f t="shared" si="137"/>
        <v>293.33333333333479</v>
      </c>
      <c r="GZ173" s="62">
        <f ca="1">AVERAGE(OFFSET($GY$3,0,0,'Données projet'!$E$18+1,1))-AVERAGE(OFFSET($H$3,0,0,'Données projet'!$E$18+1,1))</f>
        <v>188.08607733149256</v>
      </c>
      <c r="HA173" s="62">
        <f t="shared" si="160"/>
        <v>119.95698016603842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51.128999999999934</v>
      </c>
      <c r="D174" s="12">
        <f t="shared" si="140"/>
        <v>14.90494885112256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509.73574551743678</v>
      </c>
      <c r="H174" s="70">
        <f t="shared" si="110"/>
        <v>371.67579424903835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6.1186256061773749E-14</v>
      </c>
      <c r="P174" s="14">
        <f t="shared" si="141"/>
        <v>9.7328366192051127E-13</v>
      </c>
      <c r="Q174" s="22">
        <f t="shared" si="162"/>
        <v>1.8017017738191463E-12</v>
      </c>
      <c r="R174" s="62">
        <f t="shared" si="109"/>
        <v>293.33333333333513</v>
      </c>
      <c r="S174" s="62">
        <f ca="1">AVERAGE(OFFSET($R$3,0,0,'Données projet'!$E$9+1,1))-AVERAGE(OFFSET($H$3,0,0,'Données projet'!$E$9+1,1))</f>
        <v>236.98575892380046</v>
      </c>
      <c r="T174" s="62">
        <f t="shared" si="142"/>
        <v>145.77678223659774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140.04898296125504</v>
      </c>
      <c r="AO174" s="62">
        <f t="shared" si="144"/>
        <v>129.5395511270716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-6.2527760746888816E-13</v>
      </c>
      <c r="BE174" s="14">
        <f>BD174*VLOOKUP('Données projet'!$B$11,Paramètres!$A$1:$I$89,3,0)*VLOOKUP('Données projet'!$B$11,Paramètres!$A$1:$I$89,5,0)</f>
        <v>-2.9262992029543964E-13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207.84100251878419</v>
      </c>
      <c r="BJ174" s="62">
        <f t="shared" si="146"/>
        <v>124.34917784241952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-2.9558577807620169E-14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211.05980622218578</v>
      </c>
      <c r="CE174" s="62">
        <f t="shared" si="148"/>
        <v>168.57746894604855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191.79777926975839</v>
      </c>
      <c r="CZ174" s="62">
        <f t="shared" si="150"/>
        <v>156.66161375678712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3.3112500000000011</v>
      </c>
      <c r="DO174" s="13">
        <f>IF('Données projet'!$A$166&gt;35,DO173+DN174-DW173,IF(A174&lt;'Données projet'!$A$166,$DL$205^A174,IF(A174='Données projet'!$A$166,'Données projet'!$B$166,DO173+DN174-DW173)))</f>
        <v>414.3537499999992</v>
      </c>
      <c r="DP174" s="18">
        <f>DO174*VLOOKUP('Données projet'!$B$14,Paramètres!$A$1:$I$89,3,0)*VLOOKUP('Données projet'!$B$14,Paramètres!$A$1:$I$89,5,0)</f>
        <v>452.47429499999907</v>
      </c>
      <c r="DQ174" s="14">
        <f t="shared" si="176"/>
        <v>102.3375099312467</v>
      </c>
      <c r="DR174" s="22">
        <f t="shared" si="177"/>
        <v>966.29722692191979</v>
      </c>
      <c r="DS174" s="62">
        <f t="shared" si="125"/>
        <v>1259.6305602552532</v>
      </c>
      <c r="DT174" s="62">
        <f ca="1">AVERAGE(OFFSET($DS$3,0,0,'Données projet'!$E$14+1,1))-AVERAGE(OFFSET($H$3,0,0,'Données projet'!$E$14+1,1))</f>
        <v>541.0854688453461</v>
      </c>
      <c r="DU174" s="62">
        <f t="shared" si="152"/>
        <v>171.04847168584473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5.1159076974727213E-13</v>
      </c>
      <c r="EK174" s="18">
        <f>EJ174*VLOOKUP('Données projet'!$B$15,Paramètres!$A$1:$I$89,3,0)*VLOOKUP('Données projet'!$B$15,Paramètres!$A$1:$I$89,5,0)</f>
        <v>3.0593128030886877E-13</v>
      </c>
      <c r="EL174" s="14">
        <f t="shared" si="179"/>
        <v>4.0350537939347394E-12</v>
      </c>
      <c r="EM174" s="22">
        <f t="shared" si="180"/>
        <v>7.5605490043076185E-12</v>
      </c>
      <c r="EN174" s="62">
        <f t="shared" si="128"/>
        <v>293.33333333334087</v>
      </c>
      <c r="EO174" s="62">
        <f ca="1">AVERAGE(OFFSET($EN$3,0,0,'Données projet'!$E$15+1,1))-AVERAGE(OFFSET($H$3,0,0,'Données projet'!$E$15+1,1))</f>
        <v>244.01698421598974</v>
      </c>
      <c r="EP174" s="62">
        <f t="shared" si="154"/>
        <v>156.96653202915024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7.2129290452308245E-2</v>
      </c>
      <c r="EX174" s="23">
        <f>EXP(-LN(2)/2)*EX173+(1-EXP(-LN(2)/2))/(LN(2)/2)*ER174*EU174*VLOOKUP('Données projet'!$B$15,Paramètres!$A$1:$I$89,3,0)*0.475*44/12</f>
        <v>5.9644495024432298E-21</v>
      </c>
      <c r="EY174" s="24">
        <f t="shared" si="181"/>
        <v>7.2129290452308245E-2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-5.6843418860808015E-14</v>
      </c>
      <c r="FF174" s="18">
        <f>FE174*VLOOKUP('Données projet'!$B$16,Paramètres!$A$1:$I$89,3,0)*VLOOKUP('Données projet'!$B$16,Paramètres!$A$1:$I$89,5,0)</f>
        <v>-4.9658410716801891E-14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175.08726167127026</v>
      </c>
      <c r="FK174" s="62">
        <f t="shared" si="156"/>
        <v>196.05343924817117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8.5265128291212022E-14</v>
      </c>
      <c r="GA174" s="18">
        <f>FZ174*VLOOKUP('Données projet'!$B$17,Paramètres!$A$1:$I$89,3,0)*VLOOKUP('Données projet'!$B$17,Paramètres!$A$1:$I$89,5,0)</f>
        <v>5.5865712056402117E-14</v>
      </c>
      <c r="GB174" s="14">
        <f t="shared" si="185"/>
        <v>8.9811031843713517E-13</v>
      </c>
      <c r="GC174" s="22">
        <f t="shared" si="186"/>
        <v>1.6615082531095774E-12</v>
      </c>
      <c r="GD174" s="62">
        <f t="shared" si="134"/>
        <v>293.33333333333496</v>
      </c>
      <c r="GE174" s="62">
        <f ca="1">AVERAGE(OFFSET($GD$3,0,0,'Données projet'!$E$17+1,1))-AVERAGE(OFFSET($H$3,0,0,'Données projet'!$E$17+1,1))</f>
        <v>142.93037460866543</v>
      </c>
      <c r="GF174" s="62">
        <f t="shared" si="158"/>
        <v>146.18554498808049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5.6843418860808015E-14</v>
      </c>
      <c r="GV174" s="18">
        <f>GU174*VLOOKUP('Données projet'!$B$18,Paramètres!$A$1:$I$89,3,0)*VLOOKUP('Données projet'!$B$18,Paramètres!$A$1:$I$89,5,0)</f>
        <v>4.8771653382573282E-14</v>
      </c>
      <c r="GW174" s="14">
        <f t="shared" si="188"/>
        <v>7.9655698259503351E-13</v>
      </c>
      <c r="GX174" s="22">
        <f t="shared" si="189"/>
        <v>1.4722807076609983E-12</v>
      </c>
      <c r="GY174" s="62">
        <f t="shared" si="137"/>
        <v>293.33333333333479</v>
      </c>
      <c r="GZ174" s="62">
        <f ca="1">AVERAGE(OFFSET($GY$3,0,0,'Données projet'!$E$18+1,1))-AVERAGE(OFFSET($H$3,0,0,'Données projet'!$E$18+1,1))</f>
        <v>188.08607733149256</v>
      </c>
      <c r="HA174" s="62">
        <f t="shared" si="160"/>
        <v>119.95698016603842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51.427999999999933</v>
      </c>
      <c r="D175" s="12">
        <f t="shared" si="140"/>
        <v>14.981940313719656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512.63813575502843</v>
      </c>
      <c r="H175" s="70">
        <f t="shared" si="110"/>
        <v>372.33064604639497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6.1186256061773749E-14</v>
      </c>
      <c r="P175" s="14">
        <f t="shared" si="141"/>
        <v>9.7328366192051127E-13</v>
      </c>
      <c r="Q175" s="22">
        <f t="shared" si="162"/>
        <v>1.8017017738191463E-12</v>
      </c>
      <c r="R175" s="62">
        <f t="shared" si="109"/>
        <v>293.33333333333513</v>
      </c>
      <c r="S175" s="62">
        <f ca="1">AVERAGE(OFFSET($R$3,0,0,'Données projet'!$E$9+1,1))-AVERAGE(OFFSET($H$3,0,0,'Données projet'!$E$9+1,1))</f>
        <v>236.98575892380046</v>
      </c>
      <c r="T175" s="62">
        <f t="shared" si="142"/>
        <v>145.77678223659774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140.04898296125504</v>
      </c>
      <c r="AO175" s="62">
        <f t="shared" si="144"/>
        <v>129.5395511270716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-6.2527760746888816E-13</v>
      </c>
      <c r="BE175" s="14">
        <f>BD175*VLOOKUP('Données projet'!$B$11,Paramètres!$A$1:$I$89,3,0)*VLOOKUP('Données projet'!$B$11,Paramètres!$A$1:$I$89,5,0)</f>
        <v>-2.9262992029543964E-13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207.84100251878419</v>
      </c>
      <c r="BJ175" s="62">
        <f t="shared" si="146"/>
        <v>124.34917784241952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-2.9558577807620169E-14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211.05980622218578</v>
      </c>
      <c r="CE175" s="62">
        <f t="shared" si="148"/>
        <v>168.57746894604855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191.79777926975839</v>
      </c>
      <c r="CZ175" s="62">
        <f t="shared" si="150"/>
        <v>156.66161375678712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3.3112500000000011</v>
      </c>
      <c r="DO175" s="13">
        <f>IF('Données projet'!$A$166&gt;35,DO174+DN175-DW174,IF(A175&lt;'Données projet'!$A$166,$DL$205^A175,IF(A175='Données projet'!$A$166,'Données projet'!$B$166,DO174+DN175-DW174)))</f>
        <v>417.66499999999917</v>
      </c>
      <c r="DP175" s="18">
        <f>DO175*VLOOKUP('Données projet'!$B$14,Paramètres!$A$1:$I$89,3,0)*VLOOKUP('Données projet'!$B$14,Paramètres!$A$1:$I$89,5,0)</f>
        <v>456.09017999999901</v>
      </c>
      <c r="DQ175" s="14">
        <f t="shared" si="176"/>
        <v>103.05979695515069</v>
      </c>
      <c r="DR175" s="22">
        <f t="shared" si="177"/>
        <v>973.85287653021896</v>
      </c>
      <c r="DS175" s="62">
        <f t="shared" si="125"/>
        <v>1267.1862098635522</v>
      </c>
      <c r="DT175" s="62">
        <f ca="1">AVERAGE(OFFSET($DS$3,0,0,'Données projet'!$E$14+1,1))-AVERAGE(OFFSET($H$3,0,0,'Données projet'!$E$14+1,1))</f>
        <v>541.0854688453461</v>
      </c>
      <c r="DU175" s="62">
        <f t="shared" si="152"/>
        <v>171.04847168584473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5.1159076974727213E-13</v>
      </c>
      <c r="EK175" s="18">
        <f>EJ175*VLOOKUP('Données projet'!$B$15,Paramètres!$A$1:$I$89,3,0)*VLOOKUP('Données projet'!$B$15,Paramètres!$A$1:$I$89,5,0)</f>
        <v>3.0593128030886877E-13</v>
      </c>
      <c r="EL175" s="14">
        <f t="shared" si="179"/>
        <v>4.0350537939347394E-12</v>
      </c>
      <c r="EM175" s="22">
        <f t="shared" si="180"/>
        <v>7.5605490043076185E-12</v>
      </c>
      <c r="EN175" s="62">
        <f t="shared" si="128"/>
        <v>293.33333333334087</v>
      </c>
      <c r="EO175" s="62">
        <f ca="1">AVERAGE(OFFSET($EN$3,0,0,'Données projet'!$E$15+1,1))-AVERAGE(OFFSET($H$3,0,0,'Données projet'!$E$15+1,1))</f>
        <v>244.01698421598974</v>
      </c>
      <c r="EP175" s="62">
        <f t="shared" si="154"/>
        <v>156.96653202915024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7.015691121177535E-2</v>
      </c>
      <c r="EX175" s="23">
        <f>EXP(-LN(2)/2)*EX174+(1-EXP(-LN(2)/2))/(LN(2)/2)*ER175*EU175*VLOOKUP('Données projet'!$B$15,Paramètres!$A$1:$I$89,3,0)*0.475*44/12</f>
        <v>4.2175026892223371E-21</v>
      </c>
      <c r="EY175" s="24">
        <f t="shared" si="181"/>
        <v>7.015691121177535E-2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-5.6843418860808015E-14</v>
      </c>
      <c r="FF175" s="18">
        <f>FE175*VLOOKUP('Données projet'!$B$16,Paramètres!$A$1:$I$89,3,0)*VLOOKUP('Données projet'!$B$16,Paramètres!$A$1:$I$89,5,0)</f>
        <v>-4.9658410716801891E-14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175.08726167127026</v>
      </c>
      <c r="FK175" s="62">
        <f t="shared" si="156"/>
        <v>196.05343924817117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8.5265128291212022E-14</v>
      </c>
      <c r="GA175" s="18">
        <f>FZ175*VLOOKUP('Données projet'!$B$17,Paramètres!$A$1:$I$89,3,0)*VLOOKUP('Données projet'!$B$17,Paramètres!$A$1:$I$89,5,0)</f>
        <v>5.5865712056402117E-14</v>
      </c>
      <c r="GB175" s="14">
        <f t="shared" si="185"/>
        <v>8.9811031843713517E-13</v>
      </c>
      <c r="GC175" s="22">
        <f t="shared" si="186"/>
        <v>1.6615082531095774E-12</v>
      </c>
      <c r="GD175" s="62">
        <f t="shared" si="134"/>
        <v>293.33333333333496</v>
      </c>
      <c r="GE175" s="62">
        <f ca="1">AVERAGE(OFFSET($GD$3,0,0,'Données projet'!$E$17+1,1))-AVERAGE(OFFSET($H$3,0,0,'Données projet'!$E$17+1,1))</f>
        <v>142.93037460866543</v>
      </c>
      <c r="GF175" s="62">
        <f t="shared" si="158"/>
        <v>146.18554498808049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5.6843418860808015E-14</v>
      </c>
      <c r="GV175" s="18">
        <f>GU175*VLOOKUP('Données projet'!$B$18,Paramètres!$A$1:$I$89,3,0)*VLOOKUP('Données projet'!$B$18,Paramètres!$A$1:$I$89,5,0)</f>
        <v>4.8771653382573282E-14</v>
      </c>
      <c r="GW175" s="14">
        <f t="shared" si="188"/>
        <v>7.9655698259503351E-13</v>
      </c>
      <c r="GX175" s="22">
        <f t="shared" si="189"/>
        <v>1.4722807076609983E-12</v>
      </c>
      <c r="GY175" s="62">
        <f t="shared" si="137"/>
        <v>293.33333333333479</v>
      </c>
      <c r="GZ175" s="62">
        <f ca="1">AVERAGE(OFFSET($GY$3,0,0,'Données projet'!$E$18+1,1))-AVERAGE(OFFSET($H$3,0,0,'Données projet'!$E$18+1,1))</f>
        <v>188.08607733149256</v>
      </c>
      <c r="HA175" s="62">
        <f t="shared" si="160"/>
        <v>119.95698016603842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51.726999999999933</v>
      </c>
      <c r="D176" s="12">
        <f t="shared" si="140"/>
        <v>15.058879690108062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515.54012392364064</v>
      </c>
      <c r="H176" s="70">
        <f t="shared" si="110"/>
        <v>372.98540712693807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6.1186256061773749E-14</v>
      </c>
      <c r="P176" s="14">
        <f t="shared" si="141"/>
        <v>9.7328366192051127E-13</v>
      </c>
      <c r="Q176" s="22">
        <f t="shared" si="162"/>
        <v>1.8017017738191463E-12</v>
      </c>
      <c r="R176" s="62">
        <f t="shared" si="109"/>
        <v>293.33333333333513</v>
      </c>
      <c r="S176" s="62">
        <f ca="1">AVERAGE(OFFSET($R$3,0,0,'Données projet'!$E$9+1,1))-AVERAGE(OFFSET($H$3,0,0,'Données projet'!$E$9+1,1))</f>
        <v>236.98575892380046</v>
      </c>
      <c r="T176" s="62">
        <f t="shared" si="142"/>
        <v>145.77678223659774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140.04898296125504</v>
      </c>
      <c r="AO176" s="62">
        <f t="shared" si="144"/>
        <v>129.5395511270716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-6.2527760746888816E-13</v>
      </c>
      <c r="BE176" s="14">
        <f>BD176*VLOOKUP('Données projet'!$B$11,Paramètres!$A$1:$I$89,3,0)*VLOOKUP('Données projet'!$B$11,Paramètres!$A$1:$I$89,5,0)</f>
        <v>-2.9262992029543964E-13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207.84100251878419</v>
      </c>
      <c r="BJ176" s="62">
        <f t="shared" si="146"/>
        <v>124.34917784241952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-2.9558577807620169E-14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211.05980622218578</v>
      </c>
      <c r="CE176" s="62">
        <f t="shared" si="148"/>
        <v>168.57746894604855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191.79777926975839</v>
      </c>
      <c r="CZ176" s="62">
        <f t="shared" si="150"/>
        <v>156.66161375678712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3.3112500000000011</v>
      </c>
      <c r="DO176" s="13">
        <f>IF('Données projet'!$A$166&gt;35,DO175+DN176-DW175,IF(A176&lt;'Données projet'!$A$166,$DL$205^A176,IF(A176='Données projet'!$A$166,'Données projet'!$B$166,DO175+DN176-DW175)))</f>
        <v>420.97624999999914</v>
      </c>
      <c r="DP176" s="18">
        <f>DO176*VLOOKUP('Données projet'!$B$14,Paramètres!$A$1:$I$89,3,0)*VLOOKUP('Données projet'!$B$14,Paramètres!$A$1:$I$89,5,0)</f>
        <v>459.70606499999906</v>
      </c>
      <c r="DQ176" s="14">
        <f t="shared" si="176"/>
        <v>103.78141773841432</v>
      </c>
      <c r="DR176" s="22">
        <f t="shared" si="177"/>
        <v>981.40736576940333</v>
      </c>
      <c r="DS176" s="62">
        <f t="shared" si="125"/>
        <v>1274.7406991027367</v>
      </c>
      <c r="DT176" s="62">
        <f ca="1">AVERAGE(OFFSET($DS$3,0,0,'Données projet'!$E$14+1,1))-AVERAGE(OFFSET($H$3,0,0,'Données projet'!$E$14+1,1))</f>
        <v>541.0854688453461</v>
      </c>
      <c r="DU176" s="62">
        <f t="shared" si="152"/>
        <v>171.04847168584473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5.1159076974727213E-13</v>
      </c>
      <c r="EK176" s="18">
        <f>EJ176*VLOOKUP('Données projet'!$B$15,Paramètres!$A$1:$I$89,3,0)*VLOOKUP('Données projet'!$B$15,Paramètres!$A$1:$I$89,5,0)</f>
        <v>3.0593128030886877E-13</v>
      </c>
      <c r="EL176" s="14">
        <f t="shared" si="179"/>
        <v>4.0350537939347394E-12</v>
      </c>
      <c r="EM176" s="22">
        <f t="shared" si="180"/>
        <v>7.5605490043076185E-12</v>
      </c>
      <c r="EN176" s="62">
        <f t="shared" si="128"/>
        <v>293.33333333334087</v>
      </c>
      <c r="EO176" s="62">
        <f ca="1">AVERAGE(OFFSET($EN$3,0,0,'Données projet'!$E$15+1,1))-AVERAGE(OFFSET($H$3,0,0,'Données projet'!$E$15+1,1))</f>
        <v>244.01698421598974</v>
      </c>
      <c r="EP176" s="62">
        <f t="shared" si="154"/>
        <v>156.96653202915024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6.8238466785297741E-2</v>
      </c>
      <c r="EX176" s="23">
        <f>EXP(-LN(2)/2)*EX175+(1-EXP(-LN(2)/2))/(LN(2)/2)*ER176*EU176*VLOOKUP('Données projet'!$B$15,Paramètres!$A$1:$I$89,3,0)*0.475*44/12</f>
        <v>2.9822247512216149E-21</v>
      </c>
      <c r="EY176" s="24">
        <f t="shared" si="181"/>
        <v>6.8238466785297741E-2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-5.6843418860808015E-14</v>
      </c>
      <c r="FF176" s="18">
        <f>FE176*VLOOKUP('Données projet'!$B$16,Paramètres!$A$1:$I$89,3,0)*VLOOKUP('Données projet'!$B$16,Paramètres!$A$1:$I$89,5,0)</f>
        <v>-4.9658410716801891E-14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175.08726167127026</v>
      </c>
      <c r="FK176" s="62">
        <f t="shared" si="156"/>
        <v>196.05343924817117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8.5265128291212022E-14</v>
      </c>
      <c r="GA176" s="18">
        <f>FZ176*VLOOKUP('Données projet'!$B$17,Paramètres!$A$1:$I$89,3,0)*VLOOKUP('Données projet'!$B$17,Paramètres!$A$1:$I$89,5,0)</f>
        <v>5.5865712056402117E-14</v>
      </c>
      <c r="GB176" s="14">
        <f t="shared" si="185"/>
        <v>8.9811031843713517E-13</v>
      </c>
      <c r="GC176" s="22">
        <f t="shared" si="186"/>
        <v>1.6615082531095774E-12</v>
      </c>
      <c r="GD176" s="62">
        <f t="shared" si="134"/>
        <v>293.33333333333496</v>
      </c>
      <c r="GE176" s="62">
        <f ca="1">AVERAGE(OFFSET($GD$3,0,0,'Données projet'!$E$17+1,1))-AVERAGE(OFFSET($H$3,0,0,'Données projet'!$E$17+1,1))</f>
        <v>142.93037460866543</v>
      </c>
      <c r="GF176" s="62">
        <f t="shared" si="158"/>
        <v>146.18554498808049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5.6843418860808015E-14</v>
      </c>
      <c r="GV176" s="18">
        <f>GU176*VLOOKUP('Données projet'!$B$18,Paramètres!$A$1:$I$89,3,0)*VLOOKUP('Données projet'!$B$18,Paramètres!$A$1:$I$89,5,0)</f>
        <v>4.8771653382573282E-14</v>
      </c>
      <c r="GW176" s="14">
        <f t="shared" si="188"/>
        <v>7.9655698259503351E-13</v>
      </c>
      <c r="GX176" s="22">
        <f t="shared" si="189"/>
        <v>1.4722807076609983E-12</v>
      </c>
      <c r="GY176" s="62">
        <f t="shared" si="137"/>
        <v>293.33333333333479</v>
      </c>
      <c r="GZ176" s="62">
        <f ca="1">AVERAGE(OFFSET($GY$3,0,0,'Données projet'!$E$18+1,1))-AVERAGE(OFFSET($H$3,0,0,'Données projet'!$E$18+1,1))</f>
        <v>188.08607733149256</v>
      </c>
      <c r="HA176" s="62">
        <f t="shared" si="160"/>
        <v>119.95698016603842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52.025999999999932</v>
      </c>
      <c r="D177" s="12">
        <f t="shared" si="140"/>
        <v>15.135767316300106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518.44171261705299</v>
      </c>
      <c r="H177" s="70">
        <f t="shared" si="110"/>
        <v>373.64007807588928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6.1186256061773749E-14</v>
      </c>
      <c r="P177" s="14">
        <f t="shared" si="141"/>
        <v>9.7328366192051127E-13</v>
      </c>
      <c r="Q177" s="22">
        <f t="shared" si="162"/>
        <v>1.8017017738191463E-12</v>
      </c>
      <c r="R177" s="62">
        <f t="shared" si="109"/>
        <v>293.33333333333513</v>
      </c>
      <c r="S177" s="62">
        <f ca="1">AVERAGE(OFFSET($R$3,0,0,'Données projet'!$E$9+1,1))-AVERAGE(OFFSET($H$3,0,0,'Données projet'!$E$9+1,1))</f>
        <v>236.98575892380046</v>
      </c>
      <c r="T177" s="62">
        <f t="shared" si="142"/>
        <v>145.77678223659774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140.04898296125504</v>
      </c>
      <c r="AO177" s="62">
        <f t="shared" si="144"/>
        <v>129.5395511270716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-6.2527760746888816E-13</v>
      </c>
      <c r="BE177" s="14">
        <f>BD177*VLOOKUP('Données projet'!$B$11,Paramètres!$A$1:$I$89,3,0)*VLOOKUP('Données projet'!$B$11,Paramètres!$A$1:$I$89,5,0)</f>
        <v>-2.9262992029543964E-13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207.84100251878419</v>
      </c>
      <c r="BJ177" s="62">
        <f t="shared" si="146"/>
        <v>124.34917784241952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-2.9558577807620169E-14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211.05980622218578</v>
      </c>
      <c r="CE177" s="62">
        <f t="shared" si="148"/>
        <v>168.57746894604855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191.79777926975839</v>
      </c>
      <c r="CZ177" s="62">
        <f t="shared" si="150"/>
        <v>156.66161375678712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3.3112500000000011</v>
      </c>
      <c r="DO177" s="13">
        <f>IF('Données projet'!$A$166&gt;35,DO176+DN177-DW176,IF(A177&lt;'Données projet'!$A$166,$DL$205^A177,IF(A177='Données projet'!$A$166,'Données projet'!$B$166,DO176+DN177-DW176)))</f>
        <v>424.28749999999911</v>
      </c>
      <c r="DP177" s="18">
        <f>DO177*VLOOKUP('Données projet'!$B$14,Paramètres!$A$1:$I$89,3,0)*VLOOKUP('Données projet'!$B$14,Paramètres!$A$1:$I$89,5,0)</f>
        <v>463.32194999999899</v>
      </c>
      <c r="DQ177" s="14">
        <f t="shared" si="176"/>
        <v>104.50237812887816</v>
      </c>
      <c r="DR177" s="22">
        <f t="shared" si="177"/>
        <v>988.960704824461</v>
      </c>
      <c r="DS177" s="62">
        <f t="shared" si="125"/>
        <v>1282.2940381577944</v>
      </c>
      <c r="DT177" s="62">
        <f ca="1">AVERAGE(OFFSET($DS$3,0,0,'Données projet'!$E$14+1,1))-AVERAGE(OFFSET($H$3,0,0,'Données projet'!$E$14+1,1))</f>
        <v>541.0854688453461</v>
      </c>
      <c r="DU177" s="62">
        <f t="shared" si="152"/>
        <v>171.04847168584473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5.1159076974727213E-13</v>
      </c>
      <c r="EK177" s="18">
        <f>EJ177*VLOOKUP('Données projet'!$B$15,Paramètres!$A$1:$I$89,3,0)*VLOOKUP('Données projet'!$B$15,Paramètres!$A$1:$I$89,5,0)</f>
        <v>3.0593128030886877E-13</v>
      </c>
      <c r="EL177" s="14">
        <f t="shared" si="179"/>
        <v>4.0350537939347394E-12</v>
      </c>
      <c r="EM177" s="22">
        <f t="shared" si="180"/>
        <v>7.5605490043076185E-12</v>
      </c>
      <c r="EN177" s="62">
        <f t="shared" si="128"/>
        <v>293.33333333334087</v>
      </c>
      <c r="EO177" s="62">
        <f ca="1">AVERAGE(OFFSET($EN$3,0,0,'Données projet'!$E$15+1,1))-AVERAGE(OFFSET($H$3,0,0,'Données projet'!$E$15+1,1))</f>
        <v>244.01698421598974</v>
      </c>
      <c r="EP177" s="62">
        <f t="shared" si="154"/>
        <v>156.96653202915024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6.6372482322548762E-2</v>
      </c>
      <c r="EX177" s="23">
        <f>EXP(-LN(2)/2)*EX176+(1-EXP(-LN(2)/2))/(LN(2)/2)*ER177*EU177*VLOOKUP('Données projet'!$B$15,Paramètres!$A$1:$I$89,3,0)*0.475*44/12</f>
        <v>2.1087513446111685E-21</v>
      </c>
      <c r="EY177" s="24">
        <f t="shared" si="181"/>
        <v>6.6372482322548762E-2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-5.6843418860808015E-14</v>
      </c>
      <c r="FF177" s="18">
        <f>FE177*VLOOKUP('Données projet'!$B$16,Paramètres!$A$1:$I$89,3,0)*VLOOKUP('Données projet'!$B$16,Paramètres!$A$1:$I$89,5,0)</f>
        <v>-4.9658410716801891E-14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175.08726167127026</v>
      </c>
      <c r="FK177" s="62">
        <f t="shared" si="156"/>
        <v>196.05343924817117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8.5265128291212022E-14</v>
      </c>
      <c r="GA177" s="18">
        <f>FZ177*VLOOKUP('Données projet'!$B$17,Paramètres!$A$1:$I$89,3,0)*VLOOKUP('Données projet'!$B$17,Paramètres!$A$1:$I$89,5,0)</f>
        <v>5.5865712056402117E-14</v>
      </c>
      <c r="GB177" s="14">
        <f t="shared" si="185"/>
        <v>8.9811031843713517E-13</v>
      </c>
      <c r="GC177" s="22">
        <f t="shared" si="186"/>
        <v>1.6615082531095774E-12</v>
      </c>
      <c r="GD177" s="62">
        <f t="shared" si="134"/>
        <v>293.33333333333496</v>
      </c>
      <c r="GE177" s="62">
        <f ca="1">AVERAGE(OFFSET($GD$3,0,0,'Données projet'!$E$17+1,1))-AVERAGE(OFFSET($H$3,0,0,'Données projet'!$E$17+1,1))</f>
        <v>142.93037460866543</v>
      </c>
      <c r="GF177" s="62">
        <f t="shared" si="158"/>
        <v>146.18554498808049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5.6843418860808015E-14</v>
      </c>
      <c r="GV177" s="18">
        <f>GU177*VLOOKUP('Données projet'!$B$18,Paramètres!$A$1:$I$89,3,0)*VLOOKUP('Données projet'!$B$18,Paramètres!$A$1:$I$89,5,0)</f>
        <v>4.8771653382573282E-14</v>
      </c>
      <c r="GW177" s="14">
        <f t="shared" si="188"/>
        <v>7.9655698259503351E-13</v>
      </c>
      <c r="GX177" s="22">
        <f t="shared" si="189"/>
        <v>1.4722807076609983E-12</v>
      </c>
      <c r="GY177" s="62">
        <f t="shared" si="137"/>
        <v>293.33333333333479</v>
      </c>
      <c r="GZ177" s="62">
        <f ca="1">AVERAGE(OFFSET($GY$3,0,0,'Données projet'!$E$18+1,1))-AVERAGE(OFFSET($H$3,0,0,'Données projet'!$E$18+1,1))</f>
        <v>188.08607733149256</v>
      </c>
      <c r="HA177" s="62">
        <f t="shared" si="160"/>
        <v>119.95698016603842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52.324999999999932</v>
      </c>
      <c r="D178" s="12">
        <f t="shared" si="140"/>
        <v>15.212603524222443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521.342904397506</v>
      </c>
      <c r="H178" s="70">
        <f t="shared" si="110"/>
        <v>374.29465947135401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6.1186256061773749E-14</v>
      </c>
      <c r="P178" s="14">
        <f t="shared" si="141"/>
        <v>9.7328366192051127E-13</v>
      </c>
      <c r="Q178" s="22">
        <f t="shared" si="162"/>
        <v>1.8017017738191463E-12</v>
      </c>
      <c r="R178" s="62">
        <f t="shared" si="109"/>
        <v>293.33333333333513</v>
      </c>
      <c r="S178" s="62">
        <f ca="1">AVERAGE(OFFSET($R$3,0,0,'Données projet'!$E$9+1,1))-AVERAGE(OFFSET($H$3,0,0,'Données projet'!$E$9+1,1))</f>
        <v>236.98575892380046</v>
      </c>
      <c r="T178" s="62">
        <f t="shared" si="142"/>
        <v>145.77678223659774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140.04898296125504</v>
      </c>
      <c r="AO178" s="62">
        <f t="shared" si="144"/>
        <v>129.5395511270716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-6.2527760746888816E-13</v>
      </c>
      <c r="BE178" s="14">
        <f>BD178*VLOOKUP('Données projet'!$B$11,Paramètres!$A$1:$I$89,3,0)*VLOOKUP('Données projet'!$B$11,Paramètres!$A$1:$I$89,5,0)</f>
        <v>-2.9262992029543964E-13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207.84100251878419</v>
      </c>
      <c r="BJ178" s="62">
        <f t="shared" si="146"/>
        <v>124.34917784241952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-2.9558577807620169E-14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211.05980622218578</v>
      </c>
      <c r="CE178" s="62">
        <f t="shared" si="148"/>
        <v>168.57746894604855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191.79777926975839</v>
      </c>
      <c r="CZ178" s="62">
        <f t="shared" si="150"/>
        <v>156.66161375678712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3.3112500000000011</v>
      </c>
      <c r="DO178" s="13">
        <f>IF('Données projet'!$A$166&gt;35,DO177+DN178-DW177,IF(A178&lt;'Données projet'!$A$166,$DL$205^A178,IF(A178='Données projet'!$A$166,'Données projet'!$B$166,DO177+DN178-DW177)))</f>
        <v>427.59874999999909</v>
      </c>
      <c r="DP178" s="18">
        <f>DO178*VLOOKUP('Données projet'!$B$14,Paramètres!$A$1:$I$89,3,0)*VLOOKUP('Données projet'!$B$14,Paramètres!$A$1:$I$89,5,0)</f>
        <v>466.93783499999904</v>
      </c>
      <c r="DQ178" s="14">
        <f t="shared" si="176"/>
        <v>105.22268387783539</v>
      </c>
      <c r="DR178" s="22">
        <f t="shared" si="177"/>
        <v>996.51290371222819</v>
      </c>
      <c r="DS178" s="62">
        <f t="shared" si="125"/>
        <v>1289.8462370455616</v>
      </c>
      <c r="DT178" s="62">
        <f ca="1">AVERAGE(OFFSET($DS$3,0,0,'Données projet'!$E$14+1,1))-AVERAGE(OFFSET($H$3,0,0,'Données projet'!$E$14+1,1))</f>
        <v>541.0854688453461</v>
      </c>
      <c r="DU178" s="62">
        <f t="shared" si="152"/>
        <v>171.04847168584473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5.1159076974727213E-13</v>
      </c>
      <c r="EK178" s="18">
        <f>EJ178*VLOOKUP('Données projet'!$B$15,Paramètres!$A$1:$I$89,3,0)*VLOOKUP('Données projet'!$B$15,Paramètres!$A$1:$I$89,5,0)</f>
        <v>3.0593128030886877E-13</v>
      </c>
      <c r="EL178" s="14">
        <f t="shared" si="179"/>
        <v>4.0350537939347394E-12</v>
      </c>
      <c r="EM178" s="22">
        <f t="shared" si="180"/>
        <v>7.5605490043076185E-12</v>
      </c>
      <c r="EN178" s="62">
        <f t="shared" si="128"/>
        <v>293.33333333334087</v>
      </c>
      <c r="EO178" s="62">
        <f ca="1">AVERAGE(OFFSET($EN$3,0,0,'Données projet'!$E$15+1,1))-AVERAGE(OFFSET($H$3,0,0,'Données projet'!$E$15+1,1))</f>
        <v>244.01698421598974</v>
      </c>
      <c r="EP178" s="62">
        <f t="shared" si="154"/>
        <v>156.96653202915024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6.4557523303061512E-2</v>
      </c>
      <c r="EX178" s="23">
        <f>EXP(-LN(2)/2)*EX177+(1-EXP(-LN(2)/2))/(LN(2)/2)*ER178*EU178*VLOOKUP('Données projet'!$B$15,Paramètres!$A$1:$I$89,3,0)*0.475*44/12</f>
        <v>1.4911123756108074E-21</v>
      </c>
      <c r="EY178" s="24">
        <f t="shared" si="181"/>
        <v>6.4557523303061512E-2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-5.6843418860808015E-14</v>
      </c>
      <c r="FF178" s="18">
        <f>FE178*VLOOKUP('Données projet'!$B$16,Paramètres!$A$1:$I$89,3,0)*VLOOKUP('Données projet'!$B$16,Paramètres!$A$1:$I$89,5,0)</f>
        <v>-4.9658410716801891E-14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175.08726167127026</v>
      </c>
      <c r="FK178" s="62">
        <f t="shared" si="156"/>
        <v>196.05343924817117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8.5265128291212022E-14</v>
      </c>
      <c r="GA178" s="18">
        <f>FZ178*VLOOKUP('Données projet'!$B$17,Paramètres!$A$1:$I$89,3,0)*VLOOKUP('Données projet'!$B$17,Paramètres!$A$1:$I$89,5,0)</f>
        <v>5.5865712056402117E-14</v>
      </c>
      <c r="GB178" s="14">
        <f t="shared" si="185"/>
        <v>8.9811031843713517E-13</v>
      </c>
      <c r="GC178" s="22">
        <f t="shared" si="186"/>
        <v>1.6615082531095774E-12</v>
      </c>
      <c r="GD178" s="62">
        <f t="shared" si="134"/>
        <v>293.33333333333496</v>
      </c>
      <c r="GE178" s="62">
        <f ca="1">AVERAGE(OFFSET($GD$3,0,0,'Données projet'!$E$17+1,1))-AVERAGE(OFFSET($H$3,0,0,'Données projet'!$E$17+1,1))</f>
        <v>142.93037460866543</v>
      </c>
      <c r="GF178" s="62">
        <f t="shared" si="158"/>
        <v>146.18554498808049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5.6843418860808015E-14</v>
      </c>
      <c r="GV178" s="18">
        <f>GU178*VLOOKUP('Données projet'!$B$18,Paramètres!$A$1:$I$89,3,0)*VLOOKUP('Données projet'!$B$18,Paramètres!$A$1:$I$89,5,0)</f>
        <v>4.8771653382573282E-14</v>
      </c>
      <c r="GW178" s="14">
        <f t="shared" si="188"/>
        <v>7.9655698259503351E-13</v>
      </c>
      <c r="GX178" s="22">
        <f t="shared" si="189"/>
        <v>1.4722807076609983E-12</v>
      </c>
      <c r="GY178" s="62">
        <f t="shared" si="137"/>
        <v>293.33333333333479</v>
      </c>
      <c r="GZ178" s="62">
        <f ca="1">AVERAGE(OFFSET($GY$3,0,0,'Données projet'!$E$18+1,1))-AVERAGE(OFFSET($H$3,0,0,'Données projet'!$E$18+1,1))</f>
        <v>188.08607733149256</v>
      </c>
      <c r="HA178" s="62">
        <f t="shared" si="160"/>
        <v>119.95698016603842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52.623999999999931</v>
      </c>
      <c r="D179" s="12">
        <f t="shared" si="140"/>
        <v>15.289388641788751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524.24370179626351</v>
      </c>
      <c r="H179" s="70">
        <f t="shared" si="110"/>
        <v>374.94915188444867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6.1186256061773749E-14</v>
      </c>
      <c r="P179" s="14">
        <f t="shared" si="141"/>
        <v>9.7328366192051127E-13</v>
      </c>
      <c r="Q179" s="22">
        <f t="shared" si="162"/>
        <v>1.8017017738191463E-12</v>
      </c>
      <c r="R179" s="62">
        <f t="shared" si="109"/>
        <v>293.33333333333513</v>
      </c>
      <c r="S179" s="62">
        <f ca="1">AVERAGE(OFFSET($R$3,0,0,'Données projet'!$E$9+1,1))-AVERAGE(OFFSET($H$3,0,0,'Données projet'!$E$9+1,1))</f>
        <v>236.98575892380046</v>
      </c>
      <c r="T179" s="62">
        <f t="shared" si="142"/>
        <v>145.77678223659774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140.04898296125504</v>
      </c>
      <c r="AO179" s="62">
        <f t="shared" si="144"/>
        <v>129.5395511270716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-6.2527760746888816E-13</v>
      </c>
      <c r="BE179" s="14">
        <f>BD179*VLOOKUP('Données projet'!$B$11,Paramètres!$A$1:$I$89,3,0)*VLOOKUP('Données projet'!$B$11,Paramètres!$A$1:$I$89,5,0)</f>
        <v>-2.9262992029543964E-13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207.84100251878419</v>
      </c>
      <c r="BJ179" s="62">
        <f t="shared" si="146"/>
        <v>124.34917784241952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-2.9558577807620169E-14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211.05980622218578</v>
      </c>
      <c r="CE179" s="62">
        <f t="shared" si="148"/>
        <v>168.57746894604855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191.79777926975839</v>
      </c>
      <c r="CZ179" s="62">
        <f t="shared" si="150"/>
        <v>156.66161375678712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3.3112500000000011</v>
      </c>
      <c r="DO179" s="13">
        <f>IF('Données projet'!$A$166&gt;35,DO178+DN179-DW178,IF(A179&lt;'Données projet'!$A$166,$DL$205^A179,IF(A179='Données projet'!$A$166,'Données projet'!$B$166,DO178+DN179-DW178)))</f>
        <v>430.90999999999906</v>
      </c>
      <c r="DP179" s="18">
        <f>DO179*VLOOKUP('Données projet'!$B$14,Paramètres!$A$1:$I$89,3,0)*VLOOKUP('Données projet'!$B$14,Paramètres!$A$1:$I$89,5,0)</f>
        <v>470.55371999999898</v>
      </c>
      <c r="DQ179" s="14">
        <f t="shared" si="176"/>
        <v>105.94234064236029</v>
      </c>
      <c r="DR179" s="22">
        <f t="shared" si="177"/>
        <v>1004.0639722854422</v>
      </c>
      <c r="DS179" s="62">
        <f t="shared" si="125"/>
        <v>1297.3973056187756</v>
      </c>
      <c r="DT179" s="62">
        <f ca="1">AVERAGE(OFFSET($DS$3,0,0,'Données projet'!$E$14+1,1))-AVERAGE(OFFSET($H$3,0,0,'Données projet'!$E$14+1,1))</f>
        <v>541.0854688453461</v>
      </c>
      <c r="DU179" s="62">
        <f t="shared" si="152"/>
        <v>171.04847168584473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5.1159076974727213E-13</v>
      </c>
      <c r="EK179" s="18">
        <f>EJ179*VLOOKUP('Données projet'!$B$15,Paramètres!$A$1:$I$89,3,0)*VLOOKUP('Données projet'!$B$15,Paramètres!$A$1:$I$89,5,0)</f>
        <v>3.0593128030886877E-13</v>
      </c>
      <c r="EL179" s="14">
        <f t="shared" si="179"/>
        <v>4.0350537939347394E-12</v>
      </c>
      <c r="EM179" s="22">
        <f t="shared" si="180"/>
        <v>7.5605490043076185E-12</v>
      </c>
      <c r="EN179" s="62">
        <f t="shared" si="128"/>
        <v>293.33333333334087</v>
      </c>
      <c r="EO179" s="62">
        <f ca="1">AVERAGE(OFFSET($EN$3,0,0,'Données projet'!$E$15+1,1))-AVERAGE(OFFSET($H$3,0,0,'Données projet'!$E$15+1,1))</f>
        <v>244.01698421598974</v>
      </c>
      <c r="EP179" s="62">
        <f t="shared" si="154"/>
        <v>156.96653202915024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6.2792194433406695E-2</v>
      </c>
      <c r="EX179" s="23">
        <f>EXP(-LN(2)/2)*EX178+(1-EXP(-LN(2)/2))/(LN(2)/2)*ER179*EU179*VLOOKUP('Données projet'!$B$15,Paramètres!$A$1:$I$89,3,0)*0.475*44/12</f>
        <v>1.0543756723055843E-21</v>
      </c>
      <c r="EY179" s="24">
        <f t="shared" si="181"/>
        <v>6.2792194433406695E-2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-5.6843418860808015E-14</v>
      </c>
      <c r="FF179" s="18">
        <f>FE179*VLOOKUP('Données projet'!$B$16,Paramètres!$A$1:$I$89,3,0)*VLOOKUP('Données projet'!$B$16,Paramètres!$A$1:$I$89,5,0)</f>
        <v>-4.9658410716801891E-14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175.08726167127026</v>
      </c>
      <c r="FK179" s="62">
        <f t="shared" si="156"/>
        <v>196.05343924817117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8.5265128291212022E-14</v>
      </c>
      <c r="GA179" s="18">
        <f>FZ179*VLOOKUP('Données projet'!$B$17,Paramètres!$A$1:$I$89,3,0)*VLOOKUP('Données projet'!$B$17,Paramètres!$A$1:$I$89,5,0)</f>
        <v>5.5865712056402117E-14</v>
      </c>
      <c r="GB179" s="14">
        <f t="shared" si="185"/>
        <v>8.9811031843713517E-13</v>
      </c>
      <c r="GC179" s="22">
        <f t="shared" si="186"/>
        <v>1.6615082531095774E-12</v>
      </c>
      <c r="GD179" s="62">
        <f t="shared" si="134"/>
        <v>293.33333333333496</v>
      </c>
      <c r="GE179" s="62">
        <f ca="1">AVERAGE(OFFSET($GD$3,0,0,'Données projet'!$E$17+1,1))-AVERAGE(OFFSET($H$3,0,0,'Données projet'!$E$17+1,1))</f>
        <v>142.93037460866543</v>
      </c>
      <c r="GF179" s="62">
        <f t="shared" si="158"/>
        <v>146.18554498808049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5.6843418860808015E-14</v>
      </c>
      <c r="GV179" s="18">
        <f>GU179*VLOOKUP('Données projet'!$B$18,Paramètres!$A$1:$I$89,3,0)*VLOOKUP('Données projet'!$B$18,Paramètres!$A$1:$I$89,5,0)</f>
        <v>4.8771653382573282E-14</v>
      </c>
      <c r="GW179" s="14">
        <f t="shared" si="188"/>
        <v>7.9655698259503351E-13</v>
      </c>
      <c r="GX179" s="22">
        <f t="shared" si="189"/>
        <v>1.4722807076609983E-12</v>
      </c>
      <c r="GY179" s="62">
        <f t="shared" si="137"/>
        <v>293.33333333333479</v>
      </c>
      <c r="GZ179" s="62">
        <f ca="1">AVERAGE(OFFSET($GY$3,0,0,'Données projet'!$E$18+1,1))-AVERAGE(OFFSET($H$3,0,0,'Données projet'!$E$18+1,1))</f>
        <v>188.08607733149256</v>
      </c>
      <c r="HA179" s="62">
        <f t="shared" si="160"/>
        <v>119.95698016603842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52.922999999999931</v>
      </c>
      <c r="D180" s="12">
        <f t="shared" si="140"/>
        <v>15.36612299297081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527.14410731416012</v>
      </c>
      <c r="H180" s="70">
        <f t="shared" si="110"/>
        <v>375.60355587942405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6.1186256061773749E-14</v>
      </c>
      <c r="P180" s="14">
        <f t="shared" si="141"/>
        <v>9.7328366192051127E-13</v>
      </c>
      <c r="Q180" s="22">
        <f t="shared" si="162"/>
        <v>1.8017017738191463E-12</v>
      </c>
      <c r="R180" s="62">
        <f t="shared" si="109"/>
        <v>293.33333333333513</v>
      </c>
      <c r="S180" s="62">
        <f ca="1">AVERAGE(OFFSET($R$3,0,0,'Données projet'!$E$9+1,1))-AVERAGE(OFFSET($H$3,0,0,'Données projet'!$E$9+1,1))</f>
        <v>236.98575892380046</v>
      </c>
      <c r="T180" s="62">
        <f t="shared" si="142"/>
        <v>145.77678223659774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140.04898296125504</v>
      </c>
      <c r="AO180" s="62">
        <f t="shared" si="144"/>
        <v>129.5395511270716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-6.2527760746888816E-13</v>
      </c>
      <c r="BE180" s="14">
        <f>BD180*VLOOKUP('Données projet'!$B$11,Paramètres!$A$1:$I$89,3,0)*VLOOKUP('Données projet'!$B$11,Paramètres!$A$1:$I$89,5,0)</f>
        <v>-2.9262992029543964E-13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207.84100251878419</v>
      </c>
      <c r="BJ180" s="62">
        <f t="shared" si="146"/>
        <v>124.34917784241952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-2.9558577807620169E-14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211.05980622218578</v>
      </c>
      <c r="CE180" s="62">
        <f t="shared" si="148"/>
        <v>168.57746894604855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191.79777926975839</v>
      </c>
      <c r="CZ180" s="62">
        <f t="shared" si="150"/>
        <v>156.66161375678712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3.3112500000000011</v>
      </c>
      <c r="DO180" s="13">
        <f>IF('Données projet'!$A$166&gt;35,DO179+DN180-DW179,IF(A180&lt;'Données projet'!$A$166,$DL$205^A180,IF(A180='Données projet'!$A$166,'Données projet'!$B$166,DO179+DN180-DW179)))</f>
        <v>434.22124999999903</v>
      </c>
      <c r="DP180" s="18">
        <f>DO180*VLOOKUP('Données projet'!$B$14,Paramètres!$A$1:$I$89,3,0)*VLOOKUP('Données projet'!$B$14,Paramètres!$A$1:$I$89,5,0)</f>
        <v>474.16960499999891</v>
      </c>
      <c r="DQ180" s="14">
        <f t="shared" si="176"/>
        <v>106.6613539875645</v>
      </c>
      <c r="DR180" s="22">
        <f t="shared" si="177"/>
        <v>1011.6139202366729</v>
      </c>
      <c r="DS180" s="62">
        <f t="shared" si="125"/>
        <v>1304.9472535700063</v>
      </c>
      <c r="DT180" s="62">
        <f ca="1">AVERAGE(OFFSET($DS$3,0,0,'Données projet'!$E$14+1,1))-AVERAGE(OFFSET($H$3,0,0,'Données projet'!$E$14+1,1))</f>
        <v>541.0854688453461</v>
      </c>
      <c r="DU180" s="62">
        <f t="shared" si="152"/>
        <v>171.04847168584473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5.1159076974727213E-13</v>
      </c>
      <c r="EK180" s="18">
        <f>EJ180*VLOOKUP('Données projet'!$B$15,Paramètres!$A$1:$I$89,3,0)*VLOOKUP('Données projet'!$B$15,Paramètres!$A$1:$I$89,5,0)</f>
        <v>3.0593128030886877E-13</v>
      </c>
      <c r="EL180" s="14">
        <f t="shared" si="179"/>
        <v>4.0350537939347394E-12</v>
      </c>
      <c r="EM180" s="22">
        <f t="shared" si="180"/>
        <v>7.5605490043076185E-12</v>
      </c>
      <c r="EN180" s="62">
        <f t="shared" si="128"/>
        <v>293.33333333334087</v>
      </c>
      <c r="EO180" s="62">
        <f ca="1">AVERAGE(OFFSET($EN$3,0,0,'Données projet'!$E$15+1,1))-AVERAGE(OFFSET($H$3,0,0,'Données projet'!$E$15+1,1))</f>
        <v>244.01698421598974</v>
      </c>
      <c r="EP180" s="62">
        <f t="shared" si="154"/>
        <v>156.96653202915024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6.1075138574527198E-2</v>
      </c>
      <c r="EX180" s="23">
        <f>EXP(-LN(2)/2)*EX179+(1-EXP(-LN(2)/2))/(LN(2)/2)*ER180*EU180*VLOOKUP('Données projet'!$B$15,Paramètres!$A$1:$I$89,3,0)*0.475*44/12</f>
        <v>7.4555618780540372E-22</v>
      </c>
      <c r="EY180" s="24">
        <f t="shared" si="181"/>
        <v>6.1075138574527198E-2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-5.6843418860808015E-14</v>
      </c>
      <c r="FF180" s="18">
        <f>FE180*VLOOKUP('Données projet'!$B$16,Paramètres!$A$1:$I$89,3,0)*VLOOKUP('Données projet'!$B$16,Paramètres!$A$1:$I$89,5,0)</f>
        <v>-4.9658410716801891E-14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175.08726167127026</v>
      </c>
      <c r="FK180" s="62">
        <f t="shared" si="156"/>
        <v>196.05343924817117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8.5265128291212022E-14</v>
      </c>
      <c r="GA180" s="18">
        <f>FZ180*VLOOKUP('Données projet'!$B$17,Paramètres!$A$1:$I$89,3,0)*VLOOKUP('Données projet'!$B$17,Paramètres!$A$1:$I$89,5,0)</f>
        <v>5.5865712056402117E-14</v>
      </c>
      <c r="GB180" s="14">
        <f t="shared" si="185"/>
        <v>8.9811031843713517E-13</v>
      </c>
      <c r="GC180" s="22">
        <f t="shared" si="186"/>
        <v>1.6615082531095774E-12</v>
      </c>
      <c r="GD180" s="62">
        <f t="shared" si="134"/>
        <v>293.33333333333496</v>
      </c>
      <c r="GE180" s="62">
        <f ca="1">AVERAGE(OFFSET($GD$3,0,0,'Données projet'!$E$17+1,1))-AVERAGE(OFFSET($H$3,0,0,'Données projet'!$E$17+1,1))</f>
        <v>142.93037460866543</v>
      </c>
      <c r="GF180" s="62">
        <f t="shared" si="158"/>
        <v>146.18554498808049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5.6843418860808015E-14</v>
      </c>
      <c r="GV180" s="18">
        <f>GU180*VLOOKUP('Données projet'!$B$18,Paramètres!$A$1:$I$89,3,0)*VLOOKUP('Données projet'!$B$18,Paramètres!$A$1:$I$89,5,0)</f>
        <v>4.8771653382573282E-14</v>
      </c>
      <c r="GW180" s="14">
        <f t="shared" si="188"/>
        <v>7.9655698259503351E-13</v>
      </c>
      <c r="GX180" s="22">
        <f t="shared" si="189"/>
        <v>1.4722807076609983E-12</v>
      </c>
      <c r="GY180" s="62">
        <f t="shared" si="137"/>
        <v>293.33333333333479</v>
      </c>
      <c r="GZ180" s="62">
        <f ca="1">AVERAGE(OFFSET($GY$3,0,0,'Données projet'!$E$18+1,1))-AVERAGE(OFFSET($H$3,0,0,'Données projet'!$E$18+1,1))</f>
        <v>188.08607733149256</v>
      </c>
      <c r="HA180" s="62">
        <f t="shared" si="160"/>
        <v>119.95698016603842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53.22199999999993</v>
      </c>
      <c r="D181" s="12">
        <f t="shared" si="140"/>
        <v>15.442806897867856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530.04412342213743</v>
      </c>
      <c r="H181" s="70">
        <f t="shared" si="110"/>
        <v>376.25787201378643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6.1186256061773749E-14</v>
      </c>
      <c r="P181" s="14">
        <f t="shared" si="141"/>
        <v>9.7328366192051127E-13</v>
      </c>
      <c r="Q181" s="22">
        <f t="shared" si="162"/>
        <v>1.8017017738191463E-12</v>
      </c>
      <c r="R181" s="62">
        <f t="shared" si="109"/>
        <v>293.33333333333513</v>
      </c>
      <c r="S181" s="62">
        <f ca="1">AVERAGE(OFFSET($R$3,0,0,'Données projet'!$E$9+1,1))-AVERAGE(OFFSET($H$3,0,0,'Données projet'!$E$9+1,1))</f>
        <v>236.98575892380046</v>
      </c>
      <c r="T181" s="62">
        <f t="shared" si="142"/>
        <v>145.77678223659774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140.04898296125504</v>
      </c>
      <c r="AO181" s="62">
        <f t="shared" si="144"/>
        <v>129.5395511270716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-6.2527760746888816E-13</v>
      </c>
      <c r="BE181" s="14">
        <f>BD181*VLOOKUP('Données projet'!$B$11,Paramètres!$A$1:$I$89,3,0)*VLOOKUP('Données projet'!$B$11,Paramètres!$A$1:$I$89,5,0)</f>
        <v>-2.9262992029543964E-13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207.84100251878419</v>
      </c>
      <c r="BJ181" s="62">
        <f t="shared" si="146"/>
        <v>124.34917784241952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-2.9558577807620169E-14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211.05980622218578</v>
      </c>
      <c r="CE181" s="62">
        <f t="shared" si="148"/>
        <v>168.57746894604855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191.79777926975839</v>
      </c>
      <c r="CZ181" s="62">
        <f t="shared" si="150"/>
        <v>156.66161375678712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3.3112500000000011</v>
      </c>
      <c r="DO181" s="13">
        <f>IF('Données projet'!$A$166&gt;35,DO180+DN181-DW180,IF(A181&lt;'Données projet'!$A$166,$DL$205^A181,IF(A181='Données projet'!$A$166,'Données projet'!$B$166,DO180+DN181-DW180)))</f>
        <v>437.532499999999</v>
      </c>
      <c r="DP181" s="18">
        <f>DO181*VLOOKUP('Données projet'!$B$14,Paramètres!$A$1:$I$89,3,0)*VLOOKUP('Données projet'!$B$14,Paramètres!$A$1:$I$89,5,0)</f>
        <v>477.7854899999989</v>
      </c>
      <c r="DQ181" s="14">
        <f t="shared" si="176"/>
        <v>107.3797293887809</v>
      </c>
      <c r="DR181" s="22">
        <f t="shared" si="177"/>
        <v>1019.1627571021249</v>
      </c>
      <c r="DS181" s="62">
        <f t="shared" si="125"/>
        <v>1312.4960904354582</v>
      </c>
      <c r="DT181" s="62">
        <f ca="1">AVERAGE(OFFSET($DS$3,0,0,'Données projet'!$E$14+1,1))-AVERAGE(OFFSET($H$3,0,0,'Données projet'!$E$14+1,1))</f>
        <v>541.0854688453461</v>
      </c>
      <c r="DU181" s="62">
        <f t="shared" si="152"/>
        <v>171.04847168584473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5.1159076974727213E-13</v>
      </c>
      <c r="EK181" s="18">
        <f>EJ181*VLOOKUP('Données projet'!$B$15,Paramètres!$A$1:$I$89,3,0)*VLOOKUP('Données projet'!$B$15,Paramètres!$A$1:$I$89,5,0)</f>
        <v>3.0593128030886877E-13</v>
      </c>
      <c r="EL181" s="14">
        <f t="shared" si="179"/>
        <v>4.0350537939347394E-12</v>
      </c>
      <c r="EM181" s="22">
        <f t="shared" si="180"/>
        <v>7.5605490043076185E-12</v>
      </c>
      <c r="EN181" s="62">
        <f t="shared" si="128"/>
        <v>293.33333333334087</v>
      </c>
      <c r="EO181" s="62">
        <f ca="1">AVERAGE(OFFSET($EN$3,0,0,'Données projet'!$E$15+1,1))-AVERAGE(OFFSET($H$3,0,0,'Données projet'!$E$15+1,1))</f>
        <v>244.01698421598974</v>
      </c>
      <c r="EP181" s="62">
        <f t="shared" si="154"/>
        <v>156.96653202915024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5.9405035698404801E-2</v>
      </c>
      <c r="EX181" s="23">
        <f>EXP(-LN(2)/2)*EX180+(1-EXP(-LN(2)/2))/(LN(2)/2)*ER181*EU181*VLOOKUP('Données projet'!$B$15,Paramètres!$A$1:$I$89,3,0)*0.475*44/12</f>
        <v>5.2718783615279213E-22</v>
      </c>
      <c r="EY181" s="24">
        <f t="shared" si="181"/>
        <v>5.9405035698404801E-2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-5.6843418860808015E-14</v>
      </c>
      <c r="FF181" s="18">
        <f>FE181*VLOOKUP('Données projet'!$B$16,Paramètres!$A$1:$I$89,3,0)*VLOOKUP('Données projet'!$B$16,Paramètres!$A$1:$I$89,5,0)</f>
        <v>-4.9658410716801891E-14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175.08726167127026</v>
      </c>
      <c r="FK181" s="62">
        <f t="shared" si="156"/>
        <v>196.05343924817117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8.5265128291212022E-14</v>
      </c>
      <c r="GA181" s="18">
        <f>FZ181*VLOOKUP('Données projet'!$B$17,Paramètres!$A$1:$I$89,3,0)*VLOOKUP('Données projet'!$B$17,Paramètres!$A$1:$I$89,5,0)</f>
        <v>5.5865712056402117E-14</v>
      </c>
      <c r="GB181" s="14">
        <f t="shared" si="185"/>
        <v>8.9811031843713517E-13</v>
      </c>
      <c r="GC181" s="22">
        <f t="shared" si="186"/>
        <v>1.6615082531095774E-12</v>
      </c>
      <c r="GD181" s="62">
        <f t="shared" si="134"/>
        <v>293.33333333333496</v>
      </c>
      <c r="GE181" s="62">
        <f ca="1">AVERAGE(OFFSET($GD$3,0,0,'Données projet'!$E$17+1,1))-AVERAGE(OFFSET($H$3,0,0,'Données projet'!$E$17+1,1))</f>
        <v>142.93037460866543</v>
      </c>
      <c r="GF181" s="62">
        <f t="shared" si="158"/>
        <v>146.18554498808049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5.6843418860808015E-14</v>
      </c>
      <c r="GV181" s="18">
        <f>GU181*VLOOKUP('Données projet'!$B$18,Paramètres!$A$1:$I$89,3,0)*VLOOKUP('Données projet'!$B$18,Paramètres!$A$1:$I$89,5,0)</f>
        <v>4.8771653382573282E-14</v>
      </c>
      <c r="GW181" s="14">
        <f t="shared" si="188"/>
        <v>7.9655698259503351E-13</v>
      </c>
      <c r="GX181" s="22">
        <f t="shared" si="189"/>
        <v>1.4722807076609983E-12</v>
      </c>
      <c r="GY181" s="62">
        <f t="shared" si="137"/>
        <v>293.33333333333479</v>
      </c>
      <c r="GZ181" s="62">
        <f ca="1">AVERAGE(OFFSET($GY$3,0,0,'Données projet'!$E$18+1,1))-AVERAGE(OFFSET($H$3,0,0,'Données projet'!$E$18+1,1))</f>
        <v>188.08607733149256</v>
      </c>
      <c r="HA181" s="62">
        <f t="shared" si="160"/>
        <v>119.95698016603842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53.52099999999993</v>
      </c>
      <c r="D182" s="12">
        <f t="shared" si="140"/>
        <v>15.519440672774362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532.94375256176647</v>
      </c>
      <c r="H182" s="70">
        <f t="shared" si="110"/>
        <v>376.91210083841526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6.1186256061773749E-14</v>
      </c>
      <c r="P182" s="14">
        <f t="shared" si="141"/>
        <v>9.7328366192051127E-13</v>
      </c>
      <c r="Q182" s="22">
        <f t="shared" si="162"/>
        <v>1.8017017738191463E-12</v>
      </c>
      <c r="R182" s="62">
        <f t="shared" si="109"/>
        <v>293.33333333333513</v>
      </c>
      <c r="S182" s="62">
        <f ca="1">AVERAGE(OFFSET($R$3,0,0,'Données projet'!$E$9+1,1))-AVERAGE(OFFSET($H$3,0,0,'Données projet'!$E$9+1,1))</f>
        <v>236.98575892380046</v>
      </c>
      <c r="T182" s="62">
        <f t="shared" si="142"/>
        <v>145.77678223659774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140.04898296125504</v>
      </c>
      <c r="AO182" s="62">
        <f t="shared" si="144"/>
        <v>129.5395511270716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-6.2527760746888816E-13</v>
      </c>
      <c r="BE182" s="14">
        <f>BD182*VLOOKUP('Données projet'!$B$11,Paramètres!$A$1:$I$89,3,0)*VLOOKUP('Données projet'!$B$11,Paramètres!$A$1:$I$89,5,0)</f>
        <v>-2.9262992029543964E-13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207.84100251878419</v>
      </c>
      <c r="BJ182" s="62">
        <f t="shared" si="146"/>
        <v>124.34917784241952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-2.9558577807620169E-14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211.05980622218578</v>
      </c>
      <c r="CE182" s="62">
        <f t="shared" si="148"/>
        <v>168.57746894604855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191.79777926975839</v>
      </c>
      <c r="CZ182" s="62">
        <f t="shared" si="150"/>
        <v>156.66161375678712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3.3112500000000011</v>
      </c>
      <c r="DO182" s="13">
        <f>IF('Données projet'!$A$166&gt;35,DO181+DN182-DW181,IF(A182&lt;'Données projet'!$A$166,$DL$205^A182,IF(A182='Données projet'!$A$166,'Données projet'!$B$166,DO181+DN182-DW181)))</f>
        <v>440.84374999999898</v>
      </c>
      <c r="DP182" s="18">
        <f>DO182*VLOOKUP('Données projet'!$B$14,Paramètres!$A$1:$I$89,3,0)*VLOOKUP('Données projet'!$B$14,Paramètres!$A$1:$I$89,5,0)</f>
        <v>481.40137499999884</v>
      </c>
      <c r="DQ182" s="14">
        <f t="shared" si="176"/>
        <v>108.09747223368066</v>
      </c>
      <c r="DR182" s="22">
        <f t="shared" si="177"/>
        <v>1026.710492265325</v>
      </c>
      <c r="DS182" s="62">
        <f t="shared" si="125"/>
        <v>1320.0438255986583</v>
      </c>
      <c r="DT182" s="62">
        <f ca="1">AVERAGE(OFFSET($DS$3,0,0,'Données projet'!$E$14+1,1))-AVERAGE(OFFSET($H$3,0,0,'Données projet'!$E$14+1,1))</f>
        <v>541.0854688453461</v>
      </c>
      <c r="DU182" s="62">
        <f t="shared" si="152"/>
        <v>171.04847168584473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5.1159076974727213E-13</v>
      </c>
      <c r="EK182" s="18">
        <f>EJ182*VLOOKUP('Données projet'!$B$15,Paramètres!$A$1:$I$89,3,0)*VLOOKUP('Données projet'!$B$15,Paramètres!$A$1:$I$89,5,0)</f>
        <v>3.0593128030886877E-13</v>
      </c>
      <c r="EL182" s="14">
        <f t="shared" si="179"/>
        <v>4.0350537939347394E-12</v>
      </c>
      <c r="EM182" s="22">
        <f t="shared" si="180"/>
        <v>7.5605490043076185E-12</v>
      </c>
      <c r="EN182" s="62">
        <f t="shared" si="128"/>
        <v>293.33333333334087</v>
      </c>
      <c r="EO182" s="62">
        <f ca="1">AVERAGE(OFFSET($EN$3,0,0,'Données projet'!$E$15+1,1))-AVERAGE(OFFSET($H$3,0,0,'Données projet'!$E$15+1,1))</f>
        <v>244.01698421598974</v>
      </c>
      <c r="EP182" s="62">
        <f t="shared" si="154"/>
        <v>156.96653202915024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5.7780601873256864E-2</v>
      </c>
      <c r="EX182" s="23">
        <f>EXP(-LN(2)/2)*EX181+(1-EXP(-LN(2)/2))/(LN(2)/2)*ER182*EU182*VLOOKUP('Données projet'!$B$15,Paramètres!$A$1:$I$89,3,0)*0.475*44/12</f>
        <v>3.7277809390270186E-22</v>
      </c>
      <c r="EY182" s="24">
        <f t="shared" si="181"/>
        <v>5.7780601873256864E-2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-5.6843418860808015E-14</v>
      </c>
      <c r="FF182" s="18">
        <f>FE182*VLOOKUP('Données projet'!$B$16,Paramètres!$A$1:$I$89,3,0)*VLOOKUP('Données projet'!$B$16,Paramètres!$A$1:$I$89,5,0)</f>
        <v>-4.9658410716801891E-14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175.08726167127026</v>
      </c>
      <c r="FK182" s="62">
        <f t="shared" si="156"/>
        <v>196.05343924817117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8.5265128291212022E-14</v>
      </c>
      <c r="GA182" s="18">
        <f>FZ182*VLOOKUP('Données projet'!$B$17,Paramètres!$A$1:$I$89,3,0)*VLOOKUP('Données projet'!$B$17,Paramètres!$A$1:$I$89,5,0)</f>
        <v>5.5865712056402117E-14</v>
      </c>
      <c r="GB182" s="14">
        <f t="shared" si="185"/>
        <v>8.9811031843713517E-13</v>
      </c>
      <c r="GC182" s="22">
        <f t="shared" si="186"/>
        <v>1.6615082531095774E-12</v>
      </c>
      <c r="GD182" s="62">
        <f t="shared" si="134"/>
        <v>293.33333333333496</v>
      </c>
      <c r="GE182" s="62">
        <f ca="1">AVERAGE(OFFSET($GD$3,0,0,'Données projet'!$E$17+1,1))-AVERAGE(OFFSET($H$3,0,0,'Données projet'!$E$17+1,1))</f>
        <v>142.93037460866543</v>
      </c>
      <c r="GF182" s="62">
        <f t="shared" si="158"/>
        <v>146.18554498808049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5.6843418860808015E-14</v>
      </c>
      <c r="GV182" s="18">
        <f>GU182*VLOOKUP('Données projet'!$B$18,Paramètres!$A$1:$I$89,3,0)*VLOOKUP('Données projet'!$B$18,Paramètres!$A$1:$I$89,5,0)</f>
        <v>4.8771653382573282E-14</v>
      </c>
      <c r="GW182" s="14">
        <f t="shared" si="188"/>
        <v>7.9655698259503351E-13</v>
      </c>
      <c r="GX182" s="22">
        <f t="shared" si="189"/>
        <v>1.4722807076609983E-12</v>
      </c>
      <c r="GY182" s="62">
        <f t="shared" si="137"/>
        <v>293.33333333333479</v>
      </c>
      <c r="GZ182" s="62">
        <f ca="1">AVERAGE(OFFSET($GY$3,0,0,'Données projet'!$E$18+1,1))-AVERAGE(OFFSET($H$3,0,0,'Données projet'!$E$18+1,1))</f>
        <v>188.08607733149256</v>
      </c>
      <c r="HA182" s="62">
        <f t="shared" si="160"/>
        <v>119.95698016603842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53.819999999999929</v>
      </c>
      <c r="D183" s="12">
        <f t="shared" si="140"/>
        <v>15.596024630246244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535.84299714575991</v>
      </c>
      <c r="H183" s="70">
        <f t="shared" si="110"/>
        <v>377.56624289767876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6.1186256061773749E-14</v>
      </c>
      <c r="P183" s="14">
        <f t="shared" si="141"/>
        <v>9.7328366192051127E-13</v>
      </c>
      <c r="Q183" s="22">
        <f t="shared" si="162"/>
        <v>1.8017017738191463E-12</v>
      </c>
      <c r="R183" s="62">
        <f t="shared" si="109"/>
        <v>293.33333333333513</v>
      </c>
      <c r="S183" s="62">
        <f ca="1">AVERAGE(OFFSET($R$3,0,0,'Données projet'!$E$9+1,1))-AVERAGE(OFFSET($H$3,0,0,'Données projet'!$E$9+1,1))</f>
        <v>236.98575892380046</v>
      </c>
      <c r="T183" s="62">
        <f t="shared" si="142"/>
        <v>145.77678223659774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140.04898296125504</v>
      </c>
      <c r="AO183" s="62">
        <f t="shared" si="144"/>
        <v>129.5395511270716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-6.2527760746888816E-13</v>
      </c>
      <c r="BE183" s="14">
        <f>BD183*VLOOKUP('Données projet'!$B$11,Paramètres!$A$1:$I$89,3,0)*VLOOKUP('Données projet'!$B$11,Paramètres!$A$1:$I$89,5,0)</f>
        <v>-2.9262992029543964E-13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207.84100251878419</v>
      </c>
      <c r="BJ183" s="62">
        <f t="shared" si="146"/>
        <v>124.34917784241952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-2.9558577807620169E-14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211.05980622218578</v>
      </c>
      <c r="CE183" s="62">
        <f t="shared" si="148"/>
        <v>168.57746894604855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191.79777926975839</v>
      </c>
      <c r="CZ183" s="62">
        <f t="shared" si="150"/>
        <v>156.66161375678712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3.3112500000000011</v>
      </c>
      <c r="DO183" s="13">
        <f>IF('Données projet'!$A$166&gt;35,DO182+DN183-DW182,IF(A183&lt;'Données projet'!$A$166,$DL$205^A183,IF(A183='Données projet'!$A$166,'Données projet'!$B$166,DO182+DN183-DW182)))</f>
        <v>444.15499999999895</v>
      </c>
      <c r="DP183" s="18">
        <f>DO183*VLOOKUP('Données projet'!$B$14,Paramètres!$A$1:$I$89,3,0)*VLOOKUP('Données projet'!$B$14,Paramètres!$A$1:$I$89,5,0)</f>
        <v>485.01725999999888</v>
      </c>
      <c r="DQ183" s="14">
        <f t="shared" si="176"/>
        <v>108.81458782432431</v>
      </c>
      <c r="DR183" s="22">
        <f t="shared" si="177"/>
        <v>1034.2571349606962</v>
      </c>
      <c r="DS183" s="62">
        <f t="shared" si="125"/>
        <v>1327.5904682940295</v>
      </c>
      <c r="DT183" s="62">
        <f ca="1">AVERAGE(OFFSET($DS$3,0,0,'Données projet'!$E$14+1,1))-AVERAGE(OFFSET($H$3,0,0,'Données projet'!$E$14+1,1))</f>
        <v>541.0854688453461</v>
      </c>
      <c r="DU183" s="62">
        <f t="shared" si="152"/>
        <v>171.04847168584473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5.1159076974727213E-13</v>
      </c>
      <c r="EK183" s="18">
        <f>EJ183*VLOOKUP('Données projet'!$B$15,Paramètres!$A$1:$I$89,3,0)*VLOOKUP('Données projet'!$B$15,Paramètres!$A$1:$I$89,5,0)</f>
        <v>3.0593128030886877E-13</v>
      </c>
      <c r="EL183" s="14">
        <f t="shared" si="179"/>
        <v>4.0350537939347394E-12</v>
      </c>
      <c r="EM183" s="22">
        <f t="shared" si="180"/>
        <v>7.5605490043076185E-12</v>
      </c>
      <c r="EN183" s="62">
        <f t="shared" si="128"/>
        <v>293.33333333334087</v>
      </c>
      <c r="EO183" s="62">
        <f ca="1">AVERAGE(OFFSET($EN$3,0,0,'Données projet'!$E$15+1,1))-AVERAGE(OFFSET($H$3,0,0,'Données projet'!$E$15+1,1))</f>
        <v>244.01698421598974</v>
      </c>
      <c r="EP183" s="62">
        <f t="shared" si="154"/>
        <v>156.96653202915024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5.620058827648286E-2</v>
      </c>
      <c r="EX183" s="23">
        <f>EXP(-LN(2)/2)*EX182+(1-EXP(-LN(2)/2))/(LN(2)/2)*ER183*EU183*VLOOKUP('Données projet'!$B$15,Paramètres!$A$1:$I$89,3,0)*0.475*44/12</f>
        <v>2.6359391807639607E-22</v>
      </c>
      <c r="EY183" s="24">
        <f t="shared" si="181"/>
        <v>5.620058827648286E-2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-5.6843418860808015E-14</v>
      </c>
      <c r="FF183" s="18">
        <f>FE183*VLOOKUP('Données projet'!$B$16,Paramètres!$A$1:$I$89,3,0)*VLOOKUP('Données projet'!$B$16,Paramètres!$A$1:$I$89,5,0)</f>
        <v>-4.9658410716801891E-14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175.08726167127026</v>
      </c>
      <c r="FK183" s="62">
        <f t="shared" si="156"/>
        <v>196.05343924817117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8.5265128291212022E-14</v>
      </c>
      <c r="GA183" s="18">
        <f>FZ183*VLOOKUP('Données projet'!$B$17,Paramètres!$A$1:$I$89,3,0)*VLOOKUP('Données projet'!$B$17,Paramètres!$A$1:$I$89,5,0)</f>
        <v>5.5865712056402117E-14</v>
      </c>
      <c r="GB183" s="14">
        <f t="shared" si="185"/>
        <v>8.9811031843713517E-13</v>
      </c>
      <c r="GC183" s="22">
        <f t="shared" si="186"/>
        <v>1.6615082531095774E-12</v>
      </c>
      <c r="GD183" s="62">
        <f t="shared" si="134"/>
        <v>293.33333333333496</v>
      </c>
      <c r="GE183" s="62">
        <f ca="1">AVERAGE(OFFSET($GD$3,0,0,'Données projet'!$E$17+1,1))-AVERAGE(OFFSET($H$3,0,0,'Données projet'!$E$17+1,1))</f>
        <v>142.93037460866543</v>
      </c>
      <c r="GF183" s="62">
        <f t="shared" si="158"/>
        <v>146.18554498808049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5.6843418860808015E-14</v>
      </c>
      <c r="GV183" s="18">
        <f>GU183*VLOOKUP('Données projet'!$B$18,Paramètres!$A$1:$I$89,3,0)*VLOOKUP('Données projet'!$B$18,Paramètres!$A$1:$I$89,5,0)</f>
        <v>4.8771653382573282E-14</v>
      </c>
      <c r="GW183" s="14">
        <f t="shared" si="188"/>
        <v>7.9655698259503351E-13</v>
      </c>
      <c r="GX183" s="22">
        <f t="shared" si="189"/>
        <v>1.4722807076609983E-12</v>
      </c>
      <c r="GY183" s="62">
        <f t="shared" si="137"/>
        <v>293.33333333333479</v>
      </c>
      <c r="GZ183" s="62">
        <f ca="1">AVERAGE(OFFSET($GY$3,0,0,'Données projet'!$E$18+1,1))-AVERAGE(OFFSET($H$3,0,0,'Données projet'!$E$18+1,1))</f>
        <v>188.08607733149256</v>
      </c>
      <c r="HA183" s="62">
        <f t="shared" si="160"/>
        <v>119.95698016603842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54.118999999999929</v>
      </c>
      <c r="D184" s="12">
        <f t="shared" si="140"/>
        <v>15.672559079165632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538.74185955847111</v>
      </c>
      <c r="H184" s="70">
        <f t="shared" si="110"/>
        <v>378.2202987295467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6.1186256061773749E-14</v>
      </c>
      <c r="P184" s="14">
        <f t="shared" si="141"/>
        <v>9.7328366192051127E-13</v>
      </c>
      <c r="Q184" s="22">
        <f t="shared" si="162"/>
        <v>1.8017017738191463E-12</v>
      </c>
      <c r="R184" s="62">
        <f t="shared" si="109"/>
        <v>293.33333333333513</v>
      </c>
      <c r="S184" s="62">
        <f ca="1">AVERAGE(OFFSET($R$3,0,0,'Données projet'!$E$9+1,1))-AVERAGE(OFFSET($H$3,0,0,'Données projet'!$E$9+1,1))</f>
        <v>236.98575892380046</v>
      </c>
      <c r="T184" s="62">
        <f t="shared" si="142"/>
        <v>145.77678223659774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140.04898296125504</v>
      </c>
      <c r="AO184" s="62">
        <f t="shared" si="144"/>
        <v>129.5395511270716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-6.2527760746888816E-13</v>
      </c>
      <c r="BE184" s="14">
        <f>BD184*VLOOKUP('Données projet'!$B$11,Paramètres!$A$1:$I$89,3,0)*VLOOKUP('Données projet'!$B$11,Paramètres!$A$1:$I$89,5,0)</f>
        <v>-2.9262992029543964E-13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207.84100251878419</v>
      </c>
      <c r="BJ184" s="62">
        <f t="shared" si="146"/>
        <v>124.34917784241952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-2.9558577807620169E-14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211.05980622218578</v>
      </c>
      <c r="CE184" s="62">
        <f t="shared" si="148"/>
        <v>168.57746894604855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191.79777926975839</v>
      </c>
      <c r="CZ184" s="62">
        <f t="shared" si="150"/>
        <v>156.66161375678712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3.3112500000000011</v>
      </c>
      <c r="DO184" s="13">
        <f>IF('Données projet'!$A$166&gt;35,DO183+DN184-DW183,IF(A184&lt;'Données projet'!$A$166,$DL$205^A184,IF(A184='Données projet'!$A$166,'Données projet'!$B$166,DO183+DN184-DW183)))</f>
        <v>447.46624999999892</v>
      </c>
      <c r="DP184" s="18">
        <f>DO184*VLOOKUP('Données projet'!$B$14,Paramètres!$A$1:$I$89,3,0)*VLOOKUP('Données projet'!$B$14,Paramètres!$A$1:$I$89,5,0)</f>
        <v>488.63314499999882</v>
      </c>
      <c r="DQ184" s="14">
        <f t="shared" si="176"/>
        <v>109.53108137914931</v>
      </c>
      <c r="DR184" s="22">
        <f t="shared" si="177"/>
        <v>1041.8026942770161</v>
      </c>
      <c r="DS184" s="62">
        <f t="shared" si="125"/>
        <v>1335.1360276103494</v>
      </c>
      <c r="DT184" s="62">
        <f ca="1">AVERAGE(OFFSET($DS$3,0,0,'Données projet'!$E$14+1,1))-AVERAGE(OFFSET($H$3,0,0,'Données projet'!$E$14+1,1))</f>
        <v>541.0854688453461</v>
      </c>
      <c r="DU184" s="62">
        <f t="shared" si="152"/>
        <v>171.04847168584473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5.1159076974727213E-13</v>
      </c>
      <c r="EK184" s="18">
        <f>EJ184*VLOOKUP('Données projet'!$B$15,Paramètres!$A$1:$I$89,3,0)*VLOOKUP('Données projet'!$B$15,Paramètres!$A$1:$I$89,5,0)</f>
        <v>3.0593128030886877E-13</v>
      </c>
      <c r="EL184" s="14">
        <f t="shared" si="179"/>
        <v>4.0350537939347394E-12</v>
      </c>
      <c r="EM184" s="22">
        <f t="shared" si="180"/>
        <v>7.5605490043076185E-12</v>
      </c>
      <c r="EN184" s="62">
        <f t="shared" si="128"/>
        <v>293.33333333334087</v>
      </c>
      <c r="EO184" s="62">
        <f ca="1">AVERAGE(OFFSET($EN$3,0,0,'Données projet'!$E$15+1,1))-AVERAGE(OFFSET($H$3,0,0,'Données projet'!$E$15+1,1))</f>
        <v>244.01698421598974</v>
      </c>
      <c r="EP184" s="62">
        <f t="shared" si="154"/>
        <v>156.96653202915024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5.4663780234601944E-2</v>
      </c>
      <c r="EX184" s="23">
        <f>EXP(-LN(2)/2)*EX183+(1-EXP(-LN(2)/2))/(LN(2)/2)*ER184*EU184*VLOOKUP('Données projet'!$B$15,Paramètres!$A$1:$I$89,3,0)*0.475*44/12</f>
        <v>1.8638904695135093E-22</v>
      </c>
      <c r="EY184" s="24">
        <f t="shared" si="181"/>
        <v>5.4663780234601944E-2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-5.6843418860808015E-14</v>
      </c>
      <c r="FF184" s="18">
        <f>FE184*VLOOKUP('Données projet'!$B$16,Paramètres!$A$1:$I$89,3,0)*VLOOKUP('Données projet'!$B$16,Paramètres!$A$1:$I$89,5,0)</f>
        <v>-4.9658410716801891E-14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175.08726167127026</v>
      </c>
      <c r="FK184" s="62">
        <f t="shared" si="156"/>
        <v>196.05343924817117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8.5265128291212022E-14</v>
      </c>
      <c r="GA184" s="18">
        <f>FZ184*VLOOKUP('Données projet'!$B$17,Paramètres!$A$1:$I$89,3,0)*VLOOKUP('Données projet'!$B$17,Paramètres!$A$1:$I$89,5,0)</f>
        <v>5.5865712056402117E-14</v>
      </c>
      <c r="GB184" s="14">
        <f t="shared" si="185"/>
        <v>8.9811031843713517E-13</v>
      </c>
      <c r="GC184" s="22">
        <f t="shared" si="186"/>
        <v>1.6615082531095774E-12</v>
      </c>
      <c r="GD184" s="62">
        <f t="shared" si="134"/>
        <v>293.33333333333496</v>
      </c>
      <c r="GE184" s="62">
        <f ca="1">AVERAGE(OFFSET($GD$3,0,0,'Données projet'!$E$17+1,1))-AVERAGE(OFFSET($H$3,0,0,'Données projet'!$E$17+1,1))</f>
        <v>142.93037460866543</v>
      </c>
      <c r="GF184" s="62">
        <f t="shared" si="158"/>
        <v>146.18554498808049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5.6843418860808015E-14</v>
      </c>
      <c r="GV184" s="18">
        <f>GU184*VLOOKUP('Données projet'!$B$18,Paramètres!$A$1:$I$89,3,0)*VLOOKUP('Données projet'!$B$18,Paramètres!$A$1:$I$89,5,0)</f>
        <v>4.8771653382573282E-14</v>
      </c>
      <c r="GW184" s="14">
        <f t="shared" si="188"/>
        <v>7.9655698259503351E-13</v>
      </c>
      <c r="GX184" s="22">
        <f t="shared" si="189"/>
        <v>1.4722807076609983E-12</v>
      </c>
      <c r="GY184" s="62">
        <f t="shared" si="137"/>
        <v>293.33333333333479</v>
      </c>
      <c r="GZ184" s="62">
        <f ca="1">AVERAGE(OFFSET($GY$3,0,0,'Données projet'!$E$18+1,1))-AVERAGE(OFFSET($H$3,0,0,'Données projet'!$E$18+1,1))</f>
        <v>188.08607733149256</v>
      </c>
      <c r="HA184" s="62">
        <f t="shared" si="160"/>
        <v>119.95698016603842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54.417999999999928</v>
      </c>
      <c r="D185" s="12">
        <f t="shared" si="140"/>
        <v>15.749044324804021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541.64034215638139</v>
      </c>
      <c r="H185" s="70">
        <f t="shared" si="110"/>
        <v>378.87426886570023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6.1186256061773749E-14</v>
      </c>
      <c r="P185" s="14">
        <f t="shared" si="141"/>
        <v>9.7328366192051127E-13</v>
      </c>
      <c r="Q185" s="22">
        <f t="shared" si="162"/>
        <v>1.8017017738191463E-12</v>
      </c>
      <c r="R185" s="62">
        <f t="shared" si="109"/>
        <v>293.33333333333513</v>
      </c>
      <c r="S185" s="62">
        <f ca="1">AVERAGE(OFFSET($R$3,0,0,'Données projet'!$E$9+1,1))-AVERAGE(OFFSET($H$3,0,0,'Données projet'!$E$9+1,1))</f>
        <v>236.98575892380046</v>
      </c>
      <c r="T185" s="62">
        <f t="shared" si="142"/>
        <v>145.77678223659774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140.04898296125504</v>
      </c>
      <c r="AO185" s="62">
        <f t="shared" si="144"/>
        <v>129.5395511270716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-6.2527760746888816E-13</v>
      </c>
      <c r="BE185" s="14">
        <f>BD185*VLOOKUP('Données projet'!$B$11,Paramètres!$A$1:$I$89,3,0)*VLOOKUP('Données projet'!$B$11,Paramètres!$A$1:$I$89,5,0)</f>
        <v>-2.9262992029543964E-13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207.84100251878419</v>
      </c>
      <c r="BJ185" s="62">
        <f t="shared" si="146"/>
        <v>124.34917784241952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-2.9558577807620169E-14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211.05980622218578</v>
      </c>
      <c r="CE185" s="62">
        <f t="shared" si="148"/>
        <v>168.57746894604855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191.79777926975839</v>
      </c>
      <c r="CZ185" s="62">
        <f t="shared" si="150"/>
        <v>156.66161375678712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3.3112500000000011</v>
      </c>
      <c r="DO185" s="13">
        <f>IF('Données projet'!$A$166&gt;35,DO184+DN185-DW184,IF(A185&lt;'Données projet'!$A$166,$DL$205^A185,IF(A185='Données projet'!$A$166,'Données projet'!$B$166,DO184+DN185-DW184)))</f>
        <v>450.77749999999889</v>
      </c>
      <c r="DP185" s="18">
        <f>DO185*VLOOKUP('Données projet'!$B$14,Paramètres!$A$1:$I$89,3,0)*VLOOKUP('Données projet'!$B$14,Paramètres!$A$1:$I$89,5,0)</f>
        <v>492.24902999999875</v>
      </c>
      <c r="DQ185" s="14">
        <f t="shared" si="176"/>
        <v>110.24695803489881</v>
      </c>
      <c r="DR185" s="22">
        <f t="shared" si="177"/>
        <v>1049.3471791607799</v>
      </c>
      <c r="DS185" s="62">
        <f t="shared" si="125"/>
        <v>1342.6805124941131</v>
      </c>
      <c r="DT185" s="62">
        <f ca="1">AVERAGE(OFFSET($DS$3,0,0,'Données projet'!$E$14+1,1))-AVERAGE(OFFSET($H$3,0,0,'Données projet'!$E$14+1,1))</f>
        <v>541.0854688453461</v>
      </c>
      <c r="DU185" s="62">
        <f t="shared" si="152"/>
        <v>171.04847168584473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5.1159076974727213E-13</v>
      </c>
      <c r="EK185" s="18">
        <f>EJ185*VLOOKUP('Données projet'!$B$15,Paramètres!$A$1:$I$89,3,0)*VLOOKUP('Données projet'!$B$15,Paramètres!$A$1:$I$89,5,0)</f>
        <v>3.0593128030886877E-13</v>
      </c>
      <c r="EL185" s="14">
        <f t="shared" si="179"/>
        <v>4.0350537939347394E-12</v>
      </c>
      <c r="EM185" s="22">
        <f t="shared" si="180"/>
        <v>7.5605490043076185E-12</v>
      </c>
      <c r="EN185" s="62">
        <f t="shared" si="128"/>
        <v>293.33333333334087</v>
      </c>
      <c r="EO185" s="62">
        <f ca="1">AVERAGE(OFFSET($EN$3,0,0,'Données projet'!$E$15+1,1))-AVERAGE(OFFSET($H$3,0,0,'Données projet'!$E$15+1,1))</f>
        <v>244.01698421598974</v>
      </c>
      <c r="EP185" s="62">
        <f t="shared" si="154"/>
        <v>156.96653202915024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5.3168996289443486E-2</v>
      </c>
      <c r="EX185" s="23">
        <f>EXP(-LN(2)/2)*EX184+(1-EXP(-LN(2)/2))/(LN(2)/2)*ER185*EU185*VLOOKUP('Données projet'!$B$15,Paramètres!$A$1:$I$89,3,0)*0.475*44/12</f>
        <v>1.3179695903819803E-22</v>
      </c>
      <c r="EY185" s="24">
        <f t="shared" si="181"/>
        <v>5.3168996289443486E-2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-5.6843418860808015E-14</v>
      </c>
      <c r="FF185" s="18">
        <f>FE185*VLOOKUP('Données projet'!$B$16,Paramètres!$A$1:$I$89,3,0)*VLOOKUP('Données projet'!$B$16,Paramètres!$A$1:$I$89,5,0)</f>
        <v>-4.9658410716801891E-14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175.08726167127026</v>
      </c>
      <c r="FK185" s="62">
        <f t="shared" si="156"/>
        <v>196.05343924817117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8.5265128291212022E-14</v>
      </c>
      <c r="GA185" s="18">
        <f>FZ185*VLOOKUP('Données projet'!$B$17,Paramètres!$A$1:$I$89,3,0)*VLOOKUP('Données projet'!$B$17,Paramètres!$A$1:$I$89,5,0)</f>
        <v>5.5865712056402117E-14</v>
      </c>
      <c r="GB185" s="14">
        <f t="shared" si="185"/>
        <v>8.9811031843713517E-13</v>
      </c>
      <c r="GC185" s="22">
        <f t="shared" si="186"/>
        <v>1.6615082531095774E-12</v>
      </c>
      <c r="GD185" s="62">
        <f t="shared" si="134"/>
        <v>293.33333333333496</v>
      </c>
      <c r="GE185" s="62">
        <f ca="1">AVERAGE(OFFSET($GD$3,0,0,'Données projet'!$E$17+1,1))-AVERAGE(OFFSET($H$3,0,0,'Données projet'!$E$17+1,1))</f>
        <v>142.93037460866543</v>
      </c>
      <c r="GF185" s="62">
        <f t="shared" si="158"/>
        <v>146.18554498808049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5.6843418860808015E-14</v>
      </c>
      <c r="GV185" s="18">
        <f>GU185*VLOOKUP('Données projet'!$B$18,Paramètres!$A$1:$I$89,3,0)*VLOOKUP('Données projet'!$B$18,Paramètres!$A$1:$I$89,5,0)</f>
        <v>4.8771653382573282E-14</v>
      </c>
      <c r="GW185" s="14">
        <f t="shared" si="188"/>
        <v>7.9655698259503351E-13</v>
      </c>
      <c r="GX185" s="22">
        <f t="shared" si="189"/>
        <v>1.4722807076609983E-12</v>
      </c>
      <c r="GY185" s="62">
        <f t="shared" si="137"/>
        <v>293.33333333333479</v>
      </c>
      <c r="GZ185" s="62">
        <f ca="1">AVERAGE(OFFSET($GY$3,0,0,'Données projet'!$E$18+1,1))-AVERAGE(OFFSET($H$3,0,0,'Données projet'!$E$18+1,1))</f>
        <v>188.08607733149256</v>
      </c>
      <c r="HA185" s="62">
        <f t="shared" si="160"/>
        <v>119.95698016603842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54.716999999999928</v>
      </c>
      <c r="D186" s="12">
        <f t="shared" si="140"/>
        <v>15.825480668884127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544.53844726857869</v>
      </c>
      <c r="H186" s="70">
        <f t="shared" si="110"/>
        <v>379.52815383163971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6.1186256061773749E-14</v>
      </c>
      <c r="P186" s="14">
        <f t="shared" si="141"/>
        <v>9.7328366192051127E-13</v>
      </c>
      <c r="Q186" s="22">
        <f t="shared" si="162"/>
        <v>1.8017017738191463E-12</v>
      </c>
      <c r="R186" s="62">
        <f t="shared" si="109"/>
        <v>293.33333333333513</v>
      </c>
      <c r="S186" s="62">
        <f ca="1">AVERAGE(OFFSET($R$3,0,0,'Données projet'!$E$9+1,1))-AVERAGE(OFFSET($H$3,0,0,'Données projet'!$E$9+1,1))</f>
        <v>236.98575892380046</v>
      </c>
      <c r="T186" s="62">
        <f t="shared" si="142"/>
        <v>145.77678223659774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140.04898296125504</v>
      </c>
      <c r="AO186" s="62">
        <f t="shared" si="144"/>
        <v>129.5395511270716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-6.2527760746888816E-13</v>
      </c>
      <c r="BE186" s="14">
        <f>BD186*VLOOKUP('Données projet'!$B$11,Paramètres!$A$1:$I$89,3,0)*VLOOKUP('Données projet'!$B$11,Paramètres!$A$1:$I$89,5,0)</f>
        <v>-2.9262992029543964E-13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207.84100251878419</v>
      </c>
      <c r="BJ186" s="62">
        <f t="shared" si="146"/>
        <v>124.34917784241952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-2.9558577807620169E-14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211.05980622218578</v>
      </c>
      <c r="CE186" s="62">
        <f t="shared" si="148"/>
        <v>168.57746894604855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191.79777926975839</v>
      </c>
      <c r="CZ186" s="62">
        <f t="shared" si="150"/>
        <v>156.66161375678712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3.3112500000000011</v>
      </c>
      <c r="DO186" s="13">
        <f>IF('Données projet'!$A$166&gt;35,DO185+DN186-DW185,IF(A186&lt;'Données projet'!$A$166,$DL$205^A186,IF(A186='Données projet'!$A$166,'Données projet'!$B$166,DO185+DN186-DW185)))</f>
        <v>454.08874999999887</v>
      </c>
      <c r="DP186" s="18">
        <f>DO186*VLOOKUP('Données projet'!$B$14,Paramètres!$A$1:$I$89,3,0)*VLOOKUP('Données projet'!$B$14,Paramètres!$A$1:$I$89,5,0)</f>
        <v>495.86491499999875</v>
      </c>
      <c r="DQ186" s="14">
        <f t="shared" si="176"/>
        <v>110.96222284849021</v>
      </c>
      <c r="DR186" s="22">
        <f t="shared" si="177"/>
        <v>1056.8905984194514</v>
      </c>
      <c r="DS186" s="62">
        <f t="shared" si="125"/>
        <v>1350.2239317527847</v>
      </c>
      <c r="DT186" s="62">
        <f ca="1">AVERAGE(OFFSET($DS$3,0,0,'Données projet'!$E$14+1,1))-AVERAGE(OFFSET($H$3,0,0,'Données projet'!$E$14+1,1))</f>
        <v>541.0854688453461</v>
      </c>
      <c r="DU186" s="62">
        <f t="shared" si="152"/>
        <v>171.04847168584473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5.1159076974727213E-13</v>
      </c>
      <c r="EK186" s="18">
        <f>EJ186*VLOOKUP('Données projet'!$B$15,Paramètres!$A$1:$I$89,3,0)*VLOOKUP('Données projet'!$B$15,Paramètres!$A$1:$I$89,5,0)</f>
        <v>3.0593128030886877E-13</v>
      </c>
      <c r="EL186" s="14">
        <f t="shared" si="179"/>
        <v>4.0350537939347394E-12</v>
      </c>
      <c r="EM186" s="22">
        <f t="shared" si="180"/>
        <v>7.5605490043076185E-12</v>
      </c>
      <c r="EN186" s="62">
        <f t="shared" si="128"/>
        <v>293.33333333334087</v>
      </c>
      <c r="EO186" s="62">
        <f ca="1">AVERAGE(OFFSET($EN$3,0,0,'Données projet'!$E$15+1,1))-AVERAGE(OFFSET($H$3,0,0,'Données projet'!$E$15+1,1))</f>
        <v>244.01698421598974</v>
      </c>
      <c r="EP186" s="62">
        <f t="shared" si="154"/>
        <v>156.96653202915024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5.171508728987266E-2</v>
      </c>
      <c r="EX186" s="23">
        <f>EXP(-LN(2)/2)*EX185+(1-EXP(-LN(2)/2))/(LN(2)/2)*ER186*EU186*VLOOKUP('Données projet'!$B$15,Paramètres!$A$1:$I$89,3,0)*0.475*44/12</f>
        <v>9.3194523475675465E-23</v>
      </c>
      <c r="EY186" s="24">
        <f t="shared" si="181"/>
        <v>5.171508728987266E-2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-5.6843418860808015E-14</v>
      </c>
      <c r="FF186" s="18">
        <f>FE186*VLOOKUP('Données projet'!$B$16,Paramètres!$A$1:$I$89,3,0)*VLOOKUP('Données projet'!$B$16,Paramètres!$A$1:$I$89,5,0)</f>
        <v>-4.9658410716801891E-14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175.08726167127026</v>
      </c>
      <c r="FK186" s="62">
        <f t="shared" si="156"/>
        <v>196.05343924817117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8.5265128291212022E-14</v>
      </c>
      <c r="GA186" s="18">
        <f>FZ186*VLOOKUP('Données projet'!$B$17,Paramètres!$A$1:$I$89,3,0)*VLOOKUP('Données projet'!$B$17,Paramètres!$A$1:$I$89,5,0)</f>
        <v>5.5865712056402117E-14</v>
      </c>
      <c r="GB186" s="14">
        <f t="shared" si="185"/>
        <v>8.9811031843713517E-13</v>
      </c>
      <c r="GC186" s="22">
        <f t="shared" si="186"/>
        <v>1.6615082531095774E-12</v>
      </c>
      <c r="GD186" s="62">
        <f t="shared" si="134"/>
        <v>293.33333333333496</v>
      </c>
      <c r="GE186" s="62">
        <f ca="1">AVERAGE(OFFSET($GD$3,0,0,'Données projet'!$E$17+1,1))-AVERAGE(OFFSET($H$3,0,0,'Données projet'!$E$17+1,1))</f>
        <v>142.93037460866543</v>
      </c>
      <c r="GF186" s="62">
        <f t="shared" si="158"/>
        <v>146.18554498808049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5.6843418860808015E-14</v>
      </c>
      <c r="GV186" s="18">
        <f>GU186*VLOOKUP('Données projet'!$B$18,Paramètres!$A$1:$I$89,3,0)*VLOOKUP('Données projet'!$B$18,Paramètres!$A$1:$I$89,5,0)</f>
        <v>4.8771653382573282E-14</v>
      </c>
      <c r="GW186" s="14">
        <f t="shared" si="188"/>
        <v>7.9655698259503351E-13</v>
      </c>
      <c r="GX186" s="22">
        <f t="shared" si="189"/>
        <v>1.4722807076609983E-12</v>
      </c>
      <c r="GY186" s="62">
        <f t="shared" si="137"/>
        <v>293.33333333333479</v>
      </c>
      <c r="GZ186" s="62">
        <f ca="1">AVERAGE(OFFSET($GY$3,0,0,'Données projet'!$E$18+1,1))-AVERAGE(OFFSET($H$3,0,0,'Données projet'!$E$18+1,1))</f>
        <v>188.08607733149256</v>
      </c>
      <c r="HA186" s="62">
        <f t="shared" si="160"/>
        <v>119.95698016603842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55.015999999999927</v>
      </c>
      <c r="D187" s="12">
        <f t="shared" si="140"/>
        <v>15.901868409640299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547.43617719722272</v>
      </c>
      <c r="H187" s="70">
        <f t="shared" si="110"/>
        <v>380.18195414679008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6.1186256061773749E-14</v>
      </c>
      <c r="P187" s="14">
        <f t="shared" si="141"/>
        <v>9.7328366192051127E-13</v>
      </c>
      <c r="Q187" s="22">
        <f t="shared" si="162"/>
        <v>1.8017017738191463E-12</v>
      </c>
      <c r="R187" s="62">
        <f t="shared" si="109"/>
        <v>293.33333333333513</v>
      </c>
      <c r="S187" s="62">
        <f ca="1">AVERAGE(OFFSET($R$3,0,0,'Données projet'!$E$9+1,1))-AVERAGE(OFFSET($H$3,0,0,'Données projet'!$E$9+1,1))</f>
        <v>236.98575892380046</v>
      </c>
      <c r="T187" s="62">
        <f t="shared" si="142"/>
        <v>145.77678223659774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140.04898296125504</v>
      </c>
      <c r="AO187" s="62">
        <f t="shared" si="144"/>
        <v>129.5395511270716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-6.2527760746888816E-13</v>
      </c>
      <c r="BE187" s="14">
        <f>BD187*VLOOKUP('Données projet'!$B$11,Paramètres!$A$1:$I$89,3,0)*VLOOKUP('Données projet'!$B$11,Paramètres!$A$1:$I$89,5,0)</f>
        <v>-2.9262992029543964E-13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207.84100251878419</v>
      </c>
      <c r="BJ187" s="62">
        <f t="shared" si="146"/>
        <v>124.34917784241952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-2.9558577807620169E-14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211.05980622218578</v>
      </c>
      <c r="CE187" s="62">
        <f t="shared" si="148"/>
        <v>168.57746894604855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191.79777926975839</v>
      </c>
      <c r="CZ187" s="62">
        <f t="shared" si="150"/>
        <v>156.66161375678712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3.3112500000000011</v>
      </c>
      <c r="DO187" s="13">
        <f>IF('Données projet'!$A$166&gt;35,DO186+DN187-DW186,IF(A187&lt;'Données projet'!$A$166,$DL$205^A187,IF(A187='Données projet'!$A$166,'Données projet'!$B$166,DO186+DN187-DW186)))</f>
        <v>457.39999999999884</v>
      </c>
      <c r="DP187" s="18">
        <f>DO187*VLOOKUP('Données projet'!$B$14,Paramètres!$A$1:$I$89,3,0)*VLOOKUP('Données projet'!$B$14,Paramètres!$A$1:$I$89,5,0)</f>
        <v>499.48079999999868</v>
      </c>
      <c r="DQ187" s="14">
        <f t="shared" si="176"/>
        <v>111.67688079882902</v>
      </c>
      <c r="DR187" s="22">
        <f t="shared" si="177"/>
        <v>1064.4329607246248</v>
      </c>
      <c r="DS187" s="62">
        <f t="shared" si="125"/>
        <v>1357.766294057958</v>
      </c>
      <c r="DT187" s="62">
        <f ca="1">AVERAGE(OFFSET($DS$3,0,0,'Données projet'!$E$14+1,1))-AVERAGE(OFFSET($H$3,0,0,'Données projet'!$E$14+1,1))</f>
        <v>541.0854688453461</v>
      </c>
      <c r="DU187" s="62">
        <f t="shared" si="152"/>
        <v>171.04847168584473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5.1159076974727213E-13</v>
      </c>
      <c r="EK187" s="18">
        <f>EJ187*VLOOKUP('Données projet'!$B$15,Paramètres!$A$1:$I$89,3,0)*VLOOKUP('Données projet'!$B$15,Paramètres!$A$1:$I$89,5,0)</f>
        <v>3.0593128030886877E-13</v>
      </c>
      <c r="EL187" s="14">
        <f t="shared" si="179"/>
        <v>4.0350537939347394E-12</v>
      </c>
      <c r="EM187" s="22">
        <f t="shared" si="180"/>
        <v>7.5605490043076185E-12</v>
      </c>
      <c r="EN187" s="62">
        <f t="shared" si="128"/>
        <v>293.33333333334087</v>
      </c>
      <c r="EO187" s="62">
        <f ca="1">AVERAGE(OFFSET($EN$3,0,0,'Données projet'!$E$15+1,1))-AVERAGE(OFFSET($H$3,0,0,'Données projet'!$E$15+1,1))</f>
        <v>244.01698421598974</v>
      </c>
      <c r="EP187" s="62">
        <f t="shared" si="154"/>
        <v>156.96653202915024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5.0300935508352851E-2</v>
      </c>
      <c r="EX187" s="23">
        <f>EXP(-LN(2)/2)*EX186+(1-EXP(-LN(2)/2))/(LN(2)/2)*ER187*EU187*VLOOKUP('Données projet'!$B$15,Paramètres!$A$1:$I$89,3,0)*0.475*44/12</f>
        <v>6.5898479519099017E-23</v>
      </c>
      <c r="EY187" s="24">
        <f t="shared" si="181"/>
        <v>5.0300935508352851E-2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-5.6843418860808015E-14</v>
      </c>
      <c r="FF187" s="18">
        <f>FE187*VLOOKUP('Données projet'!$B$16,Paramètres!$A$1:$I$89,3,0)*VLOOKUP('Données projet'!$B$16,Paramètres!$A$1:$I$89,5,0)</f>
        <v>-4.9658410716801891E-14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175.08726167127026</v>
      </c>
      <c r="FK187" s="62">
        <f t="shared" si="156"/>
        <v>196.05343924817117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8.5265128291212022E-14</v>
      </c>
      <c r="GA187" s="18">
        <f>FZ187*VLOOKUP('Données projet'!$B$17,Paramètres!$A$1:$I$89,3,0)*VLOOKUP('Données projet'!$B$17,Paramètres!$A$1:$I$89,5,0)</f>
        <v>5.5865712056402117E-14</v>
      </c>
      <c r="GB187" s="14">
        <f t="shared" si="185"/>
        <v>8.9811031843713517E-13</v>
      </c>
      <c r="GC187" s="22">
        <f t="shared" si="186"/>
        <v>1.6615082531095774E-12</v>
      </c>
      <c r="GD187" s="62">
        <f t="shared" si="134"/>
        <v>293.33333333333496</v>
      </c>
      <c r="GE187" s="62">
        <f ca="1">AVERAGE(OFFSET($GD$3,0,0,'Données projet'!$E$17+1,1))-AVERAGE(OFFSET($H$3,0,0,'Données projet'!$E$17+1,1))</f>
        <v>142.93037460866543</v>
      </c>
      <c r="GF187" s="62">
        <f t="shared" si="158"/>
        <v>146.18554498808049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5.6843418860808015E-14</v>
      </c>
      <c r="GV187" s="18">
        <f>GU187*VLOOKUP('Données projet'!$B$18,Paramètres!$A$1:$I$89,3,0)*VLOOKUP('Données projet'!$B$18,Paramètres!$A$1:$I$89,5,0)</f>
        <v>4.8771653382573282E-14</v>
      </c>
      <c r="GW187" s="14">
        <f t="shared" si="188"/>
        <v>7.9655698259503351E-13</v>
      </c>
      <c r="GX187" s="22">
        <f t="shared" si="189"/>
        <v>1.4722807076609983E-12</v>
      </c>
      <c r="GY187" s="62">
        <f t="shared" si="137"/>
        <v>293.33333333333479</v>
      </c>
      <c r="GZ187" s="62">
        <f ca="1">AVERAGE(OFFSET($GY$3,0,0,'Données projet'!$E$18+1,1))-AVERAGE(OFFSET($H$3,0,0,'Données projet'!$E$18+1,1))</f>
        <v>188.08607733149256</v>
      </c>
      <c r="HA187" s="62">
        <f t="shared" si="160"/>
        <v>119.95698016603842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55.314999999999927</v>
      </c>
      <c r="D188" s="12">
        <f t="shared" si="140"/>
        <v>15.978207841877586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550.33353421800189</v>
      </c>
      <c r="H188" s="70">
        <f t="shared" si="110"/>
        <v>380.83567032460337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6.1186256061773749E-14</v>
      </c>
      <c r="P188" s="14">
        <f t="shared" si="141"/>
        <v>9.7328366192051127E-13</v>
      </c>
      <c r="Q188" s="22">
        <f t="shared" si="162"/>
        <v>1.8017017738191463E-12</v>
      </c>
      <c r="R188" s="62">
        <f t="shared" si="109"/>
        <v>293.33333333333513</v>
      </c>
      <c r="S188" s="62">
        <f ca="1">AVERAGE(OFFSET($R$3,0,0,'Données projet'!$E$9+1,1))-AVERAGE(OFFSET($H$3,0,0,'Données projet'!$E$9+1,1))</f>
        <v>236.98575892380046</v>
      </c>
      <c r="T188" s="62">
        <f t="shared" si="142"/>
        <v>145.77678223659774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140.04898296125504</v>
      </c>
      <c r="AO188" s="62">
        <f t="shared" si="144"/>
        <v>129.5395511270716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-6.2527760746888816E-13</v>
      </c>
      <c r="BE188" s="14">
        <f>BD188*VLOOKUP('Données projet'!$B$11,Paramètres!$A$1:$I$89,3,0)*VLOOKUP('Données projet'!$B$11,Paramètres!$A$1:$I$89,5,0)</f>
        <v>-2.9262992029543964E-13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207.84100251878419</v>
      </c>
      <c r="BJ188" s="62">
        <f t="shared" si="146"/>
        <v>124.34917784241952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-2.9558577807620169E-14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211.05980622218578</v>
      </c>
      <c r="CE188" s="62">
        <f t="shared" si="148"/>
        <v>168.57746894604855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191.79777926975839</v>
      </c>
      <c r="CZ188" s="62">
        <f t="shared" si="150"/>
        <v>156.66161375678712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3.3112500000000011</v>
      </c>
      <c r="DO188" s="13">
        <f>IF('Données projet'!$A$166&gt;35,DO187+DN188-DW187,IF(A188&lt;'Données projet'!$A$166,$DL$205^A188,IF(A188='Données projet'!$A$166,'Données projet'!$B$166,DO187+DN188-DW187)))</f>
        <v>460.71124999999881</v>
      </c>
      <c r="DP188" s="18">
        <f>DO188*VLOOKUP('Données projet'!$B$14,Paramètres!$A$1:$I$89,3,0)*VLOOKUP('Données projet'!$B$14,Paramètres!$A$1:$I$89,5,0)</f>
        <v>503.09668499999873</v>
      </c>
      <c r="DQ188" s="14">
        <f t="shared" si="176"/>
        <v>112.39093678856788</v>
      </c>
      <c r="DR188" s="22">
        <f t="shared" si="177"/>
        <v>1071.9742746150866</v>
      </c>
      <c r="DS188" s="62">
        <f t="shared" si="125"/>
        <v>1365.3076079484199</v>
      </c>
      <c r="DT188" s="62">
        <f ca="1">AVERAGE(OFFSET($DS$3,0,0,'Données projet'!$E$14+1,1))-AVERAGE(OFFSET($H$3,0,0,'Données projet'!$E$14+1,1))</f>
        <v>541.0854688453461</v>
      </c>
      <c r="DU188" s="62">
        <f t="shared" si="152"/>
        <v>171.04847168584473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5.1159076974727213E-13</v>
      </c>
      <c r="EK188" s="18">
        <f>EJ188*VLOOKUP('Données projet'!$B$15,Paramètres!$A$1:$I$89,3,0)*VLOOKUP('Données projet'!$B$15,Paramètres!$A$1:$I$89,5,0)</f>
        <v>3.0593128030886877E-13</v>
      </c>
      <c r="EL188" s="14">
        <f t="shared" si="179"/>
        <v>4.0350537939347394E-12</v>
      </c>
      <c r="EM188" s="22">
        <f t="shared" si="180"/>
        <v>7.5605490043076185E-12</v>
      </c>
      <c r="EN188" s="62">
        <f t="shared" si="128"/>
        <v>293.33333333334087</v>
      </c>
      <c r="EO188" s="62">
        <f ca="1">AVERAGE(OFFSET($EN$3,0,0,'Données projet'!$E$15+1,1))-AVERAGE(OFFSET($H$3,0,0,'Données projet'!$E$15+1,1))</f>
        <v>244.01698421598974</v>
      </c>
      <c r="EP188" s="62">
        <f t="shared" si="154"/>
        <v>156.96653202915024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4.8925453781665705E-2</v>
      </c>
      <c r="EX188" s="23">
        <f>EXP(-LN(2)/2)*EX187+(1-EXP(-LN(2)/2))/(LN(2)/2)*ER188*EU188*VLOOKUP('Données projet'!$B$15,Paramètres!$A$1:$I$89,3,0)*0.475*44/12</f>
        <v>4.6597261737837733E-23</v>
      </c>
      <c r="EY188" s="24">
        <f t="shared" si="181"/>
        <v>4.8925453781665705E-2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-5.6843418860808015E-14</v>
      </c>
      <c r="FF188" s="18">
        <f>FE188*VLOOKUP('Données projet'!$B$16,Paramètres!$A$1:$I$89,3,0)*VLOOKUP('Données projet'!$B$16,Paramètres!$A$1:$I$89,5,0)</f>
        <v>-4.9658410716801891E-14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175.08726167127026</v>
      </c>
      <c r="FK188" s="62">
        <f t="shared" si="156"/>
        <v>196.05343924817117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8.5265128291212022E-14</v>
      </c>
      <c r="GA188" s="18">
        <f>FZ188*VLOOKUP('Données projet'!$B$17,Paramètres!$A$1:$I$89,3,0)*VLOOKUP('Données projet'!$B$17,Paramètres!$A$1:$I$89,5,0)</f>
        <v>5.5865712056402117E-14</v>
      </c>
      <c r="GB188" s="14">
        <f t="shared" si="185"/>
        <v>8.9811031843713517E-13</v>
      </c>
      <c r="GC188" s="22">
        <f t="shared" si="186"/>
        <v>1.6615082531095774E-12</v>
      </c>
      <c r="GD188" s="62">
        <f t="shared" si="134"/>
        <v>293.33333333333496</v>
      </c>
      <c r="GE188" s="62">
        <f ca="1">AVERAGE(OFFSET($GD$3,0,0,'Données projet'!$E$17+1,1))-AVERAGE(OFFSET($H$3,0,0,'Données projet'!$E$17+1,1))</f>
        <v>142.93037460866543</v>
      </c>
      <c r="GF188" s="62">
        <f t="shared" si="158"/>
        <v>146.18554498808049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5.6843418860808015E-14</v>
      </c>
      <c r="GV188" s="18">
        <f>GU188*VLOOKUP('Données projet'!$B$18,Paramètres!$A$1:$I$89,3,0)*VLOOKUP('Données projet'!$B$18,Paramètres!$A$1:$I$89,5,0)</f>
        <v>4.8771653382573282E-14</v>
      </c>
      <c r="GW188" s="14">
        <f t="shared" si="188"/>
        <v>7.9655698259503351E-13</v>
      </c>
      <c r="GX188" s="22">
        <f t="shared" si="189"/>
        <v>1.4722807076609983E-12</v>
      </c>
      <c r="GY188" s="62">
        <f t="shared" si="137"/>
        <v>293.33333333333479</v>
      </c>
      <c r="GZ188" s="62">
        <f ca="1">AVERAGE(OFFSET($GY$3,0,0,'Données projet'!$E$18+1,1))-AVERAGE(OFFSET($H$3,0,0,'Données projet'!$E$18+1,1))</f>
        <v>188.08607733149256</v>
      </c>
      <c r="HA188" s="62">
        <f t="shared" si="160"/>
        <v>119.95698016603842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55.613999999999926</v>
      </c>
      <c r="D189" s="12">
        <f t="shared" si="140"/>
        <v>16.054499257029459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553.23052058057772</v>
      </c>
      <c r="H189" s="70">
        <f t="shared" si="110"/>
        <v>381.48930287265955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6.1186256061773749E-14</v>
      </c>
      <c r="P189" s="14">
        <f t="shared" si="141"/>
        <v>9.7328366192051127E-13</v>
      </c>
      <c r="Q189" s="22">
        <f t="shared" si="162"/>
        <v>1.8017017738191463E-12</v>
      </c>
      <c r="R189" s="62">
        <f t="shared" si="109"/>
        <v>293.33333333333513</v>
      </c>
      <c r="S189" s="62">
        <f ca="1">AVERAGE(OFFSET($R$3,0,0,'Données projet'!$E$9+1,1))-AVERAGE(OFFSET($H$3,0,0,'Données projet'!$E$9+1,1))</f>
        <v>236.98575892380046</v>
      </c>
      <c r="T189" s="62">
        <f t="shared" si="142"/>
        <v>145.77678223659774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140.04898296125504</v>
      </c>
      <c r="AO189" s="62">
        <f t="shared" si="144"/>
        <v>129.5395511270716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-6.2527760746888816E-13</v>
      </c>
      <c r="BE189" s="14">
        <f>BD189*VLOOKUP('Données projet'!$B$11,Paramètres!$A$1:$I$89,3,0)*VLOOKUP('Données projet'!$B$11,Paramètres!$A$1:$I$89,5,0)</f>
        <v>-2.9262992029543964E-13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207.84100251878419</v>
      </c>
      <c r="BJ189" s="62">
        <f t="shared" si="146"/>
        <v>124.34917784241952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-2.9558577807620169E-14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211.05980622218578</v>
      </c>
      <c r="CE189" s="62">
        <f t="shared" si="148"/>
        <v>168.57746894604855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191.79777926975839</v>
      </c>
      <c r="CZ189" s="62">
        <f t="shared" si="150"/>
        <v>156.66161375678712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3.3112500000000011</v>
      </c>
      <c r="DO189" s="13">
        <f>IF('Données projet'!$A$166&gt;35,DO188+DN189-DW188,IF(A189&lt;'Données projet'!$A$166,$DL$205^A189,IF(A189='Données projet'!$A$166,'Données projet'!$B$166,DO188+DN189-DW188)))</f>
        <v>464.02249999999879</v>
      </c>
      <c r="DP189" s="18">
        <f>DO189*VLOOKUP('Données projet'!$B$14,Paramètres!$A$1:$I$89,3,0)*VLOOKUP('Données projet'!$B$14,Paramètres!$A$1:$I$89,5,0)</f>
        <v>506.71256999999866</v>
      </c>
      <c r="DQ189" s="14">
        <f t="shared" si="176"/>
        <v>113.10439564581381</v>
      </c>
      <c r="DR189" s="22">
        <f t="shared" si="177"/>
        <v>1079.51454849979</v>
      </c>
      <c r="DS189" s="62">
        <f t="shared" si="125"/>
        <v>1372.8478818331232</v>
      </c>
      <c r="DT189" s="62">
        <f ca="1">AVERAGE(OFFSET($DS$3,0,0,'Données projet'!$E$14+1,1))-AVERAGE(OFFSET($H$3,0,0,'Données projet'!$E$14+1,1))</f>
        <v>541.0854688453461</v>
      </c>
      <c r="DU189" s="62">
        <f t="shared" si="152"/>
        <v>171.04847168584473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5.1159076974727213E-13</v>
      </c>
      <c r="EK189" s="18">
        <f>EJ189*VLOOKUP('Données projet'!$B$15,Paramètres!$A$1:$I$89,3,0)*VLOOKUP('Données projet'!$B$15,Paramètres!$A$1:$I$89,5,0)</f>
        <v>3.0593128030886877E-13</v>
      </c>
      <c r="EL189" s="14">
        <f t="shared" si="179"/>
        <v>4.0350537939347394E-12</v>
      </c>
      <c r="EM189" s="22">
        <f t="shared" si="180"/>
        <v>7.5605490043076185E-12</v>
      </c>
      <c r="EN189" s="62">
        <f t="shared" si="128"/>
        <v>293.33333333334087</v>
      </c>
      <c r="EO189" s="62">
        <f ca="1">AVERAGE(OFFSET($EN$3,0,0,'Données projet'!$E$15+1,1))-AVERAGE(OFFSET($H$3,0,0,'Données projet'!$E$15+1,1))</f>
        <v>244.01698421598974</v>
      </c>
      <c r="EP189" s="62">
        <f t="shared" si="154"/>
        <v>156.96653202915024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4.7587584675128261E-2</v>
      </c>
      <c r="EX189" s="23">
        <f>EXP(-LN(2)/2)*EX188+(1-EXP(-LN(2)/2))/(LN(2)/2)*ER189*EU189*VLOOKUP('Données projet'!$B$15,Paramètres!$A$1:$I$89,3,0)*0.475*44/12</f>
        <v>3.2949239759549508E-23</v>
      </c>
      <c r="EY189" s="24">
        <f t="shared" si="181"/>
        <v>4.7587584675128261E-2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-5.6843418860808015E-14</v>
      </c>
      <c r="FF189" s="18">
        <f>FE189*VLOOKUP('Données projet'!$B$16,Paramètres!$A$1:$I$89,3,0)*VLOOKUP('Données projet'!$B$16,Paramètres!$A$1:$I$89,5,0)</f>
        <v>-4.9658410716801891E-14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175.08726167127026</v>
      </c>
      <c r="FK189" s="62">
        <f t="shared" si="156"/>
        <v>196.05343924817117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8.5265128291212022E-14</v>
      </c>
      <c r="GA189" s="18">
        <f>FZ189*VLOOKUP('Données projet'!$B$17,Paramètres!$A$1:$I$89,3,0)*VLOOKUP('Données projet'!$B$17,Paramètres!$A$1:$I$89,5,0)</f>
        <v>5.5865712056402117E-14</v>
      </c>
      <c r="GB189" s="14">
        <f t="shared" si="185"/>
        <v>8.9811031843713517E-13</v>
      </c>
      <c r="GC189" s="22">
        <f t="shared" si="186"/>
        <v>1.6615082531095774E-12</v>
      </c>
      <c r="GD189" s="62">
        <f t="shared" si="134"/>
        <v>293.33333333333496</v>
      </c>
      <c r="GE189" s="62">
        <f ca="1">AVERAGE(OFFSET($GD$3,0,0,'Données projet'!$E$17+1,1))-AVERAGE(OFFSET($H$3,0,0,'Données projet'!$E$17+1,1))</f>
        <v>142.93037460866543</v>
      </c>
      <c r="GF189" s="62">
        <f t="shared" si="158"/>
        <v>146.18554498808049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5.6843418860808015E-14</v>
      </c>
      <c r="GV189" s="18">
        <f>GU189*VLOOKUP('Données projet'!$B$18,Paramètres!$A$1:$I$89,3,0)*VLOOKUP('Données projet'!$B$18,Paramètres!$A$1:$I$89,5,0)</f>
        <v>4.8771653382573282E-14</v>
      </c>
      <c r="GW189" s="14">
        <f t="shared" si="188"/>
        <v>7.9655698259503351E-13</v>
      </c>
      <c r="GX189" s="22">
        <f t="shared" si="189"/>
        <v>1.4722807076609983E-12</v>
      </c>
      <c r="GY189" s="62">
        <f t="shared" si="137"/>
        <v>293.33333333333479</v>
      </c>
      <c r="GZ189" s="62">
        <f ca="1">AVERAGE(OFFSET($GY$3,0,0,'Données projet'!$E$18+1,1))-AVERAGE(OFFSET($H$3,0,0,'Données projet'!$E$18+1,1))</f>
        <v>188.08607733149256</v>
      </c>
      <c r="HA189" s="62">
        <f t="shared" si="160"/>
        <v>119.95698016603842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55.912999999999926</v>
      </c>
      <c r="D190" s="12">
        <f t="shared" si="140"/>
        <v>16.130742943214322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556.12713850902242</v>
      </c>
      <c r="H190" s="70">
        <f t="shared" si="110"/>
        <v>382.14285229276481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6.1186256061773749E-14</v>
      </c>
      <c r="P190" s="14">
        <f t="shared" si="141"/>
        <v>9.7328366192051127E-13</v>
      </c>
      <c r="Q190" s="22">
        <f t="shared" si="162"/>
        <v>1.8017017738191463E-12</v>
      </c>
      <c r="R190" s="62">
        <f t="shared" si="109"/>
        <v>293.33333333333513</v>
      </c>
      <c r="S190" s="62">
        <f ca="1">AVERAGE(OFFSET($R$3,0,0,'Données projet'!$E$9+1,1))-AVERAGE(OFFSET($H$3,0,0,'Données projet'!$E$9+1,1))</f>
        <v>236.98575892380046</v>
      </c>
      <c r="T190" s="62">
        <f t="shared" si="142"/>
        <v>145.77678223659774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140.04898296125504</v>
      </c>
      <c r="AO190" s="62">
        <f t="shared" si="144"/>
        <v>129.5395511270716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-6.2527760746888816E-13</v>
      </c>
      <c r="BE190" s="14">
        <f>BD190*VLOOKUP('Données projet'!$B$11,Paramètres!$A$1:$I$89,3,0)*VLOOKUP('Données projet'!$B$11,Paramètres!$A$1:$I$89,5,0)</f>
        <v>-2.9262992029543964E-13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207.84100251878419</v>
      </c>
      <c r="BJ190" s="62">
        <f t="shared" si="146"/>
        <v>124.34917784241952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-2.9558577807620169E-14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211.05980622218578</v>
      </c>
      <c r="CE190" s="62">
        <f t="shared" si="148"/>
        <v>168.57746894604855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191.79777926975839</v>
      </c>
      <c r="CZ190" s="62">
        <f t="shared" si="150"/>
        <v>156.66161375678712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3.3112500000000011</v>
      </c>
      <c r="DO190" s="13">
        <f>IF('Données projet'!$A$166&gt;35,DO189+DN190-DW189,IF(A190&lt;'Données projet'!$A$166,$DL$205^A190,IF(A190='Données projet'!$A$166,'Données projet'!$B$166,DO189+DN190-DW189)))</f>
        <v>467.33374999999876</v>
      </c>
      <c r="DP190" s="18">
        <f>DO190*VLOOKUP('Données projet'!$B$14,Paramètres!$A$1:$I$89,3,0)*VLOOKUP('Données projet'!$B$14,Paramètres!$A$1:$I$89,5,0)</f>
        <v>510.3284549999986</v>
      </c>
      <c r="DQ190" s="14">
        <f t="shared" si="176"/>
        <v>113.8172621257857</v>
      </c>
      <c r="DR190" s="22">
        <f t="shared" si="177"/>
        <v>1087.0537906607412</v>
      </c>
      <c r="DS190" s="62">
        <f t="shared" si="125"/>
        <v>1380.3871239940745</v>
      </c>
      <c r="DT190" s="62">
        <f ca="1">AVERAGE(OFFSET($DS$3,0,0,'Données projet'!$E$14+1,1))-AVERAGE(OFFSET($H$3,0,0,'Données projet'!$E$14+1,1))</f>
        <v>541.0854688453461</v>
      </c>
      <c r="DU190" s="62">
        <f t="shared" si="152"/>
        <v>171.04847168584473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5.1159076974727213E-13</v>
      </c>
      <c r="EK190" s="18">
        <f>EJ190*VLOOKUP('Données projet'!$B$15,Paramètres!$A$1:$I$89,3,0)*VLOOKUP('Données projet'!$B$15,Paramètres!$A$1:$I$89,5,0)</f>
        <v>3.0593128030886877E-13</v>
      </c>
      <c r="EL190" s="14">
        <f t="shared" si="179"/>
        <v>4.0350537939347394E-12</v>
      </c>
      <c r="EM190" s="22">
        <f t="shared" si="180"/>
        <v>7.5605490043076185E-12</v>
      </c>
      <c r="EN190" s="62">
        <f t="shared" si="128"/>
        <v>293.33333333334087</v>
      </c>
      <c r="EO190" s="62">
        <f ca="1">AVERAGE(OFFSET($EN$3,0,0,'Données projet'!$E$15+1,1))-AVERAGE(OFFSET($H$3,0,0,'Données projet'!$E$15+1,1))</f>
        <v>244.01698421598974</v>
      </c>
      <c r="EP190" s="62">
        <f t="shared" si="154"/>
        <v>156.96653202915024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4.6286299669664563E-2</v>
      </c>
      <c r="EX190" s="23">
        <f>EXP(-LN(2)/2)*EX189+(1-EXP(-LN(2)/2))/(LN(2)/2)*ER190*EU190*VLOOKUP('Données projet'!$B$15,Paramètres!$A$1:$I$89,3,0)*0.475*44/12</f>
        <v>2.3298630868918866E-23</v>
      </c>
      <c r="EY190" s="24">
        <f t="shared" si="181"/>
        <v>4.6286299669664563E-2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-5.6843418860808015E-14</v>
      </c>
      <c r="FF190" s="18">
        <f>FE190*VLOOKUP('Données projet'!$B$16,Paramètres!$A$1:$I$89,3,0)*VLOOKUP('Données projet'!$B$16,Paramètres!$A$1:$I$89,5,0)</f>
        <v>-4.9658410716801891E-14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175.08726167127026</v>
      </c>
      <c r="FK190" s="62">
        <f t="shared" si="156"/>
        <v>196.05343924817117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8.5265128291212022E-14</v>
      </c>
      <c r="GA190" s="18">
        <f>FZ190*VLOOKUP('Données projet'!$B$17,Paramètres!$A$1:$I$89,3,0)*VLOOKUP('Données projet'!$B$17,Paramètres!$A$1:$I$89,5,0)</f>
        <v>5.5865712056402117E-14</v>
      </c>
      <c r="GB190" s="14">
        <f t="shared" si="185"/>
        <v>8.9811031843713517E-13</v>
      </c>
      <c r="GC190" s="22">
        <f t="shared" si="186"/>
        <v>1.6615082531095774E-12</v>
      </c>
      <c r="GD190" s="62">
        <f t="shared" si="134"/>
        <v>293.33333333333496</v>
      </c>
      <c r="GE190" s="62">
        <f ca="1">AVERAGE(OFFSET($GD$3,0,0,'Données projet'!$E$17+1,1))-AVERAGE(OFFSET($H$3,0,0,'Données projet'!$E$17+1,1))</f>
        <v>142.93037460866543</v>
      </c>
      <c r="GF190" s="62">
        <f t="shared" si="158"/>
        <v>146.18554498808049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5.6843418860808015E-14</v>
      </c>
      <c r="GV190" s="18">
        <f>GU190*VLOOKUP('Données projet'!$B$18,Paramètres!$A$1:$I$89,3,0)*VLOOKUP('Données projet'!$B$18,Paramètres!$A$1:$I$89,5,0)</f>
        <v>4.8771653382573282E-14</v>
      </c>
      <c r="GW190" s="14">
        <f t="shared" si="188"/>
        <v>7.9655698259503351E-13</v>
      </c>
      <c r="GX190" s="22">
        <f t="shared" si="189"/>
        <v>1.4722807076609983E-12</v>
      </c>
      <c r="GY190" s="62">
        <f t="shared" si="137"/>
        <v>293.33333333333479</v>
      </c>
      <c r="GZ190" s="62">
        <f ca="1">AVERAGE(OFFSET($GY$3,0,0,'Données projet'!$E$18+1,1))-AVERAGE(OFFSET($H$3,0,0,'Données projet'!$E$18+1,1))</f>
        <v>188.08607733149256</v>
      </c>
      <c r="HA190" s="62">
        <f t="shared" si="160"/>
        <v>119.95698016603842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56.211999999999925</v>
      </c>
      <c r="D191" s="12">
        <f t="shared" si="140"/>
        <v>16.206939185290693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559.02339020224338</v>
      </c>
      <c r="H191" s="70">
        <f t="shared" si="110"/>
        <v>382.79631908104784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6.1186256061773749E-14</v>
      </c>
      <c r="P191" s="14">
        <f t="shared" si="141"/>
        <v>9.7328366192051127E-13</v>
      </c>
      <c r="Q191" s="22">
        <f t="shared" si="162"/>
        <v>1.8017017738191463E-12</v>
      </c>
      <c r="R191" s="62">
        <f t="shared" si="109"/>
        <v>293.33333333333513</v>
      </c>
      <c r="S191" s="62">
        <f ca="1">AVERAGE(OFFSET($R$3,0,0,'Données projet'!$E$9+1,1))-AVERAGE(OFFSET($H$3,0,0,'Données projet'!$E$9+1,1))</f>
        <v>236.98575892380046</v>
      </c>
      <c r="T191" s="62">
        <f t="shared" si="142"/>
        <v>145.77678223659774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140.04898296125504</v>
      </c>
      <c r="AO191" s="62">
        <f t="shared" si="144"/>
        <v>129.5395511270716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-6.2527760746888816E-13</v>
      </c>
      <c r="BE191" s="14">
        <f>BD191*VLOOKUP('Données projet'!$B$11,Paramètres!$A$1:$I$89,3,0)*VLOOKUP('Données projet'!$B$11,Paramètres!$A$1:$I$89,5,0)</f>
        <v>-2.9262992029543964E-13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207.84100251878419</v>
      </c>
      <c r="BJ191" s="62">
        <f t="shared" si="146"/>
        <v>124.34917784241952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-2.9558577807620169E-14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211.05980622218578</v>
      </c>
      <c r="CE191" s="62">
        <f t="shared" si="148"/>
        <v>168.57746894604855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191.79777926975839</v>
      </c>
      <c r="CZ191" s="62">
        <f t="shared" si="150"/>
        <v>156.66161375678712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3.3112500000000011</v>
      </c>
      <c r="DO191" s="13">
        <f>IF('Données projet'!$A$166&gt;35,DO190+DN191-DW190,IF(A191&lt;'Données projet'!$A$166,$DL$205^A191,IF(A191='Données projet'!$A$166,'Données projet'!$B$166,DO190+DN191-DW190)))</f>
        <v>470.64499999999873</v>
      </c>
      <c r="DP191" s="18">
        <f>DO191*VLOOKUP('Données projet'!$B$14,Paramètres!$A$1:$I$89,3,0)*VLOOKUP('Données projet'!$B$14,Paramètres!$A$1:$I$89,5,0)</f>
        <v>513.94433999999865</v>
      </c>
      <c r="DQ191" s="14">
        <f t="shared" si="176"/>
        <v>114.52954091242275</v>
      </c>
      <c r="DR191" s="22">
        <f t="shared" si="177"/>
        <v>1094.5920092558006</v>
      </c>
      <c r="DS191" s="62">
        <f t="shared" si="125"/>
        <v>1387.9253425891338</v>
      </c>
      <c r="DT191" s="62">
        <f ca="1">AVERAGE(OFFSET($DS$3,0,0,'Données projet'!$E$14+1,1))-AVERAGE(OFFSET($H$3,0,0,'Données projet'!$E$14+1,1))</f>
        <v>541.0854688453461</v>
      </c>
      <c r="DU191" s="62">
        <f t="shared" si="152"/>
        <v>171.04847168584473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5.1159076974727213E-13</v>
      </c>
      <c r="EK191" s="18">
        <f>EJ191*VLOOKUP('Données projet'!$B$15,Paramètres!$A$1:$I$89,3,0)*VLOOKUP('Données projet'!$B$15,Paramètres!$A$1:$I$89,5,0)</f>
        <v>3.0593128030886877E-13</v>
      </c>
      <c r="EL191" s="14">
        <f t="shared" si="179"/>
        <v>4.0350537939347394E-12</v>
      </c>
      <c r="EM191" s="22">
        <f t="shared" si="180"/>
        <v>7.5605490043076185E-12</v>
      </c>
      <c r="EN191" s="62">
        <f t="shared" si="128"/>
        <v>293.33333333334087</v>
      </c>
      <c r="EO191" s="62">
        <f ca="1">AVERAGE(OFFSET($EN$3,0,0,'Données projet'!$E$15+1,1))-AVERAGE(OFFSET($H$3,0,0,'Données projet'!$E$15+1,1))</f>
        <v>244.01698421598974</v>
      </c>
      <c r="EP191" s="62">
        <f t="shared" si="154"/>
        <v>156.96653202915024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4.5020598371106876E-2</v>
      </c>
      <c r="EX191" s="23">
        <f>EXP(-LN(2)/2)*EX190+(1-EXP(-LN(2)/2))/(LN(2)/2)*ER191*EU191*VLOOKUP('Données projet'!$B$15,Paramètres!$A$1:$I$89,3,0)*0.475*44/12</f>
        <v>1.6474619879774754E-23</v>
      </c>
      <c r="EY191" s="24">
        <f t="shared" si="181"/>
        <v>4.5020598371106876E-2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-5.6843418860808015E-14</v>
      </c>
      <c r="FF191" s="18">
        <f>FE191*VLOOKUP('Données projet'!$B$16,Paramètres!$A$1:$I$89,3,0)*VLOOKUP('Données projet'!$B$16,Paramètres!$A$1:$I$89,5,0)</f>
        <v>-4.9658410716801891E-14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175.08726167127026</v>
      </c>
      <c r="FK191" s="62">
        <f t="shared" si="156"/>
        <v>196.05343924817117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8.5265128291212022E-14</v>
      </c>
      <c r="GA191" s="18">
        <f>FZ191*VLOOKUP('Données projet'!$B$17,Paramètres!$A$1:$I$89,3,0)*VLOOKUP('Données projet'!$B$17,Paramètres!$A$1:$I$89,5,0)</f>
        <v>5.5865712056402117E-14</v>
      </c>
      <c r="GB191" s="14">
        <f t="shared" si="185"/>
        <v>8.9811031843713517E-13</v>
      </c>
      <c r="GC191" s="22">
        <f t="shared" si="186"/>
        <v>1.6615082531095774E-12</v>
      </c>
      <c r="GD191" s="62">
        <f t="shared" si="134"/>
        <v>293.33333333333496</v>
      </c>
      <c r="GE191" s="62">
        <f ca="1">AVERAGE(OFFSET($GD$3,0,0,'Données projet'!$E$17+1,1))-AVERAGE(OFFSET($H$3,0,0,'Données projet'!$E$17+1,1))</f>
        <v>142.93037460866543</v>
      </c>
      <c r="GF191" s="62">
        <f t="shared" si="158"/>
        <v>146.18554498808049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5.6843418860808015E-14</v>
      </c>
      <c r="GV191" s="18">
        <f>GU191*VLOOKUP('Données projet'!$B$18,Paramètres!$A$1:$I$89,3,0)*VLOOKUP('Données projet'!$B$18,Paramètres!$A$1:$I$89,5,0)</f>
        <v>4.8771653382573282E-14</v>
      </c>
      <c r="GW191" s="14">
        <f t="shared" si="188"/>
        <v>7.9655698259503351E-13</v>
      </c>
      <c r="GX191" s="22">
        <f t="shared" si="189"/>
        <v>1.4722807076609983E-12</v>
      </c>
      <c r="GY191" s="62">
        <f t="shared" si="137"/>
        <v>293.33333333333479</v>
      </c>
      <c r="GZ191" s="62">
        <f ca="1">AVERAGE(OFFSET($GY$3,0,0,'Données projet'!$E$18+1,1))-AVERAGE(OFFSET($H$3,0,0,'Données projet'!$E$18+1,1))</f>
        <v>188.08607733149256</v>
      </c>
      <c r="HA191" s="62">
        <f t="shared" si="160"/>
        <v>119.95698016603842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56.510999999999925</v>
      </c>
      <c r="D192" s="12">
        <f t="shared" si="140"/>
        <v>16.283088264911306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561.91927783440258</v>
      </c>
      <c r="H192" s="70">
        <f t="shared" si="110"/>
        <v>383.44970372805375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6.1186256061773749E-14</v>
      </c>
      <c r="P192" s="14">
        <f t="shared" si="141"/>
        <v>9.7328366192051127E-13</v>
      </c>
      <c r="Q192" s="22">
        <f t="shared" si="162"/>
        <v>1.8017017738191463E-12</v>
      </c>
      <c r="R192" s="62">
        <f t="shared" si="109"/>
        <v>293.33333333333513</v>
      </c>
      <c r="S192" s="62">
        <f ca="1">AVERAGE(OFFSET($R$3,0,0,'Données projet'!$E$9+1,1))-AVERAGE(OFFSET($H$3,0,0,'Données projet'!$E$9+1,1))</f>
        <v>236.98575892380046</v>
      </c>
      <c r="T192" s="62">
        <f t="shared" si="142"/>
        <v>145.77678223659774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140.04898296125504</v>
      </c>
      <c r="AO192" s="62">
        <f t="shared" si="144"/>
        <v>129.5395511270716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-6.2527760746888816E-13</v>
      </c>
      <c r="BE192" s="14">
        <f>BD192*VLOOKUP('Données projet'!$B$11,Paramètres!$A$1:$I$89,3,0)*VLOOKUP('Données projet'!$B$11,Paramètres!$A$1:$I$89,5,0)</f>
        <v>-2.9262992029543964E-13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207.84100251878419</v>
      </c>
      <c r="BJ192" s="62">
        <f t="shared" si="146"/>
        <v>124.34917784241952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-2.9558577807620169E-14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211.05980622218578</v>
      </c>
      <c r="CE192" s="62">
        <f t="shared" si="148"/>
        <v>168.57746894604855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191.79777926975839</v>
      </c>
      <c r="CZ192" s="62">
        <f t="shared" si="150"/>
        <v>156.66161375678712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3.3112500000000011</v>
      </c>
      <c r="DO192" s="13">
        <f>IF('Données projet'!$A$166&gt;35,DO191+DN192-DW191,IF(A192&lt;'Données projet'!$A$166,$DL$205^A192,IF(A192='Données projet'!$A$166,'Données projet'!$B$166,DO191+DN192-DW191)))</f>
        <v>473.9562499999987</v>
      </c>
      <c r="DP192" s="18">
        <f>DO192*VLOOKUP('Données projet'!$B$14,Paramètres!$A$1:$I$89,3,0)*VLOOKUP('Données projet'!$B$14,Paramètres!$A$1:$I$89,5,0)</f>
        <v>517.56022499999858</v>
      </c>
      <c r="DQ192" s="14">
        <f t="shared" si="176"/>
        <v>115.24123661994695</v>
      </c>
      <c r="DR192" s="22">
        <f t="shared" si="177"/>
        <v>1102.129212321405</v>
      </c>
      <c r="DS192" s="62">
        <f t="shared" si="125"/>
        <v>1395.4625456547383</v>
      </c>
      <c r="DT192" s="62">
        <f ca="1">AVERAGE(OFFSET($DS$3,0,0,'Données projet'!$E$14+1,1))-AVERAGE(OFFSET($H$3,0,0,'Données projet'!$E$14+1,1))</f>
        <v>541.0854688453461</v>
      </c>
      <c r="DU192" s="62">
        <f t="shared" si="152"/>
        <v>171.04847168584473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5.1159076974727213E-13</v>
      </c>
      <c r="EK192" s="18">
        <f>EJ192*VLOOKUP('Données projet'!$B$15,Paramètres!$A$1:$I$89,3,0)*VLOOKUP('Données projet'!$B$15,Paramètres!$A$1:$I$89,5,0)</f>
        <v>3.0593128030886877E-13</v>
      </c>
      <c r="EL192" s="14">
        <f t="shared" si="179"/>
        <v>4.0350537939347394E-12</v>
      </c>
      <c r="EM192" s="22">
        <f t="shared" si="180"/>
        <v>7.5605490043076185E-12</v>
      </c>
      <c r="EN192" s="62">
        <f t="shared" si="128"/>
        <v>293.33333333334087</v>
      </c>
      <c r="EO192" s="62">
        <f ca="1">AVERAGE(OFFSET($EN$3,0,0,'Données projet'!$E$15+1,1))-AVERAGE(OFFSET($H$3,0,0,'Données projet'!$E$15+1,1))</f>
        <v>244.01698421598974</v>
      </c>
      <c r="EP192" s="62">
        <f t="shared" si="154"/>
        <v>156.96653202915024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4.3789507741118588E-2</v>
      </c>
      <c r="EX192" s="23">
        <f>EXP(-LN(2)/2)*EX191+(1-EXP(-LN(2)/2))/(LN(2)/2)*ER192*EU192*VLOOKUP('Données projet'!$B$15,Paramètres!$A$1:$I$89,3,0)*0.475*44/12</f>
        <v>1.1649315434459433E-23</v>
      </c>
      <c r="EY192" s="24">
        <f t="shared" si="181"/>
        <v>4.3789507741118588E-2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-5.6843418860808015E-14</v>
      </c>
      <c r="FF192" s="18">
        <f>FE192*VLOOKUP('Données projet'!$B$16,Paramètres!$A$1:$I$89,3,0)*VLOOKUP('Données projet'!$B$16,Paramètres!$A$1:$I$89,5,0)</f>
        <v>-4.9658410716801891E-14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175.08726167127026</v>
      </c>
      <c r="FK192" s="62">
        <f t="shared" si="156"/>
        <v>196.05343924817117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8.5265128291212022E-14</v>
      </c>
      <c r="GA192" s="18">
        <f>FZ192*VLOOKUP('Données projet'!$B$17,Paramètres!$A$1:$I$89,3,0)*VLOOKUP('Données projet'!$B$17,Paramètres!$A$1:$I$89,5,0)</f>
        <v>5.5865712056402117E-14</v>
      </c>
      <c r="GB192" s="14">
        <f t="shared" si="185"/>
        <v>8.9811031843713517E-13</v>
      </c>
      <c r="GC192" s="22">
        <f t="shared" si="186"/>
        <v>1.6615082531095774E-12</v>
      </c>
      <c r="GD192" s="62">
        <f t="shared" si="134"/>
        <v>293.33333333333496</v>
      </c>
      <c r="GE192" s="62">
        <f ca="1">AVERAGE(OFFSET($GD$3,0,0,'Données projet'!$E$17+1,1))-AVERAGE(OFFSET($H$3,0,0,'Données projet'!$E$17+1,1))</f>
        <v>142.93037460866543</v>
      </c>
      <c r="GF192" s="62">
        <f t="shared" si="158"/>
        <v>146.18554498808049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5.6843418860808015E-14</v>
      </c>
      <c r="GV192" s="18">
        <f>GU192*VLOOKUP('Données projet'!$B$18,Paramètres!$A$1:$I$89,3,0)*VLOOKUP('Données projet'!$B$18,Paramètres!$A$1:$I$89,5,0)</f>
        <v>4.8771653382573282E-14</v>
      </c>
      <c r="GW192" s="14">
        <f t="shared" si="188"/>
        <v>7.9655698259503351E-13</v>
      </c>
      <c r="GX192" s="22">
        <f t="shared" si="189"/>
        <v>1.4722807076609983E-12</v>
      </c>
      <c r="GY192" s="62">
        <f t="shared" si="137"/>
        <v>293.33333333333479</v>
      </c>
      <c r="GZ192" s="62">
        <f ca="1">AVERAGE(OFFSET($GY$3,0,0,'Données projet'!$E$18+1,1))-AVERAGE(OFFSET($H$3,0,0,'Données projet'!$E$18+1,1))</f>
        <v>188.08607733149256</v>
      </c>
      <c r="HA192" s="62">
        <f t="shared" si="160"/>
        <v>119.95698016603842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56.809999999999924</v>
      </c>
      <c r="D193" s="12">
        <f t="shared" si="140"/>
        <v>16.359190460575874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564.8148035553221</v>
      </c>
      <c r="H193" s="70">
        <f t="shared" si="110"/>
        <v>384.10300671883618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6.1186256061773749E-14</v>
      </c>
      <c r="P193" s="14">
        <f t="shared" si="141"/>
        <v>9.7328366192051127E-13</v>
      </c>
      <c r="Q193" s="22">
        <f t="shared" si="162"/>
        <v>1.8017017738191463E-12</v>
      </c>
      <c r="R193" s="62">
        <f t="shared" si="109"/>
        <v>293.33333333333513</v>
      </c>
      <c r="S193" s="62">
        <f ca="1">AVERAGE(OFFSET($R$3,0,0,'Données projet'!$E$9+1,1))-AVERAGE(OFFSET($H$3,0,0,'Données projet'!$E$9+1,1))</f>
        <v>236.98575892380046</v>
      </c>
      <c r="T193" s="62">
        <f t="shared" si="142"/>
        <v>145.77678223659774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140.04898296125504</v>
      </c>
      <c r="AO193" s="62">
        <f t="shared" si="144"/>
        <v>129.5395511270716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-6.2527760746888816E-13</v>
      </c>
      <c r="BE193" s="14">
        <f>BD193*VLOOKUP('Données projet'!$B$11,Paramètres!$A$1:$I$89,3,0)*VLOOKUP('Données projet'!$B$11,Paramètres!$A$1:$I$89,5,0)</f>
        <v>-2.9262992029543964E-13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207.84100251878419</v>
      </c>
      <c r="BJ193" s="62">
        <f t="shared" si="146"/>
        <v>124.34917784241952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-2.9558577807620169E-14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211.05980622218578</v>
      </c>
      <c r="CE193" s="62">
        <f t="shared" si="148"/>
        <v>168.57746894604855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191.79777926975839</v>
      </c>
      <c r="CZ193" s="62">
        <f t="shared" si="150"/>
        <v>156.66161375678712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3.3112500000000011</v>
      </c>
      <c r="DO193" s="13">
        <f>IF('Données projet'!$A$166&gt;35,DO192+DN193-DW192,IF(A193&lt;'Données projet'!$A$166,$DL$205^A193,IF(A193='Données projet'!$A$166,'Données projet'!$B$166,DO192+DN193-DW192)))</f>
        <v>477.26749999999868</v>
      </c>
      <c r="DP193" s="18">
        <f>DO193*VLOOKUP('Données projet'!$B$14,Paramètres!$A$1:$I$89,3,0)*VLOOKUP('Données projet'!$B$14,Paramètres!$A$1:$I$89,5,0)</f>
        <v>521.17610999999852</v>
      </c>
      <c r="DQ193" s="14">
        <f t="shared" si="176"/>
        <v>115.95235379438056</v>
      </c>
      <c r="DR193" s="22">
        <f t="shared" si="177"/>
        <v>1109.6654077752103</v>
      </c>
      <c r="DS193" s="62">
        <f t="shared" si="125"/>
        <v>1402.9987411085435</v>
      </c>
      <c r="DT193" s="62">
        <f ca="1">AVERAGE(OFFSET($DS$3,0,0,'Données projet'!$E$14+1,1))-AVERAGE(OFFSET($H$3,0,0,'Données projet'!$E$14+1,1))</f>
        <v>541.0854688453461</v>
      </c>
      <c r="DU193" s="62">
        <f t="shared" si="152"/>
        <v>171.04847168584473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5.1159076974727213E-13</v>
      </c>
      <c r="EK193" s="18">
        <f>EJ193*VLOOKUP('Données projet'!$B$15,Paramètres!$A$1:$I$89,3,0)*VLOOKUP('Données projet'!$B$15,Paramètres!$A$1:$I$89,5,0)</f>
        <v>3.0593128030886877E-13</v>
      </c>
      <c r="EL193" s="14">
        <f t="shared" si="179"/>
        <v>4.0350537939347394E-12</v>
      </c>
      <c r="EM193" s="22">
        <f t="shared" si="180"/>
        <v>7.5605490043076185E-12</v>
      </c>
      <c r="EN193" s="62">
        <f t="shared" si="128"/>
        <v>293.33333333334087</v>
      </c>
      <c r="EO193" s="62">
        <f ca="1">AVERAGE(OFFSET($EN$3,0,0,'Données projet'!$E$15+1,1))-AVERAGE(OFFSET($H$3,0,0,'Données projet'!$E$15+1,1))</f>
        <v>244.01698421598974</v>
      </c>
      <c r="EP193" s="62">
        <f t="shared" si="154"/>
        <v>156.96653202915024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4.2592081349147569E-2</v>
      </c>
      <c r="EX193" s="23">
        <f>EXP(-LN(2)/2)*EX192+(1-EXP(-LN(2)/2))/(LN(2)/2)*ER193*EU193*VLOOKUP('Données projet'!$B$15,Paramètres!$A$1:$I$89,3,0)*0.475*44/12</f>
        <v>8.2373099398873771E-24</v>
      </c>
      <c r="EY193" s="24">
        <f t="shared" si="181"/>
        <v>4.2592081349147569E-2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-5.6843418860808015E-14</v>
      </c>
      <c r="FF193" s="18">
        <f>FE193*VLOOKUP('Données projet'!$B$16,Paramètres!$A$1:$I$89,3,0)*VLOOKUP('Données projet'!$B$16,Paramètres!$A$1:$I$89,5,0)</f>
        <v>-4.9658410716801891E-14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175.08726167127026</v>
      </c>
      <c r="FK193" s="62">
        <f t="shared" si="156"/>
        <v>196.05343924817117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8.5265128291212022E-14</v>
      </c>
      <c r="GA193" s="18">
        <f>FZ193*VLOOKUP('Données projet'!$B$17,Paramètres!$A$1:$I$89,3,0)*VLOOKUP('Données projet'!$B$17,Paramètres!$A$1:$I$89,5,0)</f>
        <v>5.5865712056402117E-14</v>
      </c>
      <c r="GB193" s="14">
        <f t="shared" si="185"/>
        <v>8.9811031843713517E-13</v>
      </c>
      <c r="GC193" s="22">
        <f t="shared" si="186"/>
        <v>1.6615082531095774E-12</v>
      </c>
      <c r="GD193" s="62">
        <f t="shared" si="134"/>
        <v>293.33333333333496</v>
      </c>
      <c r="GE193" s="62">
        <f ca="1">AVERAGE(OFFSET($GD$3,0,0,'Données projet'!$E$17+1,1))-AVERAGE(OFFSET($H$3,0,0,'Données projet'!$E$17+1,1))</f>
        <v>142.93037460866543</v>
      </c>
      <c r="GF193" s="62">
        <f t="shared" si="158"/>
        <v>146.18554498808049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5.6843418860808015E-14</v>
      </c>
      <c r="GV193" s="18">
        <f>GU193*VLOOKUP('Données projet'!$B$18,Paramètres!$A$1:$I$89,3,0)*VLOOKUP('Données projet'!$B$18,Paramètres!$A$1:$I$89,5,0)</f>
        <v>4.8771653382573282E-14</v>
      </c>
      <c r="GW193" s="14">
        <f t="shared" si="188"/>
        <v>7.9655698259503351E-13</v>
      </c>
      <c r="GX193" s="22">
        <f t="shared" si="189"/>
        <v>1.4722807076609983E-12</v>
      </c>
      <c r="GY193" s="62">
        <f t="shared" si="137"/>
        <v>293.33333333333479</v>
      </c>
      <c r="GZ193" s="62">
        <f ca="1">AVERAGE(OFFSET($GY$3,0,0,'Données projet'!$E$18+1,1))-AVERAGE(OFFSET($H$3,0,0,'Données projet'!$E$18+1,1))</f>
        <v>188.08607733149256</v>
      </c>
      <c r="HA193" s="62">
        <f t="shared" si="160"/>
        <v>119.95698016603842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57.108999999999924</v>
      </c>
      <c r="D194" s="12">
        <f t="shared" si="140"/>
        <v>16.435246047682842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567.70996949088442</v>
      </c>
      <c r="H194" s="70">
        <f t="shared" si="110"/>
        <v>384.75622853304753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6.1186256061773749E-14</v>
      </c>
      <c r="P194" s="14">
        <f t="shared" si="141"/>
        <v>9.7328366192051127E-13</v>
      </c>
      <c r="Q194" s="22">
        <f t="shared" si="162"/>
        <v>1.8017017738191463E-12</v>
      </c>
      <c r="R194" s="62">
        <f t="shared" si="109"/>
        <v>293.33333333333513</v>
      </c>
      <c r="S194" s="62">
        <f ca="1">AVERAGE(OFFSET($R$3,0,0,'Données projet'!$E$9+1,1))-AVERAGE(OFFSET($H$3,0,0,'Données projet'!$E$9+1,1))</f>
        <v>236.98575892380046</v>
      </c>
      <c r="T194" s="62">
        <f t="shared" si="142"/>
        <v>145.77678223659774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140.04898296125504</v>
      </c>
      <c r="AO194" s="62">
        <f t="shared" si="144"/>
        <v>129.5395511270716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-6.2527760746888816E-13</v>
      </c>
      <c r="BE194" s="14">
        <f>BD194*VLOOKUP('Données projet'!$B$11,Paramètres!$A$1:$I$89,3,0)*VLOOKUP('Données projet'!$B$11,Paramètres!$A$1:$I$89,5,0)</f>
        <v>-2.9262992029543964E-13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207.84100251878419</v>
      </c>
      <c r="BJ194" s="62">
        <f t="shared" si="146"/>
        <v>124.34917784241952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-2.9558577807620169E-14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211.05980622218578</v>
      </c>
      <c r="CE194" s="62">
        <f t="shared" si="148"/>
        <v>168.57746894604855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191.79777926975839</v>
      </c>
      <c r="CZ194" s="62">
        <f t="shared" si="150"/>
        <v>156.66161375678712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3.3112500000000011</v>
      </c>
      <c r="DO194" s="13">
        <f>IF('Données projet'!$A$166&gt;35,DO193+DN194-DW193,IF(A194&lt;'Données projet'!$A$166,$DL$205^A194,IF(A194='Données projet'!$A$166,'Données projet'!$B$166,DO193+DN194-DW193)))</f>
        <v>480.57874999999865</v>
      </c>
      <c r="DP194" s="18">
        <f>DO194*VLOOKUP('Données projet'!$B$14,Paramètres!$A$1:$I$89,3,0)*VLOOKUP('Données projet'!$B$14,Paramètres!$A$1:$I$89,5,0)</f>
        <v>524.79199499999845</v>
      </c>
      <c r="DQ194" s="14">
        <f t="shared" si="176"/>
        <v>116.6628969150195</v>
      </c>
      <c r="DR194" s="22">
        <f t="shared" si="177"/>
        <v>1117.2006034186561</v>
      </c>
      <c r="DS194" s="62">
        <f t="shared" si="125"/>
        <v>1410.5339367519894</v>
      </c>
      <c r="DT194" s="62">
        <f ca="1">AVERAGE(OFFSET($DS$3,0,0,'Données projet'!$E$14+1,1))-AVERAGE(OFFSET($H$3,0,0,'Données projet'!$E$14+1,1))</f>
        <v>541.0854688453461</v>
      </c>
      <c r="DU194" s="62">
        <f t="shared" si="152"/>
        <v>171.04847168584473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5.1159076974727213E-13</v>
      </c>
      <c r="EK194" s="18">
        <f>EJ194*VLOOKUP('Données projet'!$B$15,Paramètres!$A$1:$I$89,3,0)*VLOOKUP('Données projet'!$B$15,Paramètres!$A$1:$I$89,5,0)</f>
        <v>3.0593128030886877E-13</v>
      </c>
      <c r="EL194" s="14">
        <f t="shared" si="179"/>
        <v>4.0350537939347394E-12</v>
      </c>
      <c r="EM194" s="22">
        <f t="shared" si="180"/>
        <v>7.5605490043076185E-12</v>
      </c>
      <c r="EN194" s="62">
        <f t="shared" si="128"/>
        <v>293.33333333334087</v>
      </c>
      <c r="EO194" s="62">
        <f ca="1">AVERAGE(OFFSET($EN$3,0,0,'Données projet'!$E$15+1,1))-AVERAGE(OFFSET($H$3,0,0,'Données projet'!$E$15+1,1))</f>
        <v>244.01698421598974</v>
      </c>
      <c r="EP194" s="62">
        <f t="shared" si="154"/>
        <v>156.96653202915024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4.1427398644834919E-2</v>
      </c>
      <c r="EX194" s="23">
        <f>EXP(-LN(2)/2)*EX193+(1-EXP(-LN(2)/2))/(LN(2)/2)*ER194*EU194*VLOOKUP('Données projet'!$B$15,Paramètres!$A$1:$I$89,3,0)*0.475*44/12</f>
        <v>5.8246577172297166E-24</v>
      </c>
      <c r="EY194" s="24">
        <f t="shared" si="181"/>
        <v>4.1427398644834919E-2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-5.6843418860808015E-14</v>
      </c>
      <c r="FF194" s="18">
        <f>FE194*VLOOKUP('Données projet'!$B$16,Paramètres!$A$1:$I$89,3,0)*VLOOKUP('Données projet'!$B$16,Paramètres!$A$1:$I$89,5,0)</f>
        <v>-4.9658410716801891E-14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175.08726167127026</v>
      </c>
      <c r="FK194" s="62">
        <f t="shared" si="156"/>
        <v>196.05343924817117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8.5265128291212022E-14</v>
      </c>
      <c r="GA194" s="18">
        <f>FZ194*VLOOKUP('Données projet'!$B$17,Paramètres!$A$1:$I$89,3,0)*VLOOKUP('Données projet'!$B$17,Paramètres!$A$1:$I$89,5,0)</f>
        <v>5.5865712056402117E-14</v>
      </c>
      <c r="GB194" s="14">
        <f t="shared" si="185"/>
        <v>8.9811031843713517E-13</v>
      </c>
      <c r="GC194" s="22">
        <f t="shared" si="186"/>
        <v>1.6615082531095774E-12</v>
      </c>
      <c r="GD194" s="62">
        <f t="shared" si="134"/>
        <v>293.33333333333496</v>
      </c>
      <c r="GE194" s="62">
        <f ca="1">AVERAGE(OFFSET($GD$3,0,0,'Données projet'!$E$17+1,1))-AVERAGE(OFFSET($H$3,0,0,'Données projet'!$E$17+1,1))</f>
        <v>142.93037460866543</v>
      </c>
      <c r="GF194" s="62">
        <f t="shared" si="158"/>
        <v>146.18554498808049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5.6843418860808015E-14</v>
      </c>
      <c r="GV194" s="18">
        <f>GU194*VLOOKUP('Données projet'!$B$18,Paramètres!$A$1:$I$89,3,0)*VLOOKUP('Données projet'!$B$18,Paramètres!$A$1:$I$89,5,0)</f>
        <v>4.8771653382573282E-14</v>
      </c>
      <c r="GW194" s="14">
        <f t="shared" si="188"/>
        <v>7.9655698259503351E-13</v>
      </c>
      <c r="GX194" s="22">
        <f t="shared" si="189"/>
        <v>1.4722807076609983E-12</v>
      </c>
      <c r="GY194" s="62">
        <f t="shared" si="137"/>
        <v>293.33333333333479</v>
      </c>
      <c r="GZ194" s="62">
        <f ca="1">AVERAGE(OFFSET($GY$3,0,0,'Données projet'!$E$18+1,1))-AVERAGE(OFFSET($H$3,0,0,'Données projet'!$E$18+1,1))</f>
        <v>188.08607733149256</v>
      </c>
      <c r="HA194" s="62">
        <f t="shared" si="160"/>
        <v>119.95698016603842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57.407999999999923</v>
      </c>
      <c r="D195" s="12">
        <f t="shared" si="140"/>
        <v>16.51125529857994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570.60477774342348</v>
      </c>
      <c r="H195" s="70">
        <f t="shared" si="110"/>
        <v>385.40936964502657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6.1186256061773749E-14</v>
      </c>
      <c r="P195" s="14">
        <f t="shared" si="141"/>
        <v>9.7328366192051127E-13</v>
      </c>
      <c r="Q195" s="22">
        <f t="shared" si="162"/>
        <v>1.8017017738191463E-12</v>
      </c>
      <c r="R195" s="62">
        <f t="shared" ref="R195:R203" si="191">Q195+(I195+J195)*44/12</f>
        <v>293.33333333333513</v>
      </c>
      <c r="S195" s="62">
        <f ca="1">AVERAGE(OFFSET($R$3,0,0,'Données projet'!$E$9+1,1))-AVERAGE(OFFSET($H$3,0,0,'Données projet'!$E$9+1,1))</f>
        <v>236.98575892380046</v>
      </c>
      <c r="T195" s="62">
        <f t="shared" si="142"/>
        <v>145.77678223659774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140.04898296125504</v>
      </c>
      <c r="AO195" s="62">
        <f t="shared" si="144"/>
        <v>129.5395511270716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-6.2527760746888816E-13</v>
      </c>
      <c r="BE195" s="14">
        <f>BD195*VLOOKUP('Données projet'!$B$11,Paramètres!$A$1:$I$89,3,0)*VLOOKUP('Données projet'!$B$11,Paramètres!$A$1:$I$89,5,0)</f>
        <v>-2.9262992029543964E-13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207.84100251878419</v>
      </c>
      <c r="BJ195" s="62">
        <f t="shared" si="146"/>
        <v>124.34917784241952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-2.9558577807620169E-14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211.05980622218578</v>
      </c>
      <c r="CE195" s="62">
        <f t="shared" si="148"/>
        <v>168.57746894604855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191.79777926975839</v>
      </c>
      <c r="CZ195" s="62">
        <f t="shared" si="150"/>
        <v>156.66161375678712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3.3112500000000011</v>
      </c>
      <c r="DO195" s="13">
        <f>IF('Données projet'!$A$166&gt;35,DO194+DN195-DW194,IF(A195&lt;'Données projet'!$A$166,$DL$205^A195,IF(A195='Données projet'!$A$166,'Données projet'!$B$166,DO194+DN195-DW194)))</f>
        <v>483.88999999999862</v>
      </c>
      <c r="DP195" s="18">
        <f>DO195*VLOOKUP('Données projet'!$B$14,Paramètres!$A$1:$I$89,3,0)*VLOOKUP('Données projet'!$B$14,Paramètres!$A$1:$I$89,5,0)</f>
        <v>528.40787999999839</v>
      </c>
      <c r="DQ195" s="14">
        <f t="shared" si="176"/>
        <v>117.37287039586649</v>
      </c>
      <c r="DR195" s="22">
        <f t="shared" si="177"/>
        <v>1124.7348069394645</v>
      </c>
      <c r="DS195" s="62">
        <f t="shared" si="125"/>
        <v>1418.0681402727978</v>
      </c>
      <c r="DT195" s="62">
        <f ca="1">AVERAGE(OFFSET($DS$3,0,0,'Données projet'!$E$14+1,1))-AVERAGE(OFFSET($H$3,0,0,'Données projet'!$E$14+1,1))</f>
        <v>541.0854688453461</v>
      </c>
      <c r="DU195" s="62">
        <f t="shared" si="152"/>
        <v>171.04847168584473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5.1159076974727213E-13</v>
      </c>
      <c r="EK195" s="18">
        <f>EJ195*VLOOKUP('Données projet'!$B$15,Paramètres!$A$1:$I$89,3,0)*VLOOKUP('Données projet'!$B$15,Paramètres!$A$1:$I$89,5,0)</f>
        <v>3.0593128030886877E-13</v>
      </c>
      <c r="EL195" s="14">
        <f t="shared" si="179"/>
        <v>4.0350537939347394E-12</v>
      </c>
      <c r="EM195" s="22">
        <f t="shared" si="180"/>
        <v>7.5605490043076185E-12</v>
      </c>
      <c r="EN195" s="62">
        <f t="shared" si="128"/>
        <v>293.33333333334087</v>
      </c>
      <c r="EO195" s="62">
        <f ca="1">AVERAGE(OFFSET($EN$3,0,0,'Données projet'!$E$15+1,1))-AVERAGE(OFFSET($H$3,0,0,'Données projet'!$E$15+1,1))</f>
        <v>244.01698421598974</v>
      </c>
      <c r="EP195" s="62">
        <f t="shared" si="154"/>
        <v>156.96653202915024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4.0294564250319694E-2</v>
      </c>
      <c r="EX195" s="23">
        <f>EXP(-LN(2)/2)*EX194+(1-EXP(-LN(2)/2))/(LN(2)/2)*ER195*EU195*VLOOKUP('Données projet'!$B$15,Paramètres!$A$1:$I$89,3,0)*0.475*44/12</f>
        <v>4.1186549699436885E-24</v>
      </c>
      <c r="EY195" s="24">
        <f t="shared" si="181"/>
        <v>4.0294564250319694E-2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-5.6843418860808015E-14</v>
      </c>
      <c r="FF195" s="18">
        <f>FE195*VLOOKUP('Données projet'!$B$16,Paramètres!$A$1:$I$89,3,0)*VLOOKUP('Données projet'!$B$16,Paramètres!$A$1:$I$89,5,0)</f>
        <v>-4.9658410716801891E-14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175.08726167127026</v>
      </c>
      <c r="FK195" s="62">
        <f t="shared" si="156"/>
        <v>196.05343924817117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8.5265128291212022E-14</v>
      </c>
      <c r="GA195" s="18">
        <f>FZ195*VLOOKUP('Données projet'!$B$17,Paramètres!$A$1:$I$89,3,0)*VLOOKUP('Données projet'!$B$17,Paramètres!$A$1:$I$89,5,0)</f>
        <v>5.5865712056402117E-14</v>
      </c>
      <c r="GB195" s="14">
        <f t="shared" si="185"/>
        <v>8.9811031843713517E-13</v>
      </c>
      <c r="GC195" s="22">
        <f t="shared" si="186"/>
        <v>1.6615082531095774E-12</v>
      </c>
      <c r="GD195" s="62">
        <f t="shared" si="134"/>
        <v>293.33333333333496</v>
      </c>
      <c r="GE195" s="62">
        <f ca="1">AVERAGE(OFFSET($GD$3,0,0,'Données projet'!$E$17+1,1))-AVERAGE(OFFSET($H$3,0,0,'Données projet'!$E$17+1,1))</f>
        <v>142.93037460866543</v>
      </c>
      <c r="GF195" s="62">
        <f t="shared" si="158"/>
        <v>146.18554498808049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5.6843418860808015E-14</v>
      </c>
      <c r="GV195" s="18">
        <f>GU195*VLOOKUP('Données projet'!$B$18,Paramètres!$A$1:$I$89,3,0)*VLOOKUP('Données projet'!$B$18,Paramètres!$A$1:$I$89,5,0)</f>
        <v>4.8771653382573282E-14</v>
      </c>
      <c r="GW195" s="14">
        <f t="shared" si="188"/>
        <v>7.9655698259503351E-13</v>
      </c>
      <c r="GX195" s="22">
        <f t="shared" si="189"/>
        <v>1.4722807076609983E-12</v>
      </c>
      <c r="GY195" s="62">
        <f t="shared" si="137"/>
        <v>293.33333333333479</v>
      </c>
      <c r="GZ195" s="62">
        <f ca="1">AVERAGE(OFFSET($GY$3,0,0,'Données projet'!$E$18+1,1))-AVERAGE(OFFSET($H$3,0,0,'Données projet'!$E$18+1,1))</f>
        <v>188.08607733149256</v>
      </c>
      <c r="HA195" s="62">
        <f t="shared" si="160"/>
        <v>119.95698016603842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57.706999999999923</v>
      </c>
      <c r="D196" s="12">
        <f t="shared" si="140"/>
        <v>16.587218482613711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573.49923039210523</v>
      </c>
      <c r="H196" s="70">
        <f t="shared" ref="H196:H203" si="192">(B196+E196+F196)*44/12+(C196+D196)*0.475*44/12</f>
        <v>386.06243052388538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6.1186256061773749E-14</v>
      </c>
      <c r="P196" s="14">
        <f t="shared" si="141"/>
        <v>9.7328366192051127E-13</v>
      </c>
      <c r="Q196" s="22">
        <f t="shared" si="162"/>
        <v>1.8017017738191463E-12</v>
      </c>
      <c r="R196" s="62">
        <f t="shared" si="191"/>
        <v>293.33333333333513</v>
      </c>
      <c r="S196" s="62">
        <f ca="1">AVERAGE(OFFSET($R$3,0,0,'Données projet'!$E$9+1,1))-AVERAGE(OFFSET($H$3,0,0,'Données projet'!$E$9+1,1))</f>
        <v>236.98575892380046</v>
      </c>
      <c r="T196" s="62">
        <f t="shared" si="142"/>
        <v>145.77678223659774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140.04898296125504</v>
      </c>
      <c r="AO196" s="62">
        <f t="shared" si="144"/>
        <v>129.5395511270716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-6.2527760746888816E-13</v>
      </c>
      <c r="BE196" s="14">
        <f>BD196*VLOOKUP('Données projet'!$B$11,Paramètres!$A$1:$I$89,3,0)*VLOOKUP('Données projet'!$B$11,Paramètres!$A$1:$I$89,5,0)</f>
        <v>-2.9262992029543964E-13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207.84100251878419</v>
      </c>
      <c r="BJ196" s="62">
        <f t="shared" si="146"/>
        <v>124.34917784241952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-2.9558577807620169E-14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211.05980622218578</v>
      </c>
      <c r="CE196" s="62">
        <f t="shared" si="148"/>
        <v>168.57746894604855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191.79777926975839</v>
      </c>
      <c r="CZ196" s="62">
        <f t="shared" si="150"/>
        <v>156.66161375678712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3.3112500000000011</v>
      </c>
      <c r="DO196" s="13">
        <f>IF('Données projet'!$A$166&gt;35,DO195+DN196-DW195,IF(A196&lt;'Données projet'!$A$166,$DL$205^A196,IF(A196='Données projet'!$A$166,'Données projet'!$B$166,DO195+DN196-DW195)))</f>
        <v>487.20124999999859</v>
      </c>
      <c r="DP196" s="18">
        <f>DO196*VLOOKUP('Données projet'!$B$14,Paramètres!$A$1:$I$89,3,0)*VLOOKUP('Données projet'!$B$14,Paramètres!$A$1:$I$89,5,0)</f>
        <v>532.02376499999843</v>
      </c>
      <c r="DQ196" s="14">
        <f t="shared" si="176"/>
        <v>118.08227858702224</v>
      </c>
      <c r="DR196" s="22">
        <f t="shared" si="177"/>
        <v>1132.2680259140609</v>
      </c>
      <c r="DS196" s="62">
        <f t="shared" ref="DS196:DS203" si="197">DR196+(DJ196+DK196)*44/12</f>
        <v>1425.6013592473942</v>
      </c>
      <c r="DT196" s="62">
        <f ca="1">AVERAGE(OFFSET($DS$3,0,0,'Données projet'!$E$14+1,1))-AVERAGE(OFFSET($H$3,0,0,'Données projet'!$E$14+1,1))</f>
        <v>541.0854688453461</v>
      </c>
      <c r="DU196" s="62">
        <f t="shared" si="152"/>
        <v>171.04847168584473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5.1159076974727213E-13</v>
      </c>
      <c r="EK196" s="18">
        <f>EJ196*VLOOKUP('Données projet'!$B$15,Paramètres!$A$1:$I$89,3,0)*VLOOKUP('Données projet'!$B$15,Paramètres!$A$1:$I$89,5,0)</f>
        <v>3.0593128030886877E-13</v>
      </c>
      <c r="EL196" s="14">
        <f t="shared" si="179"/>
        <v>4.0350537939347394E-12</v>
      </c>
      <c r="EM196" s="22">
        <f t="shared" si="180"/>
        <v>7.5605490043076185E-12</v>
      </c>
      <c r="EN196" s="62">
        <f t="shared" ref="EN196:EN203" si="198">EM196+(EE196+EF196)*44/12</f>
        <v>293.33333333334087</v>
      </c>
      <c r="EO196" s="62">
        <f ca="1">AVERAGE(OFFSET($EN$3,0,0,'Données projet'!$E$15+1,1))-AVERAGE(OFFSET($H$3,0,0,'Données projet'!$E$15+1,1))</f>
        <v>244.01698421598974</v>
      </c>
      <c r="EP196" s="62">
        <f t="shared" si="154"/>
        <v>156.96653202915024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3.9192707271895659E-2</v>
      </c>
      <c r="EX196" s="23">
        <f>EXP(-LN(2)/2)*EX195+(1-EXP(-LN(2)/2))/(LN(2)/2)*ER196*EU196*VLOOKUP('Données projet'!$B$15,Paramètres!$A$1:$I$89,3,0)*0.475*44/12</f>
        <v>2.9123288586148583E-24</v>
      </c>
      <c r="EY196" s="24">
        <f t="shared" si="181"/>
        <v>3.9192707271895659E-2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-5.6843418860808015E-14</v>
      </c>
      <c r="FF196" s="18">
        <f>FE196*VLOOKUP('Données projet'!$B$16,Paramètres!$A$1:$I$89,3,0)*VLOOKUP('Données projet'!$B$16,Paramètres!$A$1:$I$89,5,0)</f>
        <v>-4.9658410716801891E-14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175.08726167127026</v>
      </c>
      <c r="FK196" s="62">
        <f t="shared" si="156"/>
        <v>196.05343924817117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8.5265128291212022E-14</v>
      </c>
      <c r="GA196" s="18">
        <f>FZ196*VLOOKUP('Données projet'!$B$17,Paramètres!$A$1:$I$89,3,0)*VLOOKUP('Données projet'!$B$17,Paramètres!$A$1:$I$89,5,0)</f>
        <v>5.5865712056402117E-14</v>
      </c>
      <c r="GB196" s="14">
        <f t="shared" si="185"/>
        <v>8.9811031843713517E-13</v>
      </c>
      <c r="GC196" s="22">
        <f t="shared" si="186"/>
        <v>1.6615082531095774E-12</v>
      </c>
      <c r="GD196" s="62">
        <f t="shared" ref="GD196:GD203" si="200">GC196+(FU196+FV196)*44/12</f>
        <v>293.33333333333496</v>
      </c>
      <c r="GE196" s="62">
        <f ca="1">AVERAGE(OFFSET($GD$3,0,0,'Données projet'!$E$17+1,1))-AVERAGE(OFFSET($H$3,0,0,'Données projet'!$E$17+1,1))</f>
        <v>142.93037460866543</v>
      </c>
      <c r="GF196" s="62">
        <f t="shared" si="158"/>
        <v>146.18554498808049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5.6843418860808015E-14</v>
      </c>
      <c r="GV196" s="18">
        <f>GU196*VLOOKUP('Données projet'!$B$18,Paramètres!$A$1:$I$89,3,0)*VLOOKUP('Données projet'!$B$18,Paramètres!$A$1:$I$89,5,0)</f>
        <v>4.8771653382573282E-14</v>
      </c>
      <c r="GW196" s="14">
        <f t="shared" si="188"/>
        <v>7.9655698259503351E-13</v>
      </c>
      <c r="GX196" s="22">
        <f t="shared" si="189"/>
        <v>1.4722807076609983E-12</v>
      </c>
      <c r="GY196" s="62">
        <f t="shared" ref="GY196:GY203" si="201">GX196+(GP196+GQ196)*44/12</f>
        <v>293.33333333333479</v>
      </c>
      <c r="GZ196" s="62">
        <f ca="1">AVERAGE(OFFSET($GY$3,0,0,'Données projet'!$E$18+1,1))-AVERAGE(OFFSET($H$3,0,0,'Données projet'!$E$18+1,1))</f>
        <v>188.08607733149256</v>
      </c>
      <c r="HA196" s="62">
        <f t="shared" si="160"/>
        <v>119.95698016603842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58.005999999999922</v>
      </c>
      <c r="D197" s="12">
        <f t="shared" ref="D197:D203" si="202">IFERROR(EXP(-1.0587+0.8836*LN(C197)+0.284),0)</f>
        <v>16.663135866177953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576.39332949330287</v>
      </c>
      <c r="H197" s="70">
        <f t="shared" si="192"/>
        <v>386.71541163359313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6.1186256061773749E-14</v>
      </c>
      <c r="P197" s="14">
        <f t="shared" ref="P197:P203" si="203">EXP(-1.0587+0.8836*LN(O197)+0.284)</f>
        <v>9.7328366192051127E-13</v>
      </c>
      <c r="Q197" s="22">
        <f t="shared" si="162"/>
        <v>1.8017017738191463E-12</v>
      </c>
      <c r="R197" s="62">
        <f t="shared" si="191"/>
        <v>293.33333333333513</v>
      </c>
      <c r="S197" s="62">
        <f ca="1">AVERAGE(OFFSET($R$3,0,0,'Données projet'!$E$9+1,1))-AVERAGE(OFFSET($H$3,0,0,'Données projet'!$E$9+1,1))</f>
        <v>236.98575892380046</v>
      </c>
      <c r="T197" s="62">
        <f t="shared" ref="T197:T203" si="204">$T$3</f>
        <v>145.77678223659774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140.04898296125504</v>
      </c>
      <c r="AO197" s="62">
        <f t="shared" ref="AO197:AO203" si="205">$AO$3</f>
        <v>129.5395511270716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-6.2527760746888816E-13</v>
      </c>
      <c r="BE197" s="14">
        <f>BD197*VLOOKUP('Données projet'!$B$11,Paramètres!$A$1:$I$89,3,0)*VLOOKUP('Données projet'!$B$11,Paramètres!$A$1:$I$89,5,0)</f>
        <v>-2.9262992029543964E-13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207.84100251878419</v>
      </c>
      <c r="BJ197" s="62">
        <f t="shared" ref="BJ197:BJ203" si="206">$BJ$3</f>
        <v>124.34917784241952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-2.9558577807620169E-14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211.05980622218578</v>
      </c>
      <c r="CE197" s="62">
        <f t="shared" ref="CE197:CE203" si="207">$CE$3</f>
        <v>168.57746894604855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191.79777926975839</v>
      </c>
      <c r="CZ197" s="62">
        <f t="shared" ref="CZ197:CZ203" si="208">$CZ$3</f>
        <v>156.66161375678712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3.3112500000000011</v>
      </c>
      <c r="DO197" s="13">
        <f>IF('Données projet'!$A$166&gt;35,DO196+DN197-DW196,IF(A197&lt;'Données projet'!$A$166,$DL$205^A197,IF(A197='Données projet'!$A$166,'Données projet'!$B$166,DO196+DN197-DW196)))</f>
        <v>490.51249999999857</v>
      </c>
      <c r="DP197" s="18">
        <f>DO197*VLOOKUP('Données projet'!$B$14,Paramètres!$A$1:$I$89,3,0)*VLOOKUP('Données projet'!$B$14,Paramètres!$A$1:$I$89,5,0)</f>
        <v>535.63964999999837</v>
      </c>
      <c r="DQ197" s="14">
        <f t="shared" si="176"/>
        <v>118.79112577603892</v>
      </c>
      <c r="DR197" s="22">
        <f t="shared" si="177"/>
        <v>1139.8002678099315</v>
      </c>
      <c r="DS197" s="62">
        <f t="shared" si="197"/>
        <v>1433.1336011432647</v>
      </c>
      <c r="DT197" s="62">
        <f ca="1">AVERAGE(OFFSET($DS$3,0,0,'Données projet'!$E$14+1,1))-AVERAGE(OFFSET($H$3,0,0,'Données projet'!$E$14+1,1))</f>
        <v>541.0854688453461</v>
      </c>
      <c r="DU197" s="62">
        <f t="shared" ref="DU197:DU203" si="209">$DU$3</f>
        <v>171.04847168584473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5.1159076974727213E-13</v>
      </c>
      <c r="EK197" s="18">
        <f>EJ197*VLOOKUP('Données projet'!$B$15,Paramètres!$A$1:$I$89,3,0)*VLOOKUP('Données projet'!$B$15,Paramètres!$A$1:$I$89,5,0)</f>
        <v>3.0593128030886877E-13</v>
      </c>
      <c r="EL197" s="14">
        <f t="shared" si="179"/>
        <v>4.0350537939347394E-12</v>
      </c>
      <c r="EM197" s="22">
        <f t="shared" si="180"/>
        <v>7.5605490043076185E-12</v>
      </c>
      <c r="EN197" s="62">
        <f t="shared" si="198"/>
        <v>293.33333333334087</v>
      </c>
      <c r="EO197" s="62">
        <f ca="1">AVERAGE(OFFSET($EN$3,0,0,'Données projet'!$E$15+1,1))-AVERAGE(OFFSET($H$3,0,0,'Données projet'!$E$15+1,1))</f>
        <v>244.01698421598974</v>
      </c>
      <c r="EP197" s="62">
        <f t="shared" ref="EP197:EP203" si="210">$EP$3</f>
        <v>156.96653202915024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3.8120980630490769E-2</v>
      </c>
      <c r="EX197" s="23">
        <f>EXP(-LN(2)/2)*EX196+(1-EXP(-LN(2)/2))/(LN(2)/2)*ER197*EU197*VLOOKUP('Données projet'!$B$15,Paramètres!$A$1:$I$89,3,0)*0.475*44/12</f>
        <v>2.0593274849718443E-24</v>
      </c>
      <c r="EY197" s="24">
        <f t="shared" si="181"/>
        <v>3.8120980630490769E-2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-5.6843418860808015E-14</v>
      </c>
      <c r="FF197" s="18">
        <f>FE197*VLOOKUP('Données projet'!$B$16,Paramètres!$A$1:$I$89,3,0)*VLOOKUP('Données projet'!$B$16,Paramètres!$A$1:$I$89,5,0)</f>
        <v>-4.9658410716801891E-14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175.08726167127026</v>
      </c>
      <c r="FK197" s="62">
        <f t="shared" ref="FK197:FK203" si="211">$FK$3</f>
        <v>196.05343924817117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8.5265128291212022E-14</v>
      </c>
      <c r="GA197" s="18">
        <f>FZ197*VLOOKUP('Données projet'!$B$17,Paramètres!$A$1:$I$89,3,0)*VLOOKUP('Données projet'!$B$17,Paramètres!$A$1:$I$89,5,0)</f>
        <v>5.5865712056402117E-14</v>
      </c>
      <c r="GB197" s="14">
        <f t="shared" si="185"/>
        <v>8.9811031843713517E-13</v>
      </c>
      <c r="GC197" s="22">
        <f t="shared" si="186"/>
        <v>1.6615082531095774E-12</v>
      </c>
      <c r="GD197" s="62">
        <f t="shared" si="200"/>
        <v>293.33333333333496</v>
      </c>
      <c r="GE197" s="62">
        <f ca="1">AVERAGE(OFFSET($GD$3,0,0,'Données projet'!$E$17+1,1))-AVERAGE(OFFSET($H$3,0,0,'Données projet'!$E$17+1,1))</f>
        <v>142.93037460866543</v>
      </c>
      <c r="GF197" s="62">
        <f t="shared" ref="GF197:GF203" si="212">$GF$3</f>
        <v>146.18554498808049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5.6843418860808015E-14</v>
      </c>
      <c r="GV197" s="18">
        <f>GU197*VLOOKUP('Données projet'!$B$18,Paramètres!$A$1:$I$89,3,0)*VLOOKUP('Données projet'!$B$18,Paramètres!$A$1:$I$89,5,0)</f>
        <v>4.8771653382573282E-14</v>
      </c>
      <c r="GW197" s="14">
        <f t="shared" si="188"/>
        <v>7.9655698259503351E-13</v>
      </c>
      <c r="GX197" s="22">
        <f t="shared" si="189"/>
        <v>1.4722807076609983E-12</v>
      </c>
      <c r="GY197" s="62">
        <f t="shared" si="201"/>
        <v>293.33333333333479</v>
      </c>
      <c r="GZ197" s="62">
        <f ca="1">AVERAGE(OFFSET($GY$3,0,0,'Données projet'!$E$18+1,1))-AVERAGE(OFFSET($H$3,0,0,'Données projet'!$E$18+1,1))</f>
        <v>188.08607733149256</v>
      </c>
      <c r="HA197" s="62">
        <f t="shared" ref="HA197:HA203" si="213">$HA$3</f>
        <v>119.95698016603842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58.304999999999922</v>
      </c>
      <c r="D198" s="12">
        <f t="shared" si="202"/>
        <v>16.739007712761122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579.28707708096249</v>
      </c>
      <c r="H198" s="70">
        <f t="shared" si="192"/>
        <v>387.3683134330588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6.1186256061773749E-14</v>
      </c>
      <c r="P198" s="14">
        <f t="shared" si="203"/>
        <v>9.7328366192051127E-13</v>
      </c>
      <c r="Q198" s="22">
        <f t="shared" si="162"/>
        <v>1.8017017738191463E-12</v>
      </c>
      <c r="R198" s="62">
        <f t="shared" si="191"/>
        <v>293.33333333333513</v>
      </c>
      <c r="S198" s="62">
        <f ca="1">AVERAGE(OFFSET($R$3,0,0,'Données projet'!$E$9+1,1))-AVERAGE(OFFSET($H$3,0,0,'Données projet'!$E$9+1,1))</f>
        <v>236.98575892380046</v>
      </c>
      <c r="T198" s="62">
        <f t="shared" si="204"/>
        <v>145.77678223659774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140.04898296125504</v>
      </c>
      <c r="AO198" s="62">
        <f t="shared" si="205"/>
        <v>129.5395511270716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-6.2527760746888816E-13</v>
      </c>
      <c r="BE198" s="14">
        <f>BD198*VLOOKUP('Données projet'!$B$11,Paramètres!$A$1:$I$89,3,0)*VLOOKUP('Données projet'!$B$11,Paramètres!$A$1:$I$89,5,0)</f>
        <v>-2.9262992029543964E-13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207.84100251878419</v>
      </c>
      <c r="BJ198" s="62">
        <f t="shared" si="206"/>
        <v>124.34917784241952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-2.9558577807620169E-14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211.05980622218578</v>
      </c>
      <c r="CE198" s="62">
        <f t="shared" si="207"/>
        <v>168.57746894604855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191.79777926975839</v>
      </c>
      <c r="CZ198" s="62">
        <f t="shared" si="208"/>
        <v>156.66161375678712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3.3112500000000011</v>
      </c>
      <c r="DO198" s="13">
        <f>IF('Données projet'!$A$166&gt;35,DO197+DN198-DW197,IF(A198&lt;'Données projet'!$A$166,$DL$205^A198,IF(A198='Données projet'!$A$166,'Données projet'!$B$166,DO197+DN198-DW197)))</f>
        <v>493.82374999999854</v>
      </c>
      <c r="DP198" s="18">
        <f>DO198*VLOOKUP('Données projet'!$B$14,Paramètres!$A$1:$I$89,3,0)*VLOOKUP('Données projet'!$B$14,Paramètres!$A$1:$I$89,5,0)</f>
        <v>539.25553499999842</v>
      </c>
      <c r="DQ198" s="14">
        <f t="shared" si="176"/>
        <v>119.49941618923482</v>
      </c>
      <c r="DR198" s="22">
        <f t="shared" si="177"/>
        <v>1147.3315399879145</v>
      </c>
      <c r="DS198" s="62">
        <f t="shared" si="197"/>
        <v>1440.6648733212478</v>
      </c>
      <c r="DT198" s="62">
        <f ca="1">AVERAGE(OFFSET($DS$3,0,0,'Données projet'!$E$14+1,1))-AVERAGE(OFFSET($H$3,0,0,'Données projet'!$E$14+1,1))</f>
        <v>541.0854688453461</v>
      </c>
      <c r="DU198" s="62">
        <f t="shared" si="209"/>
        <v>171.04847168584473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5.1159076974727213E-13</v>
      </c>
      <c r="EK198" s="18">
        <f>EJ198*VLOOKUP('Données projet'!$B$15,Paramètres!$A$1:$I$89,3,0)*VLOOKUP('Données projet'!$B$15,Paramètres!$A$1:$I$89,5,0)</f>
        <v>3.0593128030886877E-13</v>
      </c>
      <c r="EL198" s="14">
        <f t="shared" si="179"/>
        <v>4.0350537939347394E-12</v>
      </c>
      <c r="EM198" s="22">
        <f t="shared" si="180"/>
        <v>7.5605490043076185E-12</v>
      </c>
      <c r="EN198" s="62">
        <f t="shared" si="198"/>
        <v>293.33333333334087</v>
      </c>
      <c r="EO198" s="62">
        <f ca="1">AVERAGE(OFFSET($EN$3,0,0,'Données projet'!$E$15+1,1))-AVERAGE(OFFSET($H$3,0,0,'Données projet'!$E$15+1,1))</f>
        <v>244.01698421598974</v>
      </c>
      <c r="EP198" s="62">
        <f t="shared" si="210"/>
        <v>156.96653202915024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3.7078560410454757E-2</v>
      </c>
      <c r="EX198" s="23">
        <f>EXP(-LN(2)/2)*EX197+(1-EXP(-LN(2)/2))/(LN(2)/2)*ER198*EU198*VLOOKUP('Données projet'!$B$15,Paramètres!$A$1:$I$89,3,0)*0.475*44/12</f>
        <v>1.4561644293074291E-24</v>
      </c>
      <c r="EY198" s="24">
        <f t="shared" si="181"/>
        <v>3.7078560410454757E-2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-5.6843418860808015E-14</v>
      </c>
      <c r="FF198" s="18">
        <f>FE198*VLOOKUP('Données projet'!$B$16,Paramètres!$A$1:$I$89,3,0)*VLOOKUP('Données projet'!$B$16,Paramètres!$A$1:$I$89,5,0)</f>
        <v>-4.9658410716801891E-14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175.08726167127026</v>
      </c>
      <c r="FK198" s="62">
        <f t="shared" si="211"/>
        <v>196.05343924817117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8.5265128291212022E-14</v>
      </c>
      <c r="GA198" s="18">
        <f>FZ198*VLOOKUP('Données projet'!$B$17,Paramètres!$A$1:$I$89,3,0)*VLOOKUP('Données projet'!$B$17,Paramètres!$A$1:$I$89,5,0)</f>
        <v>5.5865712056402117E-14</v>
      </c>
      <c r="GB198" s="14">
        <f t="shared" si="185"/>
        <v>8.9811031843713517E-13</v>
      </c>
      <c r="GC198" s="22">
        <f t="shared" si="186"/>
        <v>1.6615082531095774E-12</v>
      </c>
      <c r="GD198" s="62">
        <f t="shared" si="200"/>
        <v>293.33333333333496</v>
      </c>
      <c r="GE198" s="62">
        <f ca="1">AVERAGE(OFFSET($GD$3,0,0,'Données projet'!$E$17+1,1))-AVERAGE(OFFSET($H$3,0,0,'Données projet'!$E$17+1,1))</f>
        <v>142.93037460866543</v>
      </c>
      <c r="GF198" s="62">
        <f t="shared" si="212"/>
        <v>146.18554498808049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5.6843418860808015E-14</v>
      </c>
      <c r="GV198" s="18">
        <f>GU198*VLOOKUP('Données projet'!$B$18,Paramètres!$A$1:$I$89,3,0)*VLOOKUP('Données projet'!$B$18,Paramètres!$A$1:$I$89,5,0)</f>
        <v>4.8771653382573282E-14</v>
      </c>
      <c r="GW198" s="14">
        <f t="shared" si="188"/>
        <v>7.9655698259503351E-13</v>
      </c>
      <c r="GX198" s="22">
        <f t="shared" si="189"/>
        <v>1.4722807076609983E-12</v>
      </c>
      <c r="GY198" s="62">
        <f t="shared" si="201"/>
        <v>293.33333333333479</v>
      </c>
      <c r="GZ198" s="62">
        <f ca="1">AVERAGE(OFFSET($GY$3,0,0,'Données projet'!$E$18+1,1))-AVERAGE(OFFSET($H$3,0,0,'Données projet'!$E$18+1,1))</f>
        <v>188.08607733149256</v>
      </c>
      <c r="HA198" s="62">
        <f t="shared" si="213"/>
        <v>119.95698016603842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58.603999999999921</v>
      </c>
      <c r="D199" s="12">
        <f t="shared" si="202"/>
        <v>16.81483428299277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582.18047516696117</v>
      </c>
      <c r="H199" s="70">
        <f t="shared" si="192"/>
        <v>388.02113637621227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6.1186256061773749E-14</v>
      </c>
      <c r="P199" s="14">
        <f t="shared" si="203"/>
        <v>9.7328366192051127E-13</v>
      </c>
      <c r="Q199" s="22">
        <f t="shared" si="162"/>
        <v>1.8017017738191463E-12</v>
      </c>
      <c r="R199" s="62">
        <f t="shared" si="191"/>
        <v>293.33333333333513</v>
      </c>
      <c r="S199" s="62">
        <f ca="1">AVERAGE(OFFSET($R$3,0,0,'Données projet'!$E$9+1,1))-AVERAGE(OFFSET($H$3,0,0,'Données projet'!$E$9+1,1))</f>
        <v>236.98575892380046</v>
      </c>
      <c r="T199" s="62">
        <f t="shared" si="204"/>
        <v>145.77678223659774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140.04898296125504</v>
      </c>
      <c r="AO199" s="62">
        <f t="shared" si="205"/>
        <v>129.5395511270716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-6.2527760746888816E-13</v>
      </c>
      <c r="BE199" s="14">
        <f>BD199*VLOOKUP('Données projet'!$B$11,Paramètres!$A$1:$I$89,3,0)*VLOOKUP('Données projet'!$B$11,Paramètres!$A$1:$I$89,5,0)</f>
        <v>-2.9262992029543964E-13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207.84100251878419</v>
      </c>
      <c r="BJ199" s="62">
        <f t="shared" si="206"/>
        <v>124.34917784241952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-2.9558577807620169E-14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211.05980622218578</v>
      </c>
      <c r="CE199" s="62">
        <f t="shared" si="207"/>
        <v>168.57746894604855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191.79777926975839</v>
      </c>
      <c r="CZ199" s="62">
        <f t="shared" si="208"/>
        <v>156.66161375678712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3.3112500000000011</v>
      </c>
      <c r="DO199" s="13">
        <f>IF('Données projet'!$A$166&gt;35,DO198+DN199-DW198,IF(A199&lt;'Données projet'!$A$166,$DL$205^A199,IF(A199='Données projet'!$A$166,'Données projet'!$B$166,DO198+DN199-DW198)))</f>
        <v>497.13499999999851</v>
      </c>
      <c r="DP199" s="18">
        <f>DO199*VLOOKUP('Données projet'!$B$14,Paramètres!$A$1:$I$89,3,0)*VLOOKUP('Données projet'!$B$14,Paramètres!$A$1:$I$89,5,0)</f>
        <v>542.87141999999835</v>
      </c>
      <c r="DQ199" s="14">
        <f t="shared" si="176"/>
        <v>120.20715399297467</v>
      </c>
      <c r="DR199" s="22">
        <f t="shared" si="177"/>
        <v>1154.8618497044281</v>
      </c>
      <c r="DS199" s="62">
        <f t="shared" si="197"/>
        <v>1448.1951830377614</v>
      </c>
      <c r="DT199" s="62">
        <f ca="1">AVERAGE(OFFSET($DS$3,0,0,'Données projet'!$E$14+1,1))-AVERAGE(OFFSET($H$3,0,0,'Données projet'!$E$14+1,1))</f>
        <v>541.0854688453461</v>
      </c>
      <c r="DU199" s="62">
        <f t="shared" si="209"/>
        <v>171.04847168584473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5.1159076974727213E-13</v>
      </c>
      <c r="EK199" s="18">
        <f>EJ199*VLOOKUP('Données projet'!$B$15,Paramètres!$A$1:$I$89,3,0)*VLOOKUP('Données projet'!$B$15,Paramètres!$A$1:$I$89,5,0)</f>
        <v>3.0593128030886877E-13</v>
      </c>
      <c r="EL199" s="14">
        <f t="shared" si="179"/>
        <v>4.0350537939347394E-12</v>
      </c>
      <c r="EM199" s="22">
        <f t="shared" si="180"/>
        <v>7.5605490043076185E-12</v>
      </c>
      <c r="EN199" s="62">
        <f t="shared" si="198"/>
        <v>293.33333333334087</v>
      </c>
      <c r="EO199" s="62">
        <f ca="1">AVERAGE(OFFSET($EN$3,0,0,'Données projet'!$E$15+1,1))-AVERAGE(OFFSET($H$3,0,0,'Données projet'!$E$15+1,1))</f>
        <v>244.01698421598974</v>
      </c>
      <c r="EP199" s="62">
        <f t="shared" si="210"/>
        <v>156.96653202915024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3.6064645226154123E-2</v>
      </c>
      <c r="EX199" s="23">
        <f>EXP(-LN(2)/2)*EX198+(1-EXP(-LN(2)/2))/(LN(2)/2)*ER199*EU199*VLOOKUP('Données projet'!$B$15,Paramètres!$A$1:$I$89,3,0)*0.475*44/12</f>
        <v>1.0296637424859221E-24</v>
      </c>
      <c r="EY199" s="24">
        <f t="shared" si="181"/>
        <v>3.6064645226154123E-2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-5.6843418860808015E-14</v>
      </c>
      <c r="FF199" s="18">
        <f>FE199*VLOOKUP('Données projet'!$B$16,Paramètres!$A$1:$I$89,3,0)*VLOOKUP('Données projet'!$B$16,Paramètres!$A$1:$I$89,5,0)</f>
        <v>-4.9658410716801891E-14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175.08726167127026</v>
      </c>
      <c r="FK199" s="62">
        <f t="shared" si="211"/>
        <v>196.05343924817117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8.5265128291212022E-14</v>
      </c>
      <c r="GA199" s="18">
        <f>FZ199*VLOOKUP('Données projet'!$B$17,Paramètres!$A$1:$I$89,3,0)*VLOOKUP('Données projet'!$B$17,Paramètres!$A$1:$I$89,5,0)</f>
        <v>5.5865712056402117E-14</v>
      </c>
      <c r="GB199" s="14">
        <f t="shared" si="185"/>
        <v>8.9811031843713517E-13</v>
      </c>
      <c r="GC199" s="22">
        <f t="shared" si="186"/>
        <v>1.6615082531095774E-12</v>
      </c>
      <c r="GD199" s="62">
        <f t="shared" si="200"/>
        <v>293.33333333333496</v>
      </c>
      <c r="GE199" s="62">
        <f ca="1">AVERAGE(OFFSET($GD$3,0,0,'Données projet'!$E$17+1,1))-AVERAGE(OFFSET($H$3,0,0,'Données projet'!$E$17+1,1))</f>
        <v>142.93037460866543</v>
      </c>
      <c r="GF199" s="62">
        <f t="shared" si="212"/>
        <v>146.18554498808049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5.6843418860808015E-14</v>
      </c>
      <c r="GV199" s="18">
        <f>GU199*VLOOKUP('Données projet'!$B$18,Paramètres!$A$1:$I$89,3,0)*VLOOKUP('Données projet'!$B$18,Paramètres!$A$1:$I$89,5,0)</f>
        <v>4.8771653382573282E-14</v>
      </c>
      <c r="GW199" s="14">
        <f t="shared" si="188"/>
        <v>7.9655698259503351E-13</v>
      </c>
      <c r="GX199" s="22">
        <f t="shared" si="189"/>
        <v>1.4722807076609983E-12</v>
      </c>
      <c r="GY199" s="62">
        <f t="shared" si="201"/>
        <v>293.33333333333479</v>
      </c>
      <c r="GZ199" s="62">
        <f ca="1">AVERAGE(OFFSET($GY$3,0,0,'Données projet'!$E$18+1,1))-AVERAGE(OFFSET($H$3,0,0,'Données projet'!$E$18+1,1))</f>
        <v>188.08607733149256</v>
      </c>
      <c r="HA199" s="62">
        <f t="shared" si="213"/>
        <v>119.95698016603842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58.902999999999921</v>
      </c>
      <c r="D200" s="12">
        <f t="shared" si="202"/>
        <v>16.89061583468898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585.07352574145818</v>
      </c>
      <c r="H200" s="70">
        <f t="shared" si="192"/>
        <v>388.67388091208318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6.1186256061773749E-14</v>
      </c>
      <c r="P200" s="14">
        <f t="shared" si="203"/>
        <v>9.7328366192051127E-13</v>
      </c>
      <c r="Q200" s="22">
        <f t="shared" si="162"/>
        <v>1.8017017738191463E-12</v>
      </c>
      <c r="R200" s="62">
        <f t="shared" si="191"/>
        <v>293.33333333333513</v>
      </c>
      <c r="S200" s="62">
        <f ca="1">AVERAGE(OFFSET($R$3,0,0,'Données projet'!$E$9+1,1))-AVERAGE(OFFSET($H$3,0,0,'Données projet'!$E$9+1,1))</f>
        <v>236.98575892380046</v>
      </c>
      <c r="T200" s="62">
        <f t="shared" si="204"/>
        <v>145.77678223659774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140.04898296125504</v>
      </c>
      <c r="AO200" s="62">
        <f t="shared" si="205"/>
        <v>129.5395511270716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-6.2527760746888816E-13</v>
      </c>
      <c r="BE200" s="14">
        <f>BD200*VLOOKUP('Données projet'!$B$11,Paramètres!$A$1:$I$89,3,0)*VLOOKUP('Données projet'!$B$11,Paramètres!$A$1:$I$89,5,0)</f>
        <v>-2.9262992029543964E-13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207.84100251878419</v>
      </c>
      <c r="BJ200" s="62">
        <f t="shared" si="206"/>
        <v>124.34917784241952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-2.9558577807620169E-14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211.05980622218578</v>
      </c>
      <c r="CE200" s="62">
        <f t="shared" si="207"/>
        <v>168.57746894604855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191.79777926975839</v>
      </c>
      <c r="CZ200" s="62">
        <f t="shared" si="208"/>
        <v>156.66161375678712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3.3112500000000011</v>
      </c>
      <c r="DO200" s="13">
        <f>IF('Données projet'!$A$166&gt;35,DO199+DN200-DW199,IF(A200&lt;'Données projet'!$A$166,$DL$205^A200,IF(A200='Données projet'!$A$166,'Données projet'!$B$166,DO199+DN200-DW199)))</f>
        <v>500.44624999999849</v>
      </c>
      <c r="DP200" s="18">
        <f>DO200*VLOOKUP('Données projet'!$B$14,Paramètres!$A$1:$I$89,3,0)*VLOOKUP('Données projet'!$B$14,Paramètres!$A$1:$I$89,5,0)</f>
        <v>546.48730499999829</v>
      </c>
      <c r="DQ200" s="14">
        <f t="shared" si="176"/>
        <v>120.91434329491251</v>
      </c>
      <c r="DR200" s="22">
        <f t="shared" si="177"/>
        <v>1162.3912041136364</v>
      </c>
      <c r="DS200" s="62">
        <f t="shared" si="197"/>
        <v>1455.7245374469696</v>
      </c>
      <c r="DT200" s="62">
        <f ca="1">AVERAGE(OFFSET($DS$3,0,0,'Données projet'!$E$14+1,1))-AVERAGE(OFFSET($H$3,0,0,'Données projet'!$E$14+1,1))</f>
        <v>541.0854688453461</v>
      </c>
      <c r="DU200" s="62">
        <f t="shared" si="209"/>
        <v>171.04847168584473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5.1159076974727213E-13</v>
      </c>
      <c r="EK200" s="18">
        <f>EJ200*VLOOKUP('Données projet'!$B$15,Paramètres!$A$1:$I$89,3,0)*VLOOKUP('Données projet'!$B$15,Paramètres!$A$1:$I$89,5,0)</f>
        <v>3.0593128030886877E-13</v>
      </c>
      <c r="EL200" s="14">
        <f t="shared" si="179"/>
        <v>4.0350537939347394E-12</v>
      </c>
      <c r="EM200" s="22">
        <f t="shared" si="180"/>
        <v>7.5605490043076185E-12</v>
      </c>
      <c r="EN200" s="62">
        <f t="shared" si="198"/>
        <v>293.33333333334087</v>
      </c>
      <c r="EO200" s="62">
        <f ca="1">AVERAGE(OFFSET($EN$3,0,0,'Données projet'!$E$15+1,1))-AVERAGE(OFFSET($H$3,0,0,'Données projet'!$E$15+1,1))</f>
        <v>244.01698421598974</v>
      </c>
      <c r="EP200" s="62">
        <f t="shared" si="210"/>
        <v>156.96653202915024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3.5078455605887675E-2</v>
      </c>
      <c r="EX200" s="23">
        <f>EXP(-LN(2)/2)*EX199+(1-EXP(-LN(2)/2))/(LN(2)/2)*ER200*EU200*VLOOKUP('Données projet'!$B$15,Paramètres!$A$1:$I$89,3,0)*0.475*44/12</f>
        <v>7.2808221465371457E-25</v>
      </c>
      <c r="EY200" s="24">
        <f t="shared" si="181"/>
        <v>3.5078455605887675E-2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-5.6843418860808015E-14</v>
      </c>
      <c r="FF200" s="18">
        <f>FE200*VLOOKUP('Données projet'!$B$16,Paramètres!$A$1:$I$89,3,0)*VLOOKUP('Données projet'!$B$16,Paramètres!$A$1:$I$89,5,0)</f>
        <v>-4.9658410716801891E-14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175.08726167127026</v>
      </c>
      <c r="FK200" s="62">
        <f t="shared" si="211"/>
        <v>196.05343924817117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8.5265128291212022E-14</v>
      </c>
      <c r="GA200" s="18">
        <f>FZ200*VLOOKUP('Données projet'!$B$17,Paramètres!$A$1:$I$89,3,0)*VLOOKUP('Données projet'!$B$17,Paramètres!$A$1:$I$89,5,0)</f>
        <v>5.5865712056402117E-14</v>
      </c>
      <c r="GB200" s="14">
        <f t="shared" si="185"/>
        <v>8.9811031843713517E-13</v>
      </c>
      <c r="GC200" s="22">
        <f t="shared" si="186"/>
        <v>1.6615082531095774E-12</v>
      </c>
      <c r="GD200" s="62">
        <f t="shared" si="200"/>
        <v>293.33333333333496</v>
      </c>
      <c r="GE200" s="62">
        <f ca="1">AVERAGE(OFFSET($GD$3,0,0,'Données projet'!$E$17+1,1))-AVERAGE(OFFSET($H$3,0,0,'Données projet'!$E$17+1,1))</f>
        <v>142.93037460866543</v>
      </c>
      <c r="GF200" s="62">
        <f t="shared" si="212"/>
        <v>146.18554498808049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5.6843418860808015E-14</v>
      </c>
      <c r="GV200" s="18">
        <f>GU200*VLOOKUP('Données projet'!$B$18,Paramètres!$A$1:$I$89,3,0)*VLOOKUP('Données projet'!$B$18,Paramètres!$A$1:$I$89,5,0)</f>
        <v>4.8771653382573282E-14</v>
      </c>
      <c r="GW200" s="14">
        <f t="shared" si="188"/>
        <v>7.9655698259503351E-13</v>
      </c>
      <c r="GX200" s="22">
        <f t="shared" si="189"/>
        <v>1.4722807076609983E-12</v>
      </c>
      <c r="GY200" s="62">
        <f t="shared" si="201"/>
        <v>293.33333333333479</v>
      </c>
      <c r="GZ200" s="62">
        <f ca="1">AVERAGE(OFFSET($GY$3,0,0,'Données projet'!$E$18+1,1))-AVERAGE(OFFSET($H$3,0,0,'Données projet'!$E$18+1,1))</f>
        <v>188.08607733149256</v>
      </c>
      <c r="HA200" s="62">
        <f t="shared" si="213"/>
        <v>119.95698016603842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59.20199999999992</v>
      </c>
      <c r="D201" s="12">
        <f t="shared" si="202"/>
        <v>16.96635262289686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587.96623077323841</v>
      </c>
      <c r="H201" s="70">
        <f t="shared" si="192"/>
        <v>389.32654748487857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6.1186256061773749E-14</v>
      </c>
      <c r="P201" s="14">
        <f t="shared" si="203"/>
        <v>9.7328366192051127E-13</v>
      </c>
      <c r="Q201" s="22">
        <f t="shared" si="162"/>
        <v>1.8017017738191463E-12</v>
      </c>
      <c r="R201" s="62">
        <f t="shared" si="191"/>
        <v>293.33333333333513</v>
      </c>
      <c r="S201" s="62">
        <f ca="1">AVERAGE(OFFSET($R$3,0,0,'Données projet'!$E$9+1,1))-AVERAGE(OFFSET($H$3,0,0,'Données projet'!$E$9+1,1))</f>
        <v>236.98575892380046</v>
      </c>
      <c r="T201" s="62">
        <f t="shared" si="204"/>
        <v>145.77678223659774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140.04898296125504</v>
      </c>
      <c r="AO201" s="62">
        <f t="shared" si="205"/>
        <v>129.5395511270716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-6.2527760746888816E-13</v>
      </c>
      <c r="BE201" s="14">
        <f>BD201*VLOOKUP('Données projet'!$B$11,Paramètres!$A$1:$I$89,3,0)*VLOOKUP('Données projet'!$B$11,Paramètres!$A$1:$I$89,5,0)</f>
        <v>-2.9262992029543964E-13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207.84100251878419</v>
      </c>
      <c r="BJ201" s="62">
        <f t="shared" si="206"/>
        <v>124.34917784241952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-2.9558577807620169E-14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211.05980622218578</v>
      </c>
      <c r="CE201" s="62">
        <f t="shared" si="207"/>
        <v>168.57746894604855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191.79777926975839</v>
      </c>
      <c r="CZ201" s="62">
        <f t="shared" si="208"/>
        <v>156.66161375678712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3.3112500000000011</v>
      </c>
      <c r="DO201" s="13">
        <f>IF('Données projet'!$A$166&gt;35,DO200+DN201-DW200,IF(A201&lt;'Données projet'!$A$166,$DL$205^A201,IF(A201='Données projet'!$A$166,'Données projet'!$B$166,DO200+DN201-DW200)))</f>
        <v>503.75749999999846</v>
      </c>
      <c r="DP201" s="18">
        <f>DO201*VLOOKUP('Données projet'!$B$14,Paramètres!$A$1:$I$89,3,0)*VLOOKUP('Données projet'!$B$14,Paramètres!$A$1:$I$89,5,0)</f>
        <v>550.10318999999834</v>
      </c>
      <c r="DQ201" s="14">
        <f t="shared" si="176"/>
        <v>121.62098814520225</v>
      </c>
      <c r="DR201" s="22">
        <f t="shared" si="177"/>
        <v>1169.9196102695576</v>
      </c>
      <c r="DS201" s="62">
        <f t="shared" si="197"/>
        <v>1463.2529436028908</v>
      </c>
      <c r="DT201" s="62">
        <f ca="1">AVERAGE(OFFSET($DS$3,0,0,'Données projet'!$E$14+1,1))-AVERAGE(OFFSET($H$3,0,0,'Données projet'!$E$14+1,1))</f>
        <v>541.0854688453461</v>
      </c>
      <c r="DU201" s="62">
        <f t="shared" si="209"/>
        <v>171.04847168584473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5.1159076974727213E-13</v>
      </c>
      <c r="EK201" s="18">
        <f>EJ201*VLOOKUP('Données projet'!$B$15,Paramètres!$A$1:$I$89,3,0)*VLOOKUP('Données projet'!$B$15,Paramètres!$A$1:$I$89,5,0)</f>
        <v>3.0593128030886877E-13</v>
      </c>
      <c r="EL201" s="14">
        <f t="shared" si="179"/>
        <v>4.0350537939347394E-12</v>
      </c>
      <c r="EM201" s="22">
        <f t="shared" si="180"/>
        <v>7.5605490043076185E-12</v>
      </c>
      <c r="EN201" s="62">
        <f t="shared" si="198"/>
        <v>293.33333333334087</v>
      </c>
      <c r="EO201" s="62">
        <f ca="1">AVERAGE(OFFSET($EN$3,0,0,'Données projet'!$E$15+1,1))-AVERAGE(OFFSET($H$3,0,0,'Données projet'!$E$15+1,1))</f>
        <v>244.01698421598974</v>
      </c>
      <c r="EP201" s="62">
        <f t="shared" si="210"/>
        <v>156.96653202915024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3.4119233392648871E-2</v>
      </c>
      <c r="EX201" s="23">
        <f>EXP(-LN(2)/2)*EX200+(1-EXP(-LN(2)/2))/(LN(2)/2)*ER201*EU201*VLOOKUP('Données projet'!$B$15,Paramètres!$A$1:$I$89,3,0)*0.475*44/12</f>
        <v>5.1483187124296107E-25</v>
      </c>
      <c r="EY201" s="24">
        <f t="shared" si="181"/>
        <v>3.4119233392648871E-2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-5.6843418860808015E-14</v>
      </c>
      <c r="FF201" s="18">
        <f>FE201*VLOOKUP('Données projet'!$B$16,Paramètres!$A$1:$I$89,3,0)*VLOOKUP('Données projet'!$B$16,Paramètres!$A$1:$I$89,5,0)</f>
        <v>-4.9658410716801891E-14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175.08726167127026</v>
      </c>
      <c r="FK201" s="62">
        <f t="shared" si="211"/>
        <v>196.05343924817117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8.5265128291212022E-14</v>
      </c>
      <c r="GA201" s="18">
        <f>FZ201*VLOOKUP('Données projet'!$B$17,Paramètres!$A$1:$I$89,3,0)*VLOOKUP('Données projet'!$B$17,Paramètres!$A$1:$I$89,5,0)</f>
        <v>5.5865712056402117E-14</v>
      </c>
      <c r="GB201" s="14">
        <f t="shared" si="185"/>
        <v>8.9811031843713517E-13</v>
      </c>
      <c r="GC201" s="22">
        <f t="shared" si="186"/>
        <v>1.6615082531095774E-12</v>
      </c>
      <c r="GD201" s="62">
        <f t="shared" si="200"/>
        <v>293.33333333333496</v>
      </c>
      <c r="GE201" s="62">
        <f ca="1">AVERAGE(OFFSET($GD$3,0,0,'Données projet'!$E$17+1,1))-AVERAGE(OFFSET($H$3,0,0,'Données projet'!$E$17+1,1))</f>
        <v>142.93037460866543</v>
      </c>
      <c r="GF201" s="62">
        <f t="shared" si="212"/>
        <v>146.18554498808049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5.6843418860808015E-14</v>
      </c>
      <c r="GV201" s="18">
        <f>GU201*VLOOKUP('Données projet'!$B$18,Paramètres!$A$1:$I$89,3,0)*VLOOKUP('Données projet'!$B$18,Paramètres!$A$1:$I$89,5,0)</f>
        <v>4.8771653382573282E-14</v>
      </c>
      <c r="GW201" s="14">
        <f t="shared" si="188"/>
        <v>7.9655698259503351E-13</v>
      </c>
      <c r="GX201" s="22">
        <f t="shared" si="189"/>
        <v>1.4722807076609983E-12</v>
      </c>
      <c r="GY201" s="62">
        <f t="shared" si="201"/>
        <v>293.33333333333479</v>
      </c>
      <c r="GZ201" s="62">
        <f ca="1">AVERAGE(OFFSET($GY$3,0,0,'Données projet'!$E$18+1,1))-AVERAGE(OFFSET($H$3,0,0,'Données projet'!$E$18+1,1))</f>
        <v>188.08607733149256</v>
      </c>
      <c r="HA201" s="62">
        <f t="shared" si="213"/>
        <v>119.95698016603842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59.50099999999992</v>
      </c>
      <c r="D202" s="12">
        <f t="shared" si="202"/>
        <v>17.042044899938116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590.85859221004796</v>
      </c>
      <c r="H202" s="70">
        <f t="shared" si="192"/>
        <v>389.97913653405874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6.1186256061773749E-14</v>
      </c>
      <c r="P202" s="14">
        <f t="shared" si="203"/>
        <v>9.7328366192051127E-13</v>
      </c>
      <c r="Q202" s="22">
        <f t="shared" si="162"/>
        <v>1.8017017738191463E-12</v>
      </c>
      <c r="R202" s="62">
        <f t="shared" si="191"/>
        <v>293.33333333333513</v>
      </c>
      <c r="S202" s="62">
        <f ca="1">AVERAGE(OFFSET($R$3,0,0,'Données projet'!$E$9+1,1))-AVERAGE(OFFSET($H$3,0,0,'Données projet'!$E$9+1,1))</f>
        <v>236.98575892380046</v>
      </c>
      <c r="T202" s="62">
        <f t="shared" si="204"/>
        <v>145.77678223659774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140.04898296125504</v>
      </c>
      <c r="AO202" s="62">
        <f t="shared" si="205"/>
        <v>129.5395511270716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-6.2527760746888816E-13</v>
      </c>
      <c r="BE202" s="14">
        <f>BD202*VLOOKUP('Données projet'!$B$11,Paramètres!$A$1:$I$89,3,0)*VLOOKUP('Données projet'!$B$11,Paramètres!$A$1:$I$89,5,0)</f>
        <v>-2.9262992029543964E-13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207.84100251878419</v>
      </c>
      <c r="BJ202" s="62">
        <f t="shared" si="206"/>
        <v>124.34917784241952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-2.9558577807620169E-14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211.05980622218578</v>
      </c>
      <c r="CE202" s="62">
        <f t="shared" si="207"/>
        <v>168.57746894604855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191.79777926975839</v>
      </c>
      <c r="CZ202" s="62">
        <f t="shared" si="208"/>
        <v>156.66161375678712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3.3112500000000011</v>
      </c>
      <c r="DO202" s="13">
        <f>IF('Données projet'!$A$166&gt;35,DO201+DN202-DW201,IF(A202&lt;'Données projet'!$A$166,$DL$205^A202,IF(A202='Données projet'!$A$166,'Données projet'!$B$166,DO201+DN202-DW201)))</f>
        <v>507.06874999999843</v>
      </c>
      <c r="DP202" s="18">
        <f>DO202*VLOOKUP('Données projet'!$B$14,Paramètres!$A$1:$I$89,3,0)*VLOOKUP('Données projet'!$B$14,Paramètres!$A$1:$I$89,5,0)</f>
        <v>553.71907499999827</v>
      </c>
      <c r="DQ202" s="14">
        <f t="shared" si="176"/>
        <v>122.32709253767561</v>
      </c>
      <c r="DR202" s="22">
        <f t="shared" si="177"/>
        <v>1177.4470751281153</v>
      </c>
      <c r="DS202" s="62">
        <f t="shared" si="197"/>
        <v>1470.7804084614486</v>
      </c>
      <c r="DT202" s="62">
        <f ca="1">AVERAGE(OFFSET($DS$3,0,0,'Données projet'!$E$14+1,1))-AVERAGE(OFFSET($H$3,0,0,'Données projet'!$E$14+1,1))</f>
        <v>541.0854688453461</v>
      </c>
      <c r="DU202" s="62">
        <f t="shared" si="209"/>
        <v>171.04847168584473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5.1159076974727213E-13</v>
      </c>
      <c r="EK202" s="18">
        <f>EJ202*VLOOKUP('Données projet'!$B$15,Paramètres!$A$1:$I$89,3,0)*VLOOKUP('Données projet'!$B$15,Paramètres!$A$1:$I$89,5,0)</f>
        <v>3.0593128030886877E-13</v>
      </c>
      <c r="EL202" s="14">
        <f t="shared" si="179"/>
        <v>4.0350537939347394E-12</v>
      </c>
      <c r="EM202" s="22">
        <f t="shared" si="180"/>
        <v>7.5605490043076185E-12</v>
      </c>
      <c r="EN202" s="62">
        <f t="shared" si="198"/>
        <v>293.33333333334087</v>
      </c>
      <c r="EO202" s="62">
        <f ca="1">AVERAGE(OFFSET($EN$3,0,0,'Données projet'!$E$15+1,1))-AVERAGE(OFFSET($H$3,0,0,'Données projet'!$E$15+1,1))</f>
        <v>244.01698421598974</v>
      </c>
      <c r="EP202" s="62">
        <f t="shared" si="210"/>
        <v>156.96653202915024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3.3186241161274381E-2</v>
      </c>
      <c r="EX202" s="23">
        <f>EXP(-LN(2)/2)*EX201+(1-EXP(-LN(2)/2))/(LN(2)/2)*ER202*EU202*VLOOKUP('Données projet'!$B$15,Paramètres!$A$1:$I$89,3,0)*0.475*44/12</f>
        <v>3.6404110732685729E-25</v>
      </c>
      <c r="EY202" s="24">
        <f t="shared" si="181"/>
        <v>3.3186241161274381E-2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-5.6843418860808015E-14</v>
      </c>
      <c r="FF202" s="18">
        <f>FE202*VLOOKUP('Données projet'!$B$16,Paramètres!$A$1:$I$89,3,0)*VLOOKUP('Données projet'!$B$16,Paramètres!$A$1:$I$89,5,0)</f>
        <v>-4.9658410716801891E-14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175.08726167127026</v>
      </c>
      <c r="FK202" s="62">
        <f t="shared" si="211"/>
        <v>196.05343924817117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8.5265128291212022E-14</v>
      </c>
      <c r="GA202" s="18">
        <f>FZ202*VLOOKUP('Données projet'!$B$17,Paramètres!$A$1:$I$89,3,0)*VLOOKUP('Données projet'!$B$17,Paramètres!$A$1:$I$89,5,0)</f>
        <v>5.5865712056402117E-14</v>
      </c>
      <c r="GB202" s="14">
        <f t="shared" si="185"/>
        <v>8.9811031843713517E-13</v>
      </c>
      <c r="GC202" s="22">
        <f t="shared" si="186"/>
        <v>1.6615082531095774E-12</v>
      </c>
      <c r="GD202" s="62">
        <f t="shared" si="200"/>
        <v>293.33333333333496</v>
      </c>
      <c r="GE202" s="62">
        <f ca="1">AVERAGE(OFFSET($GD$3,0,0,'Données projet'!$E$17+1,1))-AVERAGE(OFFSET($H$3,0,0,'Données projet'!$E$17+1,1))</f>
        <v>142.93037460866543</v>
      </c>
      <c r="GF202" s="62">
        <f t="shared" si="212"/>
        <v>146.18554498808049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5.6843418860808015E-14</v>
      </c>
      <c r="GV202" s="18">
        <f>GU202*VLOOKUP('Données projet'!$B$18,Paramètres!$A$1:$I$89,3,0)*VLOOKUP('Données projet'!$B$18,Paramètres!$A$1:$I$89,5,0)</f>
        <v>4.8771653382573282E-14</v>
      </c>
      <c r="GW202" s="14">
        <f t="shared" si="188"/>
        <v>7.9655698259503351E-13</v>
      </c>
      <c r="GX202" s="22">
        <f t="shared" si="189"/>
        <v>1.4722807076609983E-12</v>
      </c>
      <c r="GY202" s="62">
        <f t="shared" si="201"/>
        <v>293.33333333333479</v>
      </c>
      <c r="GZ202" s="62">
        <f ca="1">AVERAGE(OFFSET($GY$3,0,0,'Données projet'!$E$18+1,1))-AVERAGE(OFFSET($H$3,0,0,'Données projet'!$E$18+1,1))</f>
        <v>188.08607733149256</v>
      </c>
      <c r="HA202" s="62">
        <f t="shared" si="213"/>
        <v>119.95698016603842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59.799999999999919</v>
      </c>
      <c r="D203" s="12">
        <f t="shared" si="202"/>
        <v>17.117692915451709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593.75061197892489</v>
      </c>
      <c r="H203" s="70">
        <f t="shared" si="192"/>
        <v>390.63164849441159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6.1186256061773749E-14</v>
      </c>
      <c r="P203" s="14">
        <f t="shared" si="203"/>
        <v>9.7328366192051127E-13</v>
      </c>
      <c r="Q203" s="22">
        <f t="shared" si="162"/>
        <v>1.8017017738191463E-12</v>
      </c>
      <c r="R203" s="62">
        <f t="shared" si="191"/>
        <v>293.33333333333513</v>
      </c>
      <c r="S203" s="62">
        <f ca="1">AVERAGE(OFFSET($R$3,0,0,'Données projet'!$E$9+1,1))-AVERAGE(OFFSET($H$3,0,0,'Données projet'!$E$9+1,1))</f>
        <v>236.98575892380046</v>
      </c>
      <c r="T203" s="62">
        <f t="shared" si="204"/>
        <v>145.77678223659774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140.04898296125504</v>
      </c>
      <c r="AO203" s="62">
        <f t="shared" si="205"/>
        <v>129.5395511270716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-6.2527760746888816E-13</v>
      </c>
      <c r="BE203" s="14">
        <f>BD203*VLOOKUP('Données projet'!$B$11,Paramètres!$A$1:$I$89,3,0)*VLOOKUP('Données projet'!$B$11,Paramètres!$A$1:$I$89,5,0)</f>
        <v>-2.9262992029543964E-13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207.84100251878419</v>
      </c>
      <c r="BJ203" s="62">
        <f t="shared" si="206"/>
        <v>124.34917784241952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-2.9558577807620169E-14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211.05980622218578</v>
      </c>
      <c r="CE203" s="62">
        <f t="shared" si="207"/>
        <v>168.57746894604855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191.79777926975839</v>
      </c>
      <c r="CZ203" s="62">
        <f t="shared" si="208"/>
        <v>156.66161375678712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>
        <f>VLOOKUP(A203,'Données projet'!$A$165:$I$185,2,0)</f>
        <v>510.38</v>
      </c>
      <c r="DM203" s="13">
        <f>VLOOKUP(A203,'Données projet'!$A$165:$I$185,9,0)</f>
        <v>3.3112500000000011</v>
      </c>
      <c r="DN203" s="13">
        <f t="array" ref="DN203">INDEX(DM:DM,MIN(IF(ISNUMBER(DM203:DM399),ROW(DM203:DM399),"")))</f>
        <v>3.3112500000000011</v>
      </c>
      <c r="DO203" s="13">
        <f>IF('Données projet'!$A$166&gt;35,DO202+DN203-DW202,IF(A203&lt;'Données projet'!$A$166,$DL$205^A203,IF(A203='Données projet'!$A$166,'Données projet'!$B$166,DO202+DN203-DW202)))</f>
        <v>510.3799999999984</v>
      </c>
      <c r="DP203" s="18">
        <f>DO203*VLOOKUP('Données projet'!$B$14,Paramètres!$A$1:$I$89,3,0)*VLOOKUP('Données projet'!$B$14,Paramètres!$A$1:$I$89,5,0)</f>
        <v>557.33495999999832</v>
      </c>
      <c r="DQ203" s="14">
        <f t="shared" si="176"/>
        <v>123.03266041098708</v>
      </c>
      <c r="DR203" s="22">
        <f t="shared" si="177"/>
        <v>1184.9736055491328</v>
      </c>
      <c r="DS203" s="62">
        <f t="shared" si="197"/>
        <v>1478.3069388824661</v>
      </c>
      <c r="DT203" s="62">
        <f ca="1">AVERAGE(OFFSET($DS$3,0,0,'Données projet'!$E$14+1,1))-AVERAGE(OFFSET($H$3,0,0,'Données projet'!$E$14+1,1))</f>
        <v>541.0854688453461</v>
      </c>
      <c r="DU203" s="62">
        <f t="shared" si="209"/>
        <v>171.04847168584473</v>
      </c>
      <c r="DV203" s="16">
        <f>IF(ISNA(VLOOKUP(A203,'Données projet'!$A$165:$I$185,3,0)),0,VLOOKUP(A203,'Données projet'!$A$165:$I$185,3,0))</f>
        <v>8</v>
      </c>
      <c r="DW203" s="16">
        <f>IF(ISNA(VLOOKUP(A203,'Données projet'!$A$165:$I$185,4,0)),0,VLOOKUP(A203,'Données projet'!$A$165:$I$185,4,0))</f>
        <v>510.38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5.1159076974727213E-13</v>
      </c>
      <c r="EK203" s="18">
        <f>EJ203*VLOOKUP('Données projet'!$B$15,Paramètres!$A$1:$I$89,3,0)*VLOOKUP('Données projet'!$B$15,Paramètres!$A$1:$I$89,5,0)</f>
        <v>3.0593128030886877E-13</v>
      </c>
      <c r="EL203" s="14">
        <f t="shared" si="179"/>
        <v>4.0350537939347394E-12</v>
      </c>
      <c r="EM203" s="22">
        <f t="shared" si="180"/>
        <v>7.5605490043076185E-12</v>
      </c>
      <c r="EN203" s="62">
        <f t="shared" si="198"/>
        <v>293.33333333334087</v>
      </c>
      <c r="EO203" s="62">
        <f ca="1">AVERAGE(OFFSET($EN$3,0,0,'Données projet'!$E$15+1,1))-AVERAGE(OFFSET($H$3,0,0,'Données projet'!$E$15+1,1))</f>
        <v>244.01698421598974</v>
      </c>
      <c r="EP203" s="62">
        <f t="shared" si="210"/>
        <v>156.96653202915024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3.2278761651530756E-2</v>
      </c>
      <c r="EX203" s="23">
        <f>EXP(-LN(2)/2)*EX202+(1-EXP(-LN(2)/2))/(LN(2)/2)*ER203*EU203*VLOOKUP('Données projet'!$B$15,Paramètres!$A$1:$I$89,3,0)*0.475*44/12</f>
        <v>2.5741593562148053E-25</v>
      </c>
      <c r="EY203" s="24">
        <f t="shared" si="181"/>
        <v>3.2278761651530756E-2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-5.6843418860808015E-14</v>
      </c>
      <c r="FF203" s="18">
        <f>FE203*VLOOKUP('Données projet'!$B$16,Paramètres!$A$1:$I$89,3,0)*VLOOKUP('Données projet'!$B$16,Paramètres!$A$1:$I$89,5,0)</f>
        <v>-4.9658410716801891E-14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175.08726167127026</v>
      </c>
      <c r="FK203" s="62">
        <f t="shared" si="211"/>
        <v>196.05343924817117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8.5265128291212022E-14</v>
      </c>
      <c r="GA203" s="18">
        <f>FZ203*VLOOKUP('Données projet'!$B$17,Paramètres!$A$1:$I$89,3,0)*VLOOKUP('Données projet'!$B$17,Paramètres!$A$1:$I$89,5,0)</f>
        <v>5.5865712056402117E-14</v>
      </c>
      <c r="GB203" s="14">
        <f t="shared" si="185"/>
        <v>8.9811031843713517E-13</v>
      </c>
      <c r="GC203" s="22">
        <f t="shared" si="186"/>
        <v>1.6615082531095774E-12</v>
      </c>
      <c r="GD203" s="62">
        <f t="shared" si="200"/>
        <v>293.33333333333496</v>
      </c>
      <c r="GE203" s="62">
        <f ca="1">AVERAGE(OFFSET($GD$3,0,0,'Données projet'!$E$17+1,1))-AVERAGE(OFFSET($H$3,0,0,'Données projet'!$E$17+1,1))</f>
        <v>142.93037460866543</v>
      </c>
      <c r="GF203" s="62">
        <f t="shared" si="212"/>
        <v>146.18554498808049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5.6843418860808015E-14</v>
      </c>
      <c r="GV203" s="18">
        <f>GU203*VLOOKUP('Données projet'!$B$18,Paramètres!$A$1:$I$89,3,0)*VLOOKUP('Données projet'!$B$18,Paramètres!$A$1:$I$89,5,0)</f>
        <v>4.8771653382573282E-14</v>
      </c>
      <c r="GW203" s="14">
        <f t="shared" si="188"/>
        <v>7.9655698259503351E-13</v>
      </c>
      <c r="GX203" s="22">
        <f t="shared" si="189"/>
        <v>1.4722807076609983E-12</v>
      </c>
      <c r="GY203" s="62">
        <f t="shared" si="201"/>
        <v>293.33333333333479</v>
      </c>
      <c r="GZ203" s="62">
        <f ca="1">AVERAGE(OFFSET($GY$3,0,0,'Données projet'!$E$18+1,1))-AVERAGE(OFFSET($H$3,0,0,'Données projet'!$E$18+1,1))</f>
        <v>188.08607733149256</v>
      </c>
      <c r="HA203" s="62">
        <f t="shared" si="213"/>
        <v>119.95698016603842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1.1644235083052243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1.2251829146849735</v>
      </c>
      <c r="BA205" s="88">
        <f>EXP(LN('Données projet'!B88)/'Données projet'!A88)</f>
        <v>1.1671681906248585</v>
      </c>
      <c r="BV205" s="88">
        <f>EXP(LN('Données projet'!B114)/'Données projet'!A114)</f>
        <v>1.3150034895347604</v>
      </c>
      <c r="CQ205" s="88">
        <f>EXP(LN('Données projet'!B140)/'Données projet'!A140)</f>
        <v>1.3139754596796083</v>
      </c>
      <c r="DL205" s="88">
        <f>EXP(LN('Données projet'!B166)/'Données projet'!A166)</f>
        <v>1.1668834180128584</v>
      </c>
      <c r="EG205" s="88">
        <f>EXP(LN('Données projet'!B192)/'Données projet'!A192)</f>
        <v>1.187216519917875</v>
      </c>
      <c r="FB205" s="88">
        <f>EXP(LN('Données projet'!B218)/'Données projet'!A218)</f>
        <v>1.1554831727638066</v>
      </c>
      <c r="FW205" s="88">
        <f>EXP(LN('Données projet'!B244)/'Données projet'!A244)</f>
        <v>1.2250334656419144</v>
      </c>
      <c r="GR205" s="88">
        <f>EXP(LN('Données projet'!B270)/'Données projet'!A270)</f>
        <v>1.1644235083052243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I19" sqref="I1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Cormier</v>
      </c>
      <c r="B6" s="155">
        <f>'Données projet'!D9</f>
        <v>0.29749999999999999</v>
      </c>
      <c r="C6" s="156">
        <f ca="1">IF(OR('Données projet'!B9="",'Données projet'!C9="",'Données projet'!C9=0%),0,Calculateur!S3)</f>
        <v>236.98575892380046</v>
      </c>
      <c r="D6" s="156">
        <f>IF(OR('Données projet'!B9="",'Données projet'!C9="",'Données projet'!C9=0%),0,Calculateur!T3)</f>
        <v>145.77678223659774</v>
      </c>
      <c r="E6" s="156">
        <f ca="1">MIN(C6,D6)</f>
        <v>145.77678223659774</v>
      </c>
      <c r="F6" s="156">
        <f ca="1">E6*B6</f>
        <v>43.368592715387827</v>
      </c>
      <c r="G6" s="156">
        <f ca="1">F6*(100%-'Données projet'!$C$24)*(100%-'Données projet'!$C$25)*(100%-'Données projet'!$C$26)*(100%-'Données projet'!$C$27)</f>
        <v>33.176973427271683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0.66937499999999994</v>
      </c>
      <c r="K6" s="160">
        <f>J6*(100%-'Données projet'!$C$24)*(100%-'Données projet'!$C$25)*(100%-'Données projet'!$C$26)*(100%-'Données projet'!$C$27)</f>
        <v>0.51207187499999995</v>
      </c>
      <c r="L6" s="161">
        <f ca="1">G6+I6+K6</f>
        <v>33.68904530227168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Pin d'Alep</v>
      </c>
      <c r="B7" s="163">
        <f>'Données projet'!D10</f>
        <v>0.21249999999999999</v>
      </c>
      <c r="C7" s="156">
        <f ca="1">IF(OR('Données projet'!B10="",'Données projet'!C10="",'Données projet'!C10=0%),0,Calculateur!AN3)</f>
        <v>140.04898296125504</v>
      </c>
      <c r="D7" s="156">
        <f>IF(OR('Données projet'!B10="",'Données projet'!C10="",'Données projet'!C10=0%),0,Calculateur!AO3)</f>
        <v>129.5395511270716</v>
      </c>
      <c r="E7" s="156">
        <f t="shared" ref="E7:E15" ca="1" si="0">MIN(C7,D7)</f>
        <v>129.5395511270716</v>
      </c>
      <c r="F7" s="156">
        <f t="shared" ref="F7:F15" ca="1" si="1">E7*B7</f>
        <v>27.527154614502717</v>
      </c>
      <c r="G7" s="156">
        <f ca="1">F7*(100%-'Données projet'!$C$24)*(100%-'Données projet'!$C$25)*(100%-'Données projet'!$C$26)*(100%-'Données projet'!$C$27)</f>
        <v>21.058273280094578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21.058273280094578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Cèdre de l'Atlas</v>
      </c>
      <c r="B8" s="163">
        <f>'Données projet'!D11</f>
        <v>0.17</v>
      </c>
      <c r="C8" s="156">
        <f ca="1">IF(OR('Données projet'!B11="",'Données projet'!C11="",'Données projet'!C11=0%),0,Calculateur!BI3)</f>
        <v>207.84100251878419</v>
      </c>
      <c r="D8" s="156">
        <f>IF(OR('Données projet'!B11="",'Données projet'!C11="",'Données projet'!C11=0%),0,Calculateur!BJ3)</f>
        <v>124.34917784241952</v>
      </c>
      <c r="E8" s="156">
        <f t="shared" ca="1" si="0"/>
        <v>124.34917784241952</v>
      </c>
      <c r="F8" s="156">
        <f t="shared" ca="1" si="1"/>
        <v>21.13936023321132</v>
      </c>
      <c r="G8" s="156">
        <f ca="1">F8*(100%-'Données projet'!$C$24)*(100%-'Données projet'!$C$25)*(100%-'Données projet'!$C$26)*(100%-'Données projet'!$C$27)</f>
        <v>16.171610578406661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16.171610578406661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Cyprès de Provence</v>
      </c>
      <c r="B9" s="163">
        <f>'Données projet'!D12</f>
        <v>0.27200000000000002</v>
      </c>
      <c r="C9" s="156">
        <f ca="1">IF(OR('Données projet'!B12="",'Données projet'!C12="",'Données projet'!C12=0%),0,Calculateur!CD3)</f>
        <v>211.05980622218578</v>
      </c>
      <c r="D9" s="156">
        <f>IF(OR('Données projet'!B12="",'Données projet'!C12="",'Données projet'!C12=0%),0,Calculateur!CE3)</f>
        <v>168.57746894604855</v>
      </c>
      <c r="E9" s="156">
        <f t="shared" ca="1" si="0"/>
        <v>168.57746894604855</v>
      </c>
      <c r="F9" s="156">
        <f t="shared" ca="1" si="1"/>
        <v>45.853071553325208</v>
      </c>
      <c r="G9" s="156">
        <f ca="1">F9*(100%-'Données projet'!$C$24)*(100%-'Données projet'!$C$25)*(100%-'Données projet'!$C$26)*(100%-'Données projet'!$C$27)</f>
        <v>35.077599738293785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35.077599738293785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Pin pignon</v>
      </c>
      <c r="B10" s="163">
        <f>'Données projet'!D13</f>
        <v>0.1275</v>
      </c>
      <c r="C10" s="156">
        <f ca="1">IF(OR('Données projet'!B13="",'Données projet'!C13="",'Données projet'!C13=0%),0,Calculateur!CY3)</f>
        <v>191.79777926975839</v>
      </c>
      <c r="D10" s="156">
        <f>IF(OR('Données projet'!B13="",'Données projet'!C13="",'Données projet'!C13=0%),0,Calculateur!CZ3)</f>
        <v>156.66161375678712</v>
      </c>
      <c r="E10" s="156">
        <f t="shared" ca="1" si="0"/>
        <v>156.66161375678712</v>
      </c>
      <c r="F10" s="156">
        <f t="shared" ca="1" si="1"/>
        <v>19.974355753990359</v>
      </c>
      <c r="G10" s="156">
        <f ca="1">F10*(100%-'Données projet'!$C$24)*(100%-'Données projet'!$C$25)*(100%-'Données projet'!$C$26)*(100%-'Données projet'!$C$27)</f>
        <v>15.280382151802625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0.62363437500000007</v>
      </c>
      <c r="K10" s="160">
        <f>J10*(100%-'Données projet'!$C$24)*(100%-'Données projet'!$C$25)*(100%-'Données projet'!$C$26)*(100%-'Données projet'!$C$27)</f>
        <v>0.47708029687500009</v>
      </c>
      <c r="L10" s="161">
        <f t="shared" ca="1" si="2"/>
        <v>15.757462448677625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Chêne-liège</v>
      </c>
      <c r="B11" s="163">
        <f>'Données projet'!D14</f>
        <v>0.153</v>
      </c>
      <c r="C11" s="156">
        <f ca="1">IF(OR('Données projet'!B14="",'Données projet'!C14="",'Données projet'!C14=0%),0,Calculateur!DT3)</f>
        <v>541.0854688453461</v>
      </c>
      <c r="D11" s="156">
        <f>IF(OR('Données projet'!B14="",'Données projet'!C14="",'Données projet'!C14=0%),0,Calculateur!DU3)</f>
        <v>171.04847168584473</v>
      </c>
      <c r="E11" s="156">
        <f t="shared" ca="1" si="0"/>
        <v>171.04847168584473</v>
      </c>
      <c r="F11" s="156">
        <f t="shared" ca="1" si="1"/>
        <v>26.170416167934242</v>
      </c>
      <c r="G11" s="156">
        <f ca="1">F11*(100%-'Données projet'!$C$24)*(100%-'Données projet'!$C$25)*(100%-'Données projet'!$C$26)*(100%-'Données projet'!$C$27)</f>
        <v>20.020368368469697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0.36413999999999996</v>
      </c>
      <c r="K11" s="160">
        <f>J11*(100%-'Données projet'!$C$24)*(100%-'Données projet'!$C$25)*(100%-'Données projet'!$C$26)*(100%-'Données projet'!$C$27)</f>
        <v>0.27856709999999996</v>
      </c>
      <c r="L11" s="161">
        <f t="shared" ca="1" si="2"/>
        <v>20.298935468469697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>Pin de Salzmann</v>
      </c>
      <c r="B12" s="163">
        <f>'Données projet'!D15</f>
        <v>8.5000000000000006E-2</v>
      </c>
      <c r="C12" s="156">
        <f ca="1">IF(OR('Données projet'!B15="",'Données projet'!C15="",'Données projet'!C15=0%),0,Calculateur!EO3)</f>
        <v>244.01698421598974</v>
      </c>
      <c r="D12" s="156">
        <f>IF(OR('Données projet'!B15="",'Données projet'!C15="",'Données projet'!C15=0%),0,Calculateur!EP3)</f>
        <v>156.96653202915024</v>
      </c>
      <c r="E12" s="156">
        <f t="shared" ca="1" si="0"/>
        <v>156.96653202915024</v>
      </c>
      <c r="F12" s="156">
        <f t="shared" ca="1" si="1"/>
        <v>13.342155222477771</v>
      </c>
      <c r="G12" s="156">
        <f ca="1">F12*(100%-'Données projet'!$C$24)*(100%-'Données projet'!$C$25)*(100%-'Données projet'!$C$26)*(100%-'Données projet'!$C$27)</f>
        <v>10.206748745195496</v>
      </c>
      <c r="H12" s="164">
        <f>IF(OR('Données projet'!B15="",'Données projet'!C15="",'Données projet'!C15=0%),0,AVERAGE(Calculateur!$EY$3:$EY$33)*B12)</f>
        <v>8.5921978684481926E-2</v>
      </c>
      <c r="I12" s="158">
        <f>H12*(100%-'Données projet'!$C$24)*(100%-'Données projet'!$C$25)*(100%-'Données projet'!$C$26)*(100%-'Données projet'!$C$27)</f>
        <v>6.5730313693628681E-2</v>
      </c>
      <c r="J12" s="159">
        <f>IF(OR('Données projet'!B15="",'Données projet'!C15="",'Données projet'!C15=0%),0,SUM(Calculateur!$ER$3:$ER$33)*VLOOKUP('Données projet'!$B$15,Paramètres!$A$1:$I$89,9,0)*B12)</f>
        <v>1.9006000000000001</v>
      </c>
      <c r="K12" s="160">
        <f>J12*(100%-'Données projet'!$C$24)*(100%-'Données projet'!$C$25)*(100%-'Données projet'!$C$26)*(100%-'Données projet'!$C$27)</f>
        <v>1.453959</v>
      </c>
      <c r="L12" s="161">
        <f t="shared" ca="1" si="2"/>
        <v>11.726438058889123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>Erable champêtre</v>
      </c>
      <c r="B13" s="163">
        <f>'Données projet'!D16</f>
        <v>0.1105</v>
      </c>
      <c r="C13" s="156">
        <f ca="1">IF(OR('Données projet'!B16="",'Données projet'!C16="",'Données projet'!C16=0%),0,Calculateur!FJ3)</f>
        <v>175.08726167127026</v>
      </c>
      <c r="D13" s="156">
        <f>IF(OR('Données projet'!B16="",'Données projet'!C16="",'Données projet'!C16=0%),0,Calculateur!FK3)</f>
        <v>196.05343924817117</v>
      </c>
      <c r="E13" s="156">
        <f t="shared" ca="1" si="0"/>
        <v>175.08726167127026</v>
      </c>
      <c r="F13" s="156">
        <f t="shared" ca="1" si="1"/>
        <v>19.347142414675364</v>
      </c>
      <c r="G13" s="156">
        <f ca="1">F13*(100%-'Données projet'!$C$24)*(100%-'Données projet'!$C$25)*(100%-'Données projet'!$C$26)*(100%-'Données projet'!$C$27)</f>
        <v>14.800563947226655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0.856375</v>
      </c>
      <c r="K13" s="160">
        <f>J13*(100%-'Données projet'!$C$24)*(100%-'Données projet'!$C$25)*(100%-'Données projet'!$C$26)*(100%-'Données projet'!$C$27)</f>
        <v>0.655126875</v>
      </c>
      <c r="L13" s="161">
        <f t="shared" ca="1" si="2"/>
        <v>15.455690822226655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>Aulne à feuilles en cœur</v>
      </c>
      <c r="B14" s="163">
        <f>'Données projet'!D17</f>
        <v>0.17</v>
      </c>
      <c r="C14" s="156">
        <f ca="1">IF(OR('Données projet'!B17="",'Données projet'!C17="",'Données projet'!C17=0%),0,Calculateur!GE3)</f>
        <v>142.93037460866543</v>
      </c>
      <c r="D14" s="156">
        <f>IF(OR('Données projet'!B17="",'Données projet'!C17="",'Données projet'!C17=0%),0,Calculateur!GF3)</f>
        <v>146.18554498808049</v>
      </c>
      <c r="E14" s="156">
        <f t="shared" ca="1" si="0"/>
        <v>142.93037460866543</v>
      </c>
      <c r="F14" s="156">
        <f t="shared" ca="1" si="1"/>
        <v>24.298163683473124</v>
      </c>
      <c r="G14" s="156">
        <f ca="1">F14*(100%-'Données projet'!$C$24)*(100%-'Données projet'!$C$25)*(100%-'Données projet'!$C$26)*(100%-'Données projet'!$C$27)</f>
        <v>18.588095217856942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0.76500000000000001</v>
      </c>
      <c r="K14" s="160">
        <f>J14*(100%-'Données projet'!$C$24)*(100%-'Données projet'!$C$25)*(100%-'Données projet'!$C$26)*(100%-'Données projet'!$C$27)</f>
        <v>0.585225</v>
      </c>
      <c r="L14" s="161">
        <f t="shared" ca="1" si="2"/>
        <v>19.173320217856944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>Micocoulier de Provence</v>
      </c>
      <c r="B15" s="166">
        <f>'Données projet'!D18</f>
        <v>4.2500000000000003E-2</v>
      </c>
      <c r="C15" s="167">
        <f ca="1">IF(OR('Données projet'!B18="",'Données projet'!C18="",'Données projet'!C18=0%),0,Calculateur!GZ3)</f>
        <v>188.08607733149256</v>
      </c>
      <c r="D15" s="167">
        <f>IF(OR('Données projet'!B18="",'Données projet'!C18="",'Données projet'!C18=0%),0,Calculateur!HA3)</f>
        <v>119.95698016603842</v>
      </c>
      <c r="E15" s="167">
        <f t="shared" ca="1" si="0"/>
        <v>119.95698016603842</v>
      </c>
      <c r="F15" s="168">
        <f t="shared" ca="1" si="1"/>
        <v>5.0981716570566329</v>
      </c>
      <c r="G15" s="168">
        <f ca="1">F15*(100%-'Données projet'!$C$24)*(100%-'Données projet'!$C$25)*(100%-'Données projet'!$C$26)*(100%-'Données projet'!$C$27)</f>
        <v>3.9001013176483239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9.5625000000000002E-2</v>
      </c>
      <c r="K15" s="172">
        <f>J15*(100%-'Données projet'!$C$24)*(100%-'Données projet'!$C$25)*(100%-'Données projet'!$C$26)*(100%-'Données projet'!$C$27)</f>
        <v>7.3153124999999999E-2</v>
      </c>
      <c r="L15" s="173">
        <f t="shared" ca="1" si="2"/>
        <v>3.9732544426483241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5"/>
      <c r="B16" s="232"/>
      <c r="C16" s="233"/>
      <c r="D16" s="25"/>
      <c r="E16" s="25"/>
      <c r="F16" s="174">
        <f t="shared" ref="F16:L16" ca="1" si="3">SUM(F6:F15)</f>
        <v>246.11858401603456</v>
      </c>
      <c r="G16" s="175">
        <f t="shared" ca="1" si="3"/>
        <v>188.28071677226643</v>
      </c>
      <c r="H16" s="176">
        <f t="shared" si="3"/>
        <v>8.5921978684481926E-2</v>
      </c>
      <c r="I16" s="176">
        <f t="shared" si="3"/>
        <v>6.5730313693628681E-2</v>
      </c>
      <c r="J16" s="177">
        <f t="shared" si="3"/>
        <v>5.2747493749999999</v>
      </c>
      <c r="K16" s="177">
        <f t="shared" si="3"/>
        <v>4.0351832718749998</v>
      </c>
      <c r="L16" s="178">
        <f t="shared" ca="1" si="3"/>
        <v>192.38163035783506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5"/>
      <c r="B17" s="232"/>
      <c r="C17" s="233"/>
      <c r="D17" s="230"/>
      <c r="E17" s="230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5"/>
      <c r="B18" s="232"/>
      <c r="C18" s="233"/>
      <c r="D18" s="230"/>
      <c r="E18" s="230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Cormier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Pin d'Alep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Cyprès de Provence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Pin pignon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Chêne-liège</v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>Pin de Salzmann</v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>Erable champêtre</v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>Aulne à feuilles en cœur</v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>Micocoulier de Provence</v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K1" zoomScale="80" zoomScaleNormal="80" workbookViewId="0">
      <selection activeCell="I20" sqref="I2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Cormier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203.90159857066189</v>
      </c>
      <c r="U10" s="190">
        <f>'Données projet'!D9</f>
        <v>0.29749999999999999</v>
      </c>
      <c r="V10" s="189">
        <f>U10*T10</f>
        <v>60.660725574771909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Pin d'Alep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409.87498050196842</v>
      </c>
      <c r="U11" s="190">
        <f>'Données projet'!D10</f>
        <v>0.21249999999999999</v>
      </c>
      <c r="V11" s="189">
        <f t="shared" ref="V11" si="0">U11*T11</f>
        <v>87.098433356668281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Cèdre de l'Atlas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714.57295242642726</v>
      </c>
      <c r="U12" s="190">
        <f>'Données projet'!D11</f>
        <v>0.17</v>
      </c>
      <c r="V12" s="189">
        <f t="shared" ref="V12:V19" si="1">U12*T12</f>
        <v>121.47740191249264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>Cyprès de Provence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155.16889269924809</v>
      </c>
      <c r="U13" s="190">
        <f>'Données projet'!D12</f>
        <v>0.27200000000000002</v>
      </c>
      <c r="V13" s="189">
        <f t="shared" si="1"/>
        <v>42.205938814195484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Cormier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>Pin pignon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101.16400779146623</v>
      </c>
      <c r="U14" s="190">
        <f>'Données projet'!D13</f>
        <v>0.1275</v>
      </c>
      <c r="V14" s="189">
        <f t="shared" si="1"/>
        <v>12.898410993411945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0"/>
      <c r="G15" s="342" t="s">
        <v>318</v>
      </c>
      <c r="H15" s="203">
        <v>0</v>
      </c>
      <c r="I15" s="204">
        <v>0</v>
      </c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>Chêne-liège</v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111.26868616023107</v>
      </c>
      <c r="U15" s="190">
        <f>'Données projet'!D14</f>
        <v>0.153</v>
      </c>
      <c r="V15" s="189">
        <f t="shared" si="1"/>
        <v>17.024108982515354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2"/>
      <c r="H16" s="203"/>
      <c r="I16" s="204"/>
      <c r="J16" s="215"/>
      <c r="K16" s="224"/>
      <c r="L16" s="338" t="s">
        <v>254</v>
      </c>
      <c r="M16" s="339"/>
      <c r="N16" s="2">
        <v>60</v>
      </c>
      <c r="O16" s="25"/>
      <c r="P16" s="25"/>
      <c r="Q16" s="264"/>
      <c r="R16" s="25"/>
      <c r="S16" s="185" t="str">
        <f>B200</f>
        <v>Pin de Salzmann</v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1120.8942677571738</v>
      </c>
      <c r="U16" s="190">
        <f>'Données projet'!D15</f>
        <v>8.5000000000000006E-2</v>
      </c>
      <c r="V16" s="189">
        <f t="shared" si="1"/>
        <v>95.276012759359773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9">
        <v>0</v>
      </c>
      <c r="B17" s="212" t="s">
        <v>132</v>
      </c>
      <c r="C17" s="211" t="s">
        <v>132</v>
      </c>
      <c r="D17" s="210" t="s">
        <v>132</v>
      </c>
      <c r="E17" s="206"/>
      <c r="F17" s="260"/>
      <c r="G17" s="342"/>
      <c r="J17" s="215"/>
      <c r="K17" s="224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29.999999999999979</v>
      </c>
      <c r="O17" s="25"/>
      <c r="P17" s="25"/>
      <c r="Q17" s="264"/>
      <c r="R17" s="25"/>
      <c r="S17" s="185" t="str">
        <f>B231</f>
        <v>Erable champêtre</v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447.90930366151179</v>
      </c>
      <c r="U17" s="190">
        <f>'Données projet'!D16</f>
        <v>0.1105</v>
      </c>
      <c r="V17" s="189">
        <f t="shared" si="1"/>
        <v>49.493978054597051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42"/>
      <c r="J18" s="215"/>
      <c r="K18" s="224"/>
      <c r="L18" s="296" t="s">
        <v>255</v>
      </c>
      <c r="M18" s="298"/>
      <c r="N18" s="205">
        <v>30</v>
      </c>
      <c r="O18" s="25"/>
      <c r="P18" s="25"/>
      <c r="Q18" s="264"/>
      <c r="R18" s="25"/>
      <c r="S18" s="185" t="str">
        <f>B262</f>
        <v>Aulne à feuilles en cœur</v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424.81435127152514</v>
      </c>
      <c r="U18" s="190">
        <f>'Données projet'!D17</f>
        <v>0.17</v>
      </c>
      <c r="V18" s="189">
        <f t="shared" si="1"/>
        <v>72.218439716159281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42"/>
      <c r="H19" s="231" t="s">
        <v>178</v>
      </c>
      <c r="I19" s="231" t="s">
        <v>287</v>
      </c>
      <c r="J19" s="259"/>
      <c r="K19" s="183"/>
      <c r="L19" s="338" t="s">
        <v>288</v>
      </c>
      <c r="M19" s="339"/>
      <c r="N19" s="191">
        <f>N17*N18</f>
        <v>899.99999999999932</v>
      </c>
      <c r="O19" s="25"/>
      <c r="P19" s="5"/>
      <c r="Q19" s="265"/>
      <c r="R19" s="5"/>
      <c r="S19" s="185" t="str">
        <f>B293</f>
        <v>Micocoulier de Provence</v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203.90159857066189</v>
      </c>
      <c r="U19" s="190">
        <f>'Données projet'!D18</f>
        <v>4.2500000000000003E-2</v>
      </c>
      <c r="V19" s="189">
        <f t="shared" si="1"/>
        <v>8.6658179392531309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42"/>
      <c r="H20" s="203">
        <v>0</v>
      </c>
      <c r="I20" s="204">
        <v>13518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/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/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0"/>
      <c r="H23" s="203"/>
      <c r="I23" s="204"/>
      <c r="K23" s="224"/>
      <c r="L23" s="340" t="s">
        <v>260</v>
      </c>
      <c r="M23" s="340"/>
      <c r="N23" s="340"/>
      <c r="O23" s="25"/>
      <c r="P23" s="25"/>
      <c r="Q23" s="264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-22413.580731896574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3"/>
      <c r="H24" s="203"/>
      <c r="I24" s="204"/>
      <c r="K24" s="224"/>
      <c r="O24" s="25"/>
      <c r="P24" s="25"/>
      <c r="Q24" s="264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109.07218266953188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9</v>
      </c>
      <c r="C25" s="204">
        <v>10</v>
      </c>
      <c r="D25" s="194">
        <f t="shared" si="2"/>
        <v>90</v>
      </c>
      <c r="E25" s="206"/>
      <c r="F25" s="263"/>
      <c r="G25" s="1"/>
      <c r="H25" s="203"/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37">
        <f ca="1">T23-T24</f>
        <v>-22522.652914566108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0</v>
      </c>
      <c r="C26" s="204"/>
      <c r="D26" s="194">
        <f t="shared" si="2"/>
        <v>0</v>
      </c>
      <c r="E26" s="206"/>
      <c r="F26" s="263"/>
      <c r="G26" s="258"/>
      <c r="H26" s="203"/>
      <c r="I26" s="204"/>
      <c r="K26" s="224"/>
      <c r="L26" s="324" t="s">
        <v>258</v>
      </c>
      <c r="M26" s="325"/>
      <c r="N26" s="325"/>
      <c r="O26" s="325"/>
      <c r="P26" s="326"/>
      <c r="Q26" s="264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17</v>
      </c>
      <c r="C27" s="204">
        <v>10</v>
      </c>
      <c r="D27" s="194">
        <f t="shared" si="2"/>
        <v>170</v>
      </c>
      <c r="E27" s="206"/>
      <c r="F27" s="263"/>
      <c r="G27" s="258"/>
      <c r="H27" s="203"/>
      <c r="I27" s="204"/>
      <c r="K27" s="224"/>
      <c r="L27" s="327"/>
      <c r="M27" s="328"/>
      <c r="N27" s="328"/>
      <c r="O27" s="328"/>
      <c r="P27" s="329"/>
      <c r="Q27" s="264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0</v>
      </c>
      <c r="C28" s="204"/>
      <c r="D28" s="194">
        <f t="shared" si="2"/>
        <v>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18</v>
      </c>
      <c r="C29" s="204">
        <v>10</v>
      </c>
      <c r="D29" s="194">
        <f t="shared" si="2"/>
        <v>180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0</v>
      </c>
      <c r="C30" s="204"/>
      <c r="D30" s="194">
        <f t="shared" si="2"/>
        <v>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20</v>
      </c>
      <c r="C31" s="204">
        <v>15</v>
      </c>
      <c r="D31" s="194">
        <f t="shared" si="2"/>
        <v>300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0</v>
      </c>
      <c r="C32" s="204"/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20</v>
      </c>
      <c r="C33" s="204">
        <v>20</v>
      </c>
      <c r="D33" s="194">
        <f t="shared" si="2"/>
        <v>400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0</v>
      </c>
      <c r="C34" s="204"/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19</v>
      </c>
      <c r="C35" s="204">
        <v>25</v>
      </c>
      <c r="D35" s="194">
        <f t="shared" si="2"/>
        <v>475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85</v>
      </c>
      <c r="B36" s="193">
        <f>'Données projet'!D49</f>
        <v>0</v>
      </c>
      <c r="C36" s="204"/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90</v>
      </c>
      <c r="B37" s="193">
        <f>'Données projet'!D50</f>
        <v>18</v>
      </c>
      <c r="C37" s="204">
        <v>30</v>
      </c>
      <c r="D37" s="194">
        <f t="shared" si="2"/>
        <v>540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95</v>
      </c>
      <c r="B38" s="193">
        <f>'Données projet'!D51</f>
        <v>0</v>
      </c>
      <c r="C38" s="204"/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100</v>
      </c>
      <c r="B39" s="193">
        <f>'Données projet'!D52</f>
        <v>18</v>
      </c>
      <c r="C39" s="204">
        <v>40</v>
      </c>
      <c r="D39" s="194">
        <f t="shared" si="2"/>
        <v>720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105</v>
      </c>
      <c r="B40" s="193">
        <f>'Données projet'!D53</f>
        <v>0</v>
      </c>
      <c r="C40" s="204"/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110</v>
      </c>
      <c r="B41" s="193">
        <f>'Données projet'!D54</f>
        <v>19</v>
      </c>
      <c r="C41" s="204">
        <v>45</v>
      </c>
      <c r="D41" s="194">
        <f t="shared" si="2"/>
        <v>855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120</v>
      </c>
      <c r="B42" s="193">
        <f>'Données projet'!D55</f>
        <v>201</v>
      </c>
      <c r="C42" s="206">
        <v>50</v>
      </c>
      <c r="D42" s="194">
        <f t="shared" si="2"/>
        <v>10050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Pin d'Alep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15</v>
      </c>
      <c r="B54" s="193">
        <f>'Données projet'!D62</f>
        <v>0</v>
      </c>
      <c r="C54" s="204"/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25</v>
      </c>
      <c r="B56" s="193">
        <f>'Données projet'!D64</f>
        <v>0</v>
      </c>
      <c r="C56" s="204"/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30</v>
      </c>
      <c r="B57" s="193">
        <f>'Données projet'!D65</f>
        <v>0</v>
      </c>
      <c r="C57" s="204"/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36</v>
      </c>
      <c r="B58" s="193">
        <f>'Données projet'!D66</f>
        <v>34.892307692307689</v>
      </c>
      <c r="C58" s="206">
        <v>10</v>
      </c>
      <c r="D58" s="191">
        <f t="shared" si="4"/>
        <v>348.92307692307691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44</v>
      </c>
      <c r="B59" s="193">
        <f>'Données projet'!D67</f>
        <v>0</v>
      </c>
      <c r="C59" s="206"/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52</v>
      </c>
      <c r="B60" s="193">
        <f>'Données projet'!D68</f>
        <v>77.107692307692304</v>
      </c>
      <c r="C60" s="206">
        <v>15</v>
      </c>
      <c r="D60" s="191">
        <f t="shared" si="4"/>
        <v>1156.6153846153845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59</v>
      </c>
      <c r="B61" s="193">
        <f>'Données projet'!D69</f>
        <v>0</v>
      </c>
      <c r="C61" s="206"/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66</v>
      </c>
      <c r="B62" s="193">
        <f>'Données projet'!D70</f>
        <v>0</v>
      </c>
      <c r="C62" s="206"/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74</v>
      </c>
      <c r="B63" s="193">
        <f>'Données projet'!D71</f>
        <v>114.9153846153846</v>
      </c>
      <c r="C63" s="206">
        <v>20</v>
      </c>
      <c r="D63" s="191">
        <f t="shared" si="4"/>
        <v>2298.3076923076919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82</v>
      </c>
      <c r="B64" s="193">
        <f>'Données projet'!D72</f>
        <v>0</v>
      </c>
      <c r="C64" s="206"/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89</v>
      </c>
      <c r="B65" s="193">
        <f>'Données projet'!D73</f>
        <v>166.66923076923075</v>
      </c>
      <c r="C65" s="206">
        <v>40</v>
      </c>
      <c r="D65" s="191">
        <f t="shared" si="4"/>
        <v>6666.7692307692305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30</v>
      </c>
      <c r="B85" s="193">
        <f>'Données projet'!D88</f>
        <v>0</v>
      </c>
      <c r="C85" s="204"/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35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40</v>
      </c>
      <c r="B87" s="193">
        <f>'Données projet'!D90</f>
        <v>0</v>
      </c>
      <c r="C87" s="204"/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45</v>
      </c>
      <c r="B88" s="193">
        <f>'Données projet'!D91</f>
        <v>0</v>
      </c>
      <c r="C88" s="204"/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51</v>
      </c>
      <c r="B89" s="193">
        <f>'Données projet'!D92</f>
        <v>100.30769230769231</v>
      </c>
      <c r="C89" s="206">
        <v>15</v>
      </c>
      <c r="D89" s="191">
        <f t="shared" si="6"/>
        <v>1504.6153846153845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57</v>
      </c>
      <c r="B90" s="193">
        <f>'Données projet'!D93</f>
        <v>0</v>
      </c>
      <c r="C90" s="206"/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63</v>
      </c>
      <c r="B91" s="193">
        <f>'Données projet'!D94</f>
        <v>108.08461538461538</v>
      </c>
      <c r="C91" s="206">
        <v>20</v>
      </c>
      <c r="D91" s="191">
        <f t="shared" si="6"/>
        <v>2161.6923076923076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69</v>
      </c>
      <c r="B92" s="193">
        <f>'Données projet'!D95</f>
        <v>0</v>
      </c>
      <c r="C92" s="206"/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75</v>
      </c>
      <c r="B93" s="193">
        <f>'Données projet'!D96</f>
        <v>85.361538461538458</v>
      </c>
      <c r="C93" s="206">
        <v>30</v>
      </c>
      <c r="D93" s="191">
        <f t="shared" si="6"/>
        <v>2560.8461538461538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81</v>
      </c>
      <c r="B94" s="193">
        <f>'Données projet'!D97</f>
        <v>0</v>
      </c>
      <c r="C94" s="206"/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87</v>
      </c>
      <c r="B95" s="193">
        <f>'Données projet'!D98</f>
        <v>82.938461538461524</v>
      </c>
      <c r="C95" s="206">
        <v>40</v>
      </c>
      <c r="D95" s="191">
        <f t="shared" si="6"/>
        <v>3317.538461538461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93</v>
      </c>
      <c r="B96" s="193">
        <f>'Données projet'!D99</f>
        <v>0</v>
      </c>
      <c r="C96" s="206"/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99</v>
      </c>
      <c r="B97" s="193">
        <f>'Données projet'!D100</f>
        <v>198.32307692307691</v>
      </c>
      <c r="C97" s="206">
        <v>50</v>
      </c>
      <c r="D97" s="191">
        <f t="shared" si="6"/>
        <v>9916.1538461538457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104</v>
      </c>
      <c r="B98" s="193">
        <f>'Données projet'!D101</f>
        <v>0</v>
      </c>
      <c r="C98" s="206"/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109</v>
      </c>
      <c r="B99" s="193">
        <f>'Données projet'!D102</f>
        <v>256.09230769230771</v>
      </c>
      <c r="C99" s="206">
        <v>60</v>
      </c>
      <c r="D99" s="191">
        <f t="shared" si="6"/>
        <v>15365.538461538463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Cyprès de Provence</v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25</v>
      </c>
      <c r="B118" s="193">
        <f>'Données projet'!D116</f>
        <v>0</v>
      </c>
      <c r="C118" s="204"/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30</v>
      </c>
      <c r="B119" s="193">
        <f>'Données projet'!D117</f>
        <v>0</v>
      </c>
      <c r="C119" s="204"/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35</v>
      </c>
      <c r="B120" s="193">
        <f>'Données projet'!D118</f>
        <v>0</v>
      </c>
      <c r="C120" s="204"/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40</v>
      </c>
      <c r="B121" s="193">
        <f>'Données projet'!D119</f>
        <v>0</v>
      </c>
      <c r="C121" s="204"/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45</v>
      </c>
      <c r="B122" s="193">
        <f>'Données projet'!D120</f>
        <v>0</v>
      </c>
      <c r="C122" s="204"/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50</v>
      </c>
      <c r="B123" s="193">
        <f>'Données projet'!D121</f>
        <v>0</v>
      </c>
      <c r="C123" s="204"/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55</v>
      </c>
      <c r="B124" s="193">
        <f>'Données projet'!D122</f>
        <v>0</v>
      </c>
      <c r="C124" s="204"/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60</v>
      </c>
      <c r="B125" s="193">
        <f>'Données projet'!D123</f>
        <v>0</v>
      </c>
      <c r="C125" s="204"/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65</v>
      </c>
      <c r="B126" s="193">
        <f>'Données projet'!D124</f>
        <v>0</v>
      </c>
      <c r="C126" s="204"/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70</v>
      </c>
      <c r="B127" s="193">
        <f>'Données projet'!D125</f>
        <v>0</v>
      </c>
      <c r="C127" s="204"/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75</v>
      </c>
      <c r="B128" s="193">
        <f>'Données projet'!D126</f>
        <v>0</v>
      </c>
      <c r="C128" s="204"/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80</v>
      </c>
      <c r="B129" s="193">
        <f>'Données projet'!D127</f>
        <v>0</v>
      </c>
      <c r="C129" s="204"/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85</v>
      </c>
      <c r="B130" s="193">
        <f>'Données projet'!D128</f>
        <v>0</v>
      </c>
      <c r="C130" s="204"/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90</v>
      </c>
      <c r="B131" s="193">
        <f>'Données projet'!D129</f>
        <v>0</v>
      </c>
      <c r="C131" s="204"/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95</v>
      </c>
      <c r="B132" s="193">
        <f>'Données projet'!D130</f>
        <v>0</v>
      </c>
      <c r="C132" s="204"/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100</v>
      </c>
      <c r="B133" s="193">
        <f>'Données projet'!D131</f>
        <v>316.5</v>
      </c>
      <c r="C133" s="204">
        <v>40</v>
      </c>
      <c r="D133" s="191">
        <f t="shared" si="8"/>
        <v>12660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Pin pignon</v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10</v>
      </c>
      <c r="B147" s="187">
        <f>'Données projet'!D140</f>
        <v>0</v>
      </c>
      <c r="C147" s="204"/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7">
        <f>'Données projet'!D142</f>
        <v>11.375</v>
      </c>
      <c r="C149" s="204">
        <v>10</v>
      </c>
      <c r="D149" s="194">
        <f t="shared" si="10"/>
        <v>113.75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40</v>
      </c>
      <c r="B150" s="187">
        <f>'Données projet'!D143</f>
        <v>7.0000000000000009</v>
      </c>
      <c r="C150" s="204">
        <v>10</v>
      </c>
      <c r="D150" s="194">
        <f t="shared" si="10"/>
        <v>70.000000000000014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50</v>
      </c>
      <c r="B151" s="187">
        <f>'Données projet'!D144</f>
        <v>7.7500000000000009</v>
      </c>
      <c r="C151" s="204">
        <v>15</v>
      </c>
      <c r="D151" s="194">
        <f t="shared" si="10"/>
        <v>116.25000000000001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60</v>
      </c>
      <c r="B152" s="187">
        <f>'Données projet'!D145</f>
        <v>8.25</v>
      </c>
      <c r="C152" s="204">
        <v>15</v>
      </c>
      <c r="D152" s="194">
        <f t="shared" si="10"/>
        <v>123.75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70</v>
      </c>
      <c r="B153" s="187">
        <f>'Données projet'!D146</f>
        <v>8.5</v>
      </c>
      <c r="C153" s="204">
        <v>20</v>
      </c>
      <c r="D153" s="194">
        <f t="shared" si="10"/>
        <v>170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80</v>
      </c>
      <c r="B154" s="187">
        <f>'Données projet'!D147</f>
        <v>9.1666666666666679</v>
      </c>
      <c r="C154" s="204">
        <v>25</v>
      </c>
      <c r="D154" s="194">
        <f t="shared" si="10"/>
        <v>229.16666666666669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90</v>
      </c>
      <c r="B155" s="187">
        <f>'Données projet'!D148</f>
        <v>9.1666666666666679</v>
      </c>
      <c r="C155" s="204">
        <v>25</v>
      </c>
      <c r="D155" s="194">
        <f t="shared" si="10"/>
        <v>229.16666666666669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100</v>
      </c>
      <c r="B156" s="187">
        <f>'Données projet'!D149</f>
        <v>9.125</v>
      </c>
      <c r="C156" s="204">
        <v>30</v>
      </c>
      <c r="D156" s="194">
        <f t="shared" si="10"/>
        <v>273.75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110</v>
      </c>
      <c r="B157" s="187">
        <f>'Données projet'!D150</f>
        <v>9.0416666666666661</v>
      </c>
      <c r="C157" s="204">
        <v>35</v>
      </c>
      <c r="D157" s="194">
        <f t="shared" si="10"/>
        <v>316.45833333333331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120</v>
      </c>
      <c r="B158" s="187">
        <f>'Données projet'!D151</f>
        <v>8.875</v>
      </c>
      <c r="C158" s="204">
        <v>35</v>
      </c>
      <c r="D158" s="194">
        <f t="shared" si="10"/>
        <v>310.625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130</v>
      </c>
      <c r="B159" s="187">
        <f>'Données projet'!D152</f>
        <v>8.7083333333333339</v>
      </c>
      <c r="C159" s="204">
        <v>40</v>
      </c>
      <c r="D159" s="194">
        <f t="shared" si="10"/>
        <v>348.33333333333337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140</v>
      </c>
      <c r="B160" s="187">
        <f>'Données projet'!D153</f>
        <v>8.5416666666666679</v>
      </c>
      <c r="C160" s="204">
        <v>40</v>
      </c>
      <c r="D160" s="194">
        <f t="shared" si="10"/>
        <v>341.66666666666674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150</v>
      </c>
      <c r="B161" s="187">
        <f>'Données projet'!D154</f>
        <v>130.21250000000001</v>
      </c>
      <c r="C161" s="204">
        <v>50</v>
      </c>
      <c r="D161" s="194">
        <f t="shared" si="10"/>
        <v>6510.625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Chêne-liège</v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25</v>
      </c>
      <c r="B178" s="193">
        <f>'Données projet'!D166</f>
        <v>9.52</v>
      </c>
      <c r="C178" s="206">
        <v>10</v>
      </c>
      <c r="D178" s="191">
        <f>B178*C178</f>
        <v>95.199999999999989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40</v>
      </c>
      <c r="B179" s="193">
        <f>'Données projet'!D167</f>
        <v>11.8</v>
      </c>
      <c r="C179" s="206">
        <v>10</v>
      </c>
      <c r="D179" s="191">
        <f t="shared" ref="D179:D197" si="11">B179*C179</f>
        <v>118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55</v>
      </c>
      <c r="B180" s="193">
        <f>'Données projet'!D168</f>
        <v>18.309999999999999</v>
      </c>
      <c r="C180" s="206">
        <v>15</v>
      </c>
      <c r="D180" s="191">
        <f t="shared" si="11"/>
        <v>274.64999999999998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70</v>
      </c>
      <c r="B181" s="193">
        <f>'Données projet'!D169</f>
        <v>24.48</v>
      </c>
      <c r="C181" s="206">
        <v>15</v>
      </c>
      <c r="D181" s="191">
        <f t="shared" si="11"/>
        <v>367.2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100</v>
      </c>
      <c r="B182" s="193">
        <f>'Données projet'!D170</f>
        <v>38.25</v>
      </c>
      <c r="C182" s="206">
        <v>20</v>
      </c>
      <c r="D182" s="191">
        <f t="shared" si="11"/>
        <v>765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130</v>
      </c>
      <c r="B183" s="193">
        <f>'Données projet'!D171</f>
        <v>49.83</v>
      </c>
      <c r="C183" s="206">
        <v>25</v>
      </c>
      <c r="D183" s="191">
        <f t="shared" si="11"/>
        <v>1245.75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160</v>
      </c>
      <c r="B184" s="193">
        <f>'Données projet'!D172</f>
        <v>58.34</v>
      </c>
      <c r="C184" s="206">
        <v>30</v>
      </c>
      <c r="D184" s="191">
        <f t="shared" si="11"/>
        <v>1750.2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200</v>
      </c>
      <c r="B185" s="193">
        <f>'Données projet'!D173</f>
        <v>510.38</v>
      </c>
      <c r="C185" s="206">
        <v>40</v>
      </c>
      <c r="D185" s="191">
        <f t="shared" si="11"/>
        <v>20415.2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>Pin de Salzmann</v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29</v>
      </c>
      <c r="B209" s="193">
        <f>'Données projet'!D192</f>
        <v>52</v>
      </c>
      <c r="C209" s="206">
        <v>10</v>
      </c>
      <c r="D209" s="191">
        <f>B209*C209</f>
        <v>520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38</v>
      </c>
      <c r="B210" s="193">
        <f>'Données projet'!D193</f>
        <v>73</v>
      </c>
      <c r="C210" s="206">
        <v>10</v>
      </c>
      <c r="D210" s="191">
        <f t="shared" ref="D210:D228" si="12">B210*C210</f>
        <v>730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49</v>
      </c>
      <c r="B211" s="193">
        <f>'Données projet'!D194</f>
        <v>94</v>
      </c>
      <c r="C211" s="206">
        <v>15</v>
      </c>
      <c r="D211" s="191">
        <f t="shared" si="12"/>
        <v>1410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57</v>
      </c>
      <c r="B212" s="193">
        <f>'Données projet'!D195</f>
        <v>98</v>
      </c>
      <c r="C212" s="206">
        <v>20</v>
      </c>
      <c r="D212" s="191">
        <f t="shared" si="12"/>
        <v>1960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67</v>
      </c>
      <c r="B213" s="193">
        <f>'Données projet'!D196</f>
        <v>101</v>
      </c>
      <c r="C213" s="206">
        <v>25</v>
      </c>
      <c r="D213" s="191">
        <f t="shared" si="12"/>
        <v>2525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78</v>
      </c>
      <c r="B214" s="193">
        <f>'Données projet'!D197</f>
        <v>100</v>
      </c>
      <c r="C214" s="206">
        <v>30</v>
      </c>
      <c r="D214" s="191">
        <f t="shared" si="12"/>
        <v>3000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91</v>
      </c>
      <c r="B215" s="193">
        <f>'Données projet'!D198</f>
        <v>394</v>
      </c>
      <c r="C215" s="206">
        <v>40</v>
      </c>
      <c r="D215" s="191">
        <f t="shared" si="12"/>
        <v>15760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>Erable champêtre</v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20</v>
      </c>
      <c r="B240" s="193">
        <f>'Données projet'!D218</f>
        <v>0</v>
      </c>
      <c r="C240" s="206"/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25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30</v>
      </c>
      <c r="B242" s="193">
        <f>'Données projet'!D220</f>
        <v>31</v>
      </c>
      <c r="C242" s="206">
        <v>10</v>
      </c>
      <c r="D242" s="191">
        <f t="shared" si="13"/>
        <v>310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35</v>
      </c>
      <c r="B243" s="193">
        <f>'Données projet'!D221</f>
        <v>0</v>
      </c>
      <c r="C243" s="206"/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40</v>
      </c>
      <c r="B244" s="193">
        <f>'Données projet'!D222</f>
        <v>28</v>
      </c>
      <c r="C244" s="206">
        <v>15</v>
      </c>
      <c r="D244" s="191">
        <f t="shared" si="13"/>
        <v>420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45</v>
      </c>
      <c r="B245" s="193">
        <f>'Données projet'!D223</f>
        <v>0</v>
      </c>
      <c r="C245" s="206"/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50</v>
      </c>
      <c r="B246" s="193">
        <f>'Données projet'!D224</f>
        <v>25</v>
      </c>
      <c r="C246" s="206">
        <v>20</v>
      </c>
      <c r="D246" s="191">
        <f t="shared" si="13"/>
        <v>500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55</v>
      </c>
      <c r="B247" s="193">
        <f>'Données projet'!D225</f>
        <v>0</v>
      </c>
      <c r="C247" s="206"/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60</v>
      </c>
      <c r="B248" s="193">
        <f>'Données projet'!D226</f>
        <v>16</v>
      </c>
      <c r="C248" s="206">
        <v>25</v>
      </c>
      <c r="D248" s="191">
        <f t="shared" si="13"/>
        <v>400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65</v>
      </c>
      <c r="B249" s="193">
        <f>'Données projet'!D227</f>
        <v>0</v>
      </c>
      <c r="C249" s="206"/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70</v>
      </c>
      <c r="B250" s="193">
        <f>'Données projet'!D228</f>
        <v>11</v>
      </c>
      <c r="C250" s="206">
        <v>30</v>
      </c>
      <c r="D250" s="191">
        <f t="shared" si="13"/>
        <v>330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75</v>
      </c>
      <c r="B251" s="193">
        <f>'Données projet'!D229</f>
        <v>0</v>
      </c>
      <c r="C251" s="206"/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80</v>
      </c>
      <c r="B252" s="193">
        <f>'Données projet'!D230</f>
        <v>164</v>
      </c>
      <c r="C252" s="206">
        <v>40</v>
      </c>
      <c r="D252" s="191">
        <f t="shared" si="13"/>
        <v>6560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>Aulne à feuilles en cœur</v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15</v>
      </c>
      <c r="B271" s="193">
        <f>'Données projet'!D244</f>
        <v>0</v>
      </c>
      <c r="C271" s="206"/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20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25</v>
      </c>
      <c r="B273" s="193">
        <f>'Données projet'!D246</f>
        <v>18</v>
      </c>
      <c r="C273" s="206">
        <v>10</v>
      </c>
      <c r="D273" s="191">
        <f t="shared" si="14"/>
        <v>180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30</v>
      </c>
      <c r="B274" s="193">
        <f>'Données projet'!D247</f>
        <v>0</v>
      </c>
      <c r="C274" s="206"/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35</v>
      </c>
      <c r="B275" s="193">
        <f>'Données projet'!D248</f>
        <v>27</v>
      </c>
      <c r="C275" s="206">
        <v>10</v>
      </c>
      <c r="D275" s="191">
        <f t="shared" si="14"/>
        <v>270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40</v>
      </c>
      <c r="B276" s="193">
        <f>'Données projet'!D249</f>
        <v>0</v>
      </c>
      <c r="C276" s="206"/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45</v>
      </c>
      <c r="B277" s="193">
        <f>'Données projet'!D250</f>
        <v>30</v>
      </c>
      <c r="C277" s="206">
        <v>15</v>
      </c>
      <c r="D277" s="191">
        <f t="shared" si="14"/>
        <v>450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50</v>
      </c>
      <c r="B278" s="193">
        <f>'Données projet'!D251</f>
        <v>0</v>
      </c>
      <c r="C278" s="206"/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55</v>
      </c>
      <c r="B279" s="193">
        <f>'Données projet'!D252</f>
        <v>29</v>
      </c>
      <c r="C279" s="206">
        <v>20</v>
      </c>
      <c r="D279" s="191">
        <f t="shared" si="14"/>
        <v>580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60</v>
      </c>
      <c r="B280" s="193">
        <f>'Données projet'!D253</f>
        <v>0</v>
      </c>
      <c r="C280" s="206"/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65</v>
      </c>
      <c r="B281" s="193">
        <f>'Données projet'!D254</f>
        <v>27</v>
      </c>
      <c r="C281" s="206">
        <v>25</v>
      </c>
      <c r="D281" s="191">
        <f t="shared" si="14"/>
        <v>675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70</v>
      </c>
      <c r="B282" s="193">
        <f>'Données projet'!D255</f>
        <v>0</v>
      </c>
      <c r="C282" s="206"/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75</v>
      </c>
      <c r="B283" s="193">
        <f>'Données projet'!D256</f>
        <v>23</v>
      </c>
      <c r="C283" s="206">
        <v>30</v>
      </c>
      <c r="D283" s="191">
        <f t="shared" si="14"/>
        <v>690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80</v>
      </c>
      <c r="B284" s="193">
        <f>'Données projet'!D257</f>
        <v>0</v>
      </c>
      <c r="C284" s="206"/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85</v>
      </c>
      <c r="B285" s="193">
        <f>'Données projet'!D258</f>
        <v>0</v>
      </c>
      <c r="C285" s="206"/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90</v>
      </c>
      <c r="B286" s="193">
        <f>'Données projet'!D259</f>
        <v>170</v>
      </c>
      <c r="C286" s="206">
        <v>40</v>
      </c>
      <c r="D286" s="191">
        <f t="shared" si="14"/>
        <v>6800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>Micocoulier de Provence</v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20</v>
      </c>
      <c r="B302" s="193">
        <f>'Données projet'!D270</f>
        <v>0</v>
      </c>
      <c r="C302" s="204"/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25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30</v>
      </c>
      <c r="B304" s="193">
        <f>'Données projet'!D272</f>
        <v>9</v>
      </c>
      <c r="C304" s="204">
        <v>10</v>
      </c>
      <c r="D304" s="194">
        <f t="shared" si="15"/>
        <v>90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35</v>
      </c>
      <c r="B305" s="193">
        <f>'Données projet'!D273</f>
        <v>0</v>
      </c>
      <c r="C305" s="204"/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40</v>
      </c>
      <c r="B306" s="193">
        <f>'Données projet'!D274</f>
        <v>17</v>
      </c>
      <c r="C306" s="204">
        <v>10</v>
      </c>
      <c r="D306" s="194">
        <f t="shared" si="15"/>
        <v>170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45</v>
      </c>
      <c r="B307" s="193">
        <f>'Données projet'!D275</f>
        <v>0</v>
      </c>
      <c r="C307" s="204"/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50</v>
      </c>
      <c r="B308" s="193">
        <f>'Données projet'!D276</f>
        <v>18</v>
      </c>
      <c r="C308" s="204">
        <v>10</v>
      </c>
      <c r="D308" s="194">
        <f t="shared" si="15"/>
        <v>180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55</v>
      </c>
      <c r="B309" s="193">
        <f>'Données projet'!D277</f>
        <v>0</v>
      </c>
      <c r="C309" s="204"/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60</v>
      </c>
      <c r="B310" s="193">
        <f>'Données projet'!D278</f>
        <v>20</v>
      </c>
      <c r="C310" s="204">
        <v>15</v>
      </c>
      <c r="D310" s="194">
        <f t="shared" si="15"/>
        <v>300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65</v>
      </c>
      <c r="B311" s="193">
        <f>'Données projet'!D279</f>
        <v>0</v>
      </c>
      <c r="C311" s="204"/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70</v>
      </c>
      <c r="B312" s="193">
        <f>'Données projet'!D280</f>
        <v>20</v>
      </c>
      <c r="C312" s="204">
        <v>20</v>
      </c>
      <c r="D312" s="194">
        <f t="shared" si="15"/>
        <v>400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75</v>
      </c>
      <c r="B313" s="193">
        <f>'Données projet'!D281</f>
        <v>0</v>
      </c>
      <c r="C313" s="204"/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80</v>
      </c>
      <c r="B314" s="193">
        <f>'Données projet'!D282</f>
        <v>19</v>
      </c>
      <c r="C314" s="204">
        <v>25</v>
      </c>
      <c r="D314" s="194">
        <f t="shared" si="15"/>
        <v>475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85</v>
      </c>
      <c r="B315" s="193">
        <f>'Données projet'!D283</f>
        <v>0</v>
      </c>
      <c r="C315" s="204"/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90</v>
      </c>
      <c r="B316" s="193">
        <f>'Données projet'!D284</f>
        <v>18</v>
      </c>
      <c r="C316" s="204">
        <v>30</v>
      </c>
      <c r="D316" s="194">
        <f t="shared" si="15"/>
        <v>540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95</v>
      </c>
      <c r="B317" s="193">
        <f>'Données projet'!D285</f>
        <v>0</v>
      </c>
      <c r="C317" s="204"/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100</v>
      </c>
      <c r="B318" s="193">
        <f>'Données projet'!D286</f>
        <v>18</v>
      </c>
      <c r="C318" s="204">
        <v>40</v>
      </c>
      <c r="D318" s="194">
        <f t="shared" si="15"/>
        <v>720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105</v>
      </c>
      <c r="B319" s="193">
        <f>'Données projet'!D287</f>
        <v>0</v>
      </c>
      <c r="C319" s="204"/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110</v>
      </c>
      <c r="B320" s="193">
        <f>'Données projet'!D288</f>
        <v>19</v>
      </c>
      <c r="C320" s="204">
        <v>45</v>
      </c>
      <c r="D320" s="194">
        <f t="shared" si="15"/>
        <v>855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120</v>
      </c>
      <c r="B321" s="193">
        <f>'Données projet'!D289</f>
        <v>201</v>
      </c>
      <c r="C321" s="206">
        <v>50</v>
      </c>
      <c r="D321" s="194">
        <f t="shared" si="15"/>
        <v>10050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</cp:lastModifiedBy>
  <dcterms:created xsi:type="dcterms:W3CDTF">2021-02-01T08:22:39Z</dcterms:created>
  <dcterms:modified xsi:type="dcterms:W3CDTF">2026-01-19T15:02:01Z</dcterms:modified>
</cp:coreProperties>
</file>