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\\Bureautique\agences et bureaux\AGENCE NORD AUVERGNE BOURBONNAIS\_TIERS\_PROPRIETAIRES_\ABDALLA Patrice--AD18841\03 YZEURE--AD18841P1\LBC Boisement ZX38--2024-VMI-30\LBC Montage dossier\Docs tech\"/>
    </mc:Choice>
  </mc:AlternateContent>
  <xr:revisionPtr revIDLastSave="0" documentId="13_ncr:1_{9EEF064E-878B-49EA-AEF7-3B73F4FCE018}" xr6:coauthVersionLast="47" xr6:coauthVersionMax="47" xr10:uidLastSave="{00000000-0000-0000-0000-000000000000}"/>
  <bookViews>
    <workbookView xWindow="2868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1" i="1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FE202" i="2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<sst xmlns="http://schemas.openxmlformats.org/spreadsheetml/2006/main" count="1176" uniqueCount="325">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</sst>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169.613452288893</c:v>
                </c:pt>
                <c:pt idx="32">
                  <c:v>185.69564922944699</c:v>
                </c:pt>
                <c:pt idx="33">
                  <c:v>201.74532528316698</c:v>
                </c:pt>
                <c:pt idx="34">
                  <c:v>217.76543262779288</c:v>
                </c:pt>
                <c:pt idx="35">
                  <c:v>233.75845318467347</c:v>
                </c:pt>
                <c:pt idx="36">
                  <c:v>249.7265012785368</c:v>
                </c:pt>
                <c:pt idx="37">
                  <c:v>265.67139861401199</c:v>
                </c:pt>
                <c:pt idx="38">
                  <c:v>281.5947302821483</c:v>
                </c:pt>
                <c:pt idx="39">
                  <c:v>297.49788742006405</c:v>
                </c:pt>
                <c:pt idx="40">
                  <c:v>313.38210026249618</c:v>
                </c:pt>
                <c:pt idx="41">
                  <c:v>247.97507238738754</c:v>
                </c:pt>
                <c:pt idx="42">
                  <c:v>264.11677214797504</c:v>
                </c:pt>
                <c:pt idx="43">
                  <c:v>280.23622755830667</c:v>
                </c:pt>
                <c:pt idx="44">
                  <c:v>296.33489822464173</c:v>
                </c:pt>
                <c:pt idx="45">
                  <c:v>312.4140721854024</c:v>
                </c:pt>
                <c:pt idx="46">
                  <c:v>328.47489405645246</c:v>
                </c:pt>
                <c:pt idx="47">
                  <c:v>344.51838738035786</c:v>
                </c:pt>
                <c:pt idx="48">
                  <c:v>360.54547259299108</c:v>
                </c:pt>
                <c:pt idx="49">
                  <c:v>376.55698162745358</c:v>
                </c:pt>
                <c:pt idx="50">
                  <c:v>392.55366990377735</c:v>
                </c:pt>
                <c:pt idx="51">
                  <c:v>326.54079262774457</c:v>
                </c:pt>
                <c:pt idx="52">
                  <c:v>341.6202011551116</c:v>
                </c:pt>
                <c:pt idx="53">
                  <c:v>356.68497890922032</c:v>
                </c:pt>
                <c:pt idx="54">
                  <c:v>371.73583079258918</c:v>
                </c:pt>
                <c:pt idx="55">
                  <c:v>386.77339997206718</c:v>
                </c:pt>
                <c:pt idx="56">
                  <c:v>401.79827552592525</c:v>
                </c:pt>
                <c:pt idx="57">
                  <c:v>416.81099888731995</c:v>
                </c:pt>
                <c:pt idx="58">
                  <c:v>431.81206931097466</c:v>
                </c:pt>
                <c:pt idx="59">
                  <c:v>446.80194854062023</c:v>
                </c:pt>
                <c:pt idx="60">
                  <c:v>461.78106481747767</c:v>
                </c:pt>
                <c:pt idx="61">
                  <c:v>394.48001486506865</c:v>
                </c:pt>
                <c:pt idx="62">
                  <c:v>407.95878231757479</c:v>
                </c:pt>
                <c:pt idx="63">
                  <c:v>421.42793186976132</c:v>
                </c:pt>
                <c:pt idx="64">
                  <c:v>434.88781420496684</c:v>
                </c:pt>
                <c:pt idx="65">
                  <c:v>448.33875652973529</c:v>
                </c:pt>
                <c:pt idx="66">
                  <c:v>461.78106481747767</c:v>
                </c:pt>
                <c:pt idx="67">
                  <c:v>475.2150257772908</c:v>
                </c:pt>
                <c:pt idx="68">
                  <c:v>488.64090858857736</c:v>
                </c:pt>
                <c:pt idx="69">
                  <c:v>502.05896643512602</c:v>
                </c:pt>
                <c:pt idx="70">
                  <c:v>515.46943786668078</c:v>
                </c:pt>
                <c:pt idx="71">
                  <c:v>446.60983959217293</c:v>
                </c:pt>
                <c:pt idx="72">
                  <c:v>458.32527966923976</c:v>
                </c:pt>
                <c:pt idx="73">
                  <c:v>470.03432649602991</c:v>
                </c:pt>
                <c:pt idx="74">
                  <c:v>481.73716178290942</c:v>
                </c:pt>
                <c:pt idx="75">
                  <c:v>493.43395769164994</c:v>
                </c:pt>
                <c:pt idx="76">
                  <c:v>505.1248775564427</c:v>
                </c:pt>
                <c:pt idx="77">
                  <c:v>516.81007653469237</c:v>
                </c:pt>
                <c:pt idx="78">
                  <c:v>528.48970219589762</c:v>
                </c:pt>
                <c:pt idx="79">
                  <c:v>540.16389505577172</c:v>
                </c:pt>
                <c:pt idx="80">
                  <c:v>551.83278906179783</c:v>
                </c:pt>
                <c:pt idx="81">
                  <c:v>482.12075813367915</c:v>
                </c:pt>
                <c:pt idx="82">
                  <c:v>492.85884412246702</c:v>
                </c:pt>
                <c:pt idx="83">
                  <c:v>503.59197136026728</c:v>
                </c:pt>
                <c:pt idx="84">
                  <c:v>514.32026043494295</c:v>
                </c:pt>
                <c:pt idx="85">
                  <c:v>525.04382649327442</c:v>
                </c:pt>
                <c:pt idx="86">
                  <c:v>535.76277959494985</c:v>
                </c:pt>
                <c:pt idx="87">
                  <c:v>546.47722503675448</c:v>
                </c:pt>
                <c:pt idx="88">
                  <c:v>557.18726365001646</c:v>
                </c:pt>
                <c:pt idx="89">
                  <c:v>567.89299207399506</c:v>
                </c:pt>
                <c:pt idx="90">
                  <c:v>578.59450300758897</c:v>
                </c:pt>
                <c:pt idx="91">
                  <c:v>507.61564043595746</c:v>
                </c:pt>
                <c:pt idx="92">
                  <c:v>517.00159034875685</c:v>
                </c:pt>
                <c:pt idx="93">
                  <c:v>526.3839456981234</c:v>
                </c:pt>
                <c:pt idx="94">
                  <c:v>535.76277959494985</c:v>
                </c:pt>
                <c:pt idx="95">
                  <c:v>545.13816238142374</c:v>
                </c:pt>
                <c:pt idx="96">
                  <c:v>554.51016178271357</c:v>
                </c:pt>
                <c:pt idx="97">
                  <c:v>563.87884304786633</c:v>
                </c:pt>
                <c:pt idx="98">
                  <c:v>573.24426908085672</c:v>
                </c:pt>
                <c:pt idx="99">
                  <c:v>582.60650056262477</c:v>
                </c:pt>
                <c:pt idx="100">
                  <c:v>591.96559606486551</c:v>
                </c:pt>
                <c:pt idx="101">
                  <c:v>6.4758730798340893E-12</c:v>
                </c:pt>
                <c:pt idx="102">
                  <c:v>6.4758730798340893E-12</c:v>
                </c:pt>
                <c:pt idx="103">
                  <c:v>6.4758730798340893E-12</c:v>
                </c:pt>
                <c:pt idx="104">
                  <c:v>6.4758730798340893E-12</c:v>
                </c:pt>
                <c:pt idx="105">
                  <c:v>6.4758730798340893E-12</c:v>
                </c:pt>
                <c:pt idx="106">
                  <c:v>6.4758730798340893E-12</c:v>
                </c:pt>
                <c:pt idx="107">
                  <c:v>6.4758730798340893E-12</c:v>
                </c:pt>
                <c:pt idx="108">
                  <c:v>6.4758730798340893E-12</c:v>
                </c:pt>
                <c:pt idx="109">
                  <c:v>6.4758730798340893E-12</c:v>
                </c:pt>
                <c:pt idx="110">
                  <c:v>6.4758730798340893E-12</c:v>
                </c:pt>
                <c:pt idx="111">
                  <c:v>6.4758730798340893E-12</c:v>
                </c:pt>
                <c:pt idx="112">
                  <c:v>6.4758730798340893E-12</c:v>
                </c:pt>
                <c:pt idx="113">
                  <c:v>6.4758730798340893E-12</c:v>
                </c:pt>
                <c:pt idx="114">
                  <c:v>6.4758730798340893E-12</c:v>
                </c:pt>
                <c:pt idx="115">
                  <c:v>6.4758730798340893E-12</c:v>
                </c:pt>
                <c:pt idx="116">
                  <c:v>6.4758730798340893E-12</c:v>
                </c:pt>
                <c:pt idx="117">
                  <c:v>6.4758730798340893E-12</c:v>
                </c:pt>
                <c:pt idx="118">
                  <c:v>6.4758730798340893E-12</c:v>
                </c:pt>
                <c:pt idx="119">
                  <c:v>6.4758730798340893E-12</c:v>
                </c:pt>
                <c:pt idx="120">
                  <c:v>6.4758730798340893E-12</c:v>
                </c:pt>
                <c:pt idx="121">
                  <c:v>6.4758730798340893E-12</c:v>
                </c:pt>
                <c:pt idx="122">
                  <c:v>6.4758730798340893E-12</c:v>
                </c:pt>
                <c:pt idx="123">
                  <c:v>6.4758730798340893E-12</c:v>
                </c:pt>
                <c:pt idx="124">
                  <c:v>6.4758730798340893E-12</c:v>
                </c:pt>
                <c:pt idx="125">
                  <c:v>6.4758730798340893E-12</c:v>
                </c:pt>
                <c:pt idx="126">
                  <c:v>6.4758730798340893E-12</c:v>
                </c:pt>
                <c:pt idx="127">
                  <c:v>6.4758730798340893E-12</c:v>
                </c:pt>
                <c:pt idx="128">
                  <c:v>6.4758730798340893E-12</c:v>
                </c:pt>
                <c:pt idx="129">
                  <c:v>6.4758730798340893E-12</c:v>
                </c:pt>
                <c:pt idx="130">
                  <c:v>6.4758730798340893E-12</c:v>
                </c:pt>
                <c:pt idx="131">
                  <c:v>6.4758730798340893E-12</c:v>
                </c:pt>
                <c:pt idx="132">
                  <c:v>6.4758730798340893E-12</c:v>
                </c:pt>
                <c:pt idx="133">
                  <c:v>6.4758730798340893E-12</c:v>
                </c:pt>
                <c:pt idx="134">
                  <c:v>6.4758730798340893E-12</c:v>
                </c:pt>
                <c:pt idx="135">
                  <c:v>6.4758730798340893E-12</c:v>
                </c:pt>
                <c:pt idx="136">
                  <c:v>6.4758730798340893E-12</c:v>
                </c:pt>
                <c:pt idx="137">
                  <c:v>6.4758730798340893E-12</c:v>
                </c:pt>
                <c:pt idx="138">
                  <c:v>6.4758730798340893E-12</c:v>
                </c:pt>
                <c:pt idx="139">
                  <c:v>6.4758730798340893E-12</c:v>
                </c:pt>
                <c:pt idx="140">
                  <c:v>6.4758730798340893E-12</c:v>
                </c:pt>
                <c:pt idx="141">
                  <c:v>6.4758730798340893E-12</c:v>
                </c:pt>
                <c:pt idx="142">
                  <c:v>6.4758730798340893E-12</c:v>
                </c:pt>
                <c:pt idx="143">
                  <c:v>6.4758730798340893E-12</c:v>
                </c:pt>
                <c:pt idx="144">
                  <c:v>6.4758730798340893E-12</c:v>
                </c:pt>
                <c:pt idx="145">
                  <c:v>6.4758730798340893E-12</c:v>
                </c:pt>
                <c:pt idx="146">
                  <c:v>6.4758730798340893E-12</c:v>
                </c:pt>
                <c:pt idx="147">
                  <c:v>6.4758730798340893E-12</c:v>
                </c:pt>
                <c:pt idx="148">
                  <c:v>6.4758730798340893E-12</c:v>
                </c:pt>
                <c:pt idx="149">
                  <c:v>6.4758730798340893E-12</c:v>
                </c:pt>
                <c:pt idx="150">
                  <c:v>6.4758730798340893E-12</c:v>
                </c:pt>
                <c:pt idx="151">
                  <c:v>6.4758730798340893E-12</c:v>
                </c:pt>
                <c:pt idx="152">
                  <c:v>6.4758730798340893E-12</c:v>
                </c:pt>
                <c:pt idx="153">
                  <c:v>6.4758730798340893E-12</c:v>
                </c:pt>
                <c:pt idx="154">
                  <c:v>6.4758730798340893E-12</c:v>
                </c:pt>
                <c:pt idx="155">
                  <c:v>6.4758730798340893E-12</c:v>
                </c:pt>
                <c:pt idx="156">
                  <c:v>6.4758730798340893E-12</c:v>
                </c:pt>
                <c:pt idx="157">
                  <c:v>6.4758730798340893E-12</c:v>
                </c:pt>
                <c:pt idx="158">
                  <c:v>6.4758730798340893E-12</c:v>
                </c:pt>
                <c:pt idx="159">
                  <c:v>6.4758730798340893E-12</c:v>
                </c:pt>
                <c:pt idx="160">
                  <c:v>6.4758730798340893E-12</c:v>
                </c:pt>
                <c:pt idx="161">
                  <c:v>6.4758730798340893E-12</c:v>
                </c:pt>
                <c:pt idx="162">
                  <c:v>6.4758730798340893E-12</c:v>
                </c:pt>
                <c:pt idx="163">
                  <c:v>6.4758730798340893E-12</c:v>
                </c:pt>
                <c:pt idx="164">
                  <c:v>6.4758730798340893E-12</c:v>
                </c:pt>
                <c:pt idx="165">
                  <c:v>6.4758730798340893E-12</c:v>
                </c:pt>
                <c:pt idx="166">
                  <c:v>6.4758730798340893E-12</c:v>
                </c:pt>
                <c:pt idx="167">
                  <c:v>6.4758730798340893E-12</c:v>
                </c:pt>
                <c:pt idx="168">
                  <c:v>6.4758730798340893E-12</c:v>
                </c:pt>
                <c:pt idx="169">
                  <c:v>6.4758730798340893E-12</c:v>
                </c:pt>
                <c:pt idx="170">
                  <c:v>6.4758730798340893E-12</c:v>
                </c:pt>
                <c:pt idx="171">
                  <c:v>6.4758730798340893E-12</c:v>
                </c:pt>
                <c:pt idx="172">
                  <c:v>6.4758730798340893E-12</c:v>
                </c:pt>
                <c:pt idx="173">
                  <c:v>6.4758730798340893E-12</c:v>
                </c:pt>
                <c:pt idx="174">
                  <c:v>6.4758730798340893E-12</c:v>
                </c:pt>
                <c:pt idx="175">
                  <c:v>6.4758730798340893E-12</c:v>
                </c:pt>
                <c:pt idx="176">
                  <c:v>6.4758730798340893E-12</c:v>
                </c:pt>
                <c:pt idx="177">
                  <c:v>6.4758730798340893E-12</c:v>
                </c:pt>
                <c:pt idx="178">
                  <c:v>6.4758730798340893E-12</c:v>
                </c:pt>
                <c:pt idx="179">
                  <c:v>6.4758730798340893E-12</c:v>
                </c:pt>
                <c:pt idx="180">
                  <c:v>6.4758730798340893E-12</c:v>
                </c:pt>
                <c:pt idx="181">
                  <c:v>6.4758730798340893E-12</c:v>
                </c:pt>
                <c:pt idx="182">
                  <c:v>6.4758730798340893E-12</c:v>
                </c:pt>
                <c:pt idx="183">
                  <c:v>6.4758730798340893E-12</c:v>
                </c:pt>
                <c:pt idx="184">
                  <c:v>6.4758730798340893E-12</c:v>
                </c:pt>
                <c:pt idx="185">
                  <c:v>6.4758730798340893E-12</c:v>
                </c:pt>
                <c:pt idx="186">
                  <c:v>6.4758730798340893E-12</c:v>
                </c:pt>
                <c:pt idx="187">
                  <c:v>6.4758730798340893E-12</c:v>
                </c:pt>
                <c:pt idx="188">
                  <c:v>6.4758730798340893E-12</c:v>
                </c:pt>
                <c:pt idx="189">
                  <c:v>6.4758730798340893E-12</c:v>
                </c:pt>
                <c:pt idx="190">
                  <c:v>6.4758730798340893E-12</c:v>
                </c:pt>
                <c:pt idx="191">
                  <c:v>6.4758730798340893E-12</c:v>
                </c:pt>
                <c:pt idx="192">
                  <c:v>6.4758730798340893E-12</c:v>
                </c:pt>
                <c:pt idx="193">
                  <c:v>6.4758730798340893E-12</c:v>
                </c:pt>
                <c:pt idx="194">
                  <c:v>6.4758730798340893E-12</c:v>
                </c:pt>
                <c:pt idx="195">
                  <c:v>6.4758730798340893E-12</c:v>
                </c:pt>
                <c:pt idx="196">
                  <c:v>6.4758730798340893E-12</c:v>
                </c:pt>
                <c:pt idx="197">
                  <c:v>6.4758730798340893E-12</c:v>
                </c:pt>
                <c:pt idx="198">
                  <c:v>6.4758730798340893E-12</c:v>
                </c:pt>
                <c:pt idx="199">
                  <c:v>6.4758730798340893E-12</c:v>
                </c:pt>
                <c:pt idx="200">
                  <c:v>6.4758730798340893E-12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900528"/>
        <c:axId val="1927903248"/>
      </c:scatterChart>
      <c:valAx>
        <c:axId val="192790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3248"/>
        <c:crosses val="autoZero"/>
        <c:crossBetween val="midCat"/>
      </c:valAx>
      <c:valAx>
        <c:axId val="192790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3504"/>
        <c:axId val="27528480"/>
      </c:scatterChart>
      <c:valAx>
        <c:axId val="2755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8480"/>
        <c:crosses val="autoZero"/>
        <c:crossBetween val="midCat"/>
      </c:valAx>
      <c:valAx>
        <c:axId val="2752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166.06798531764863</c:v>
                </c:pt>
                <c:pt idx="24">
                  <c:v>188.96856175891756</c:v>
                </c:pt>
                <c:pt idx="25">
                  <c:v>211.80440891545254</c:v>
                </c:pt>
                <c:pt idx="26">
                  <c:v>211.54622080726301</c:v>
                </c:pt>
                <c:pt idx="27">
                  <c:v>233.20963679516592</c:v>
                </c:pt>
                <c:pt idx="28">
                  <c:v>254.82710407836203</c:v>
                </c:pt>
                <c:pt idx="29">
                  <c:v>276.40306789470981</c:v>
                </c:pt>
                <c:pt idx="30">
                  <c:v>297.94122248889977</c:v>
                </c:pt>
                <c:pt idx="31">
                  <c:v>281.79102064235502</c:v>
                </c:pt>
                <c:pt idx="32">
                  <c:v>309.20908925978057</c:v>
                </c:pt>
                <c:pt idx="33">
                  <c:v>336.57317639210692</c:v>
                </c:pt>
                <c:pt idx="34">
                  <c:v>363.88828413877468</c:v>
                </c:pt>
                <c:pt idx="35">
                  <c:v>391.15860250001077</c:v>
                </c:pt>
                <c:pt idx="36">
                  <c:v>367.71383775268987</c:v>
                </c:pt>
                <c:pt idx="37">
                  <c:v>396.50577836169572</c:v>
                </c:pt>
                <c:pt idx="38">
                  <c:v>425.25243862538406</c:v>
                </c:pt>
                <c:pt idx="39">
                  <c:v>453.95730613830091</c:v>
                </c:pt>
                <c:pt idx="40">
                  <c:v>482.62339181174974</c:v>
                </c:pt>
                <c:pt idx="41">
                  <c:v>462.07895142550507</c:v>
                </c:pt>
                <c:pt idx="42">
                  <c:v>493.52209644594382</c:v>
                </c:pt>
                <c:pt idx="43">
                  <c:v>524.92279412001824</c:v>
                </c:pt>
                <c:pt idx="44">
                  <c:v>556.28393680147144</c:v>
                </c:pt>
                <c:pt idx="45">
                  <c:v>587.60806453322164</c:v>
                </c:pt>
                <c:pt idx="46">
                  <c:v>556.03117561453962</c:v>
                </c:pt>
                <c:pt idx="47">
                  <c:v>591.39487438498259</c:v>
                </c:pt>
                <c:pt idx="48">
                  <c:v>626.71457192765149</c:v>
                </c:pt>
                <c:pt idx="49">
                  <c:v>661.99309211643788</c:v>
                </c:pt>
                <c:pt idx="50">
                  <c:v>697.23293378983328</c:v>
                </c:pt>
                <c:pt idx="51">
                  <c:v>661.04864640051017</c:v>
                </c:pt>
                <c:pt idx="52">
                  <c:v>691.57190137448958</c:v>
                </c:pt>
                <c:pt idx="53">
                  <c:v>722.06756187611279</c:v>
                </c:pt>
                <c:pt idx="54">
                  <c:v>752.53695528551987</c:v>
                </c:pt>
                <c:pt idx="55">
                  <c:v>782.98129290697489</c:v>
                </c:pt>
                <c:pt idx="56">
                  <c:v>813.40168432599603</c:v>
                </c:pt>
                <c:pt idx="57">
                  <c:v>843.79914950988905</c:v>
                </c:pt>
                <c:pt idx="58">
                  <c:v>874.17462907641311</c:v>
                </c:pt>
                <c:pt idx="59">
                  <c:v>809.48283835574102</c:v>
                </c:pt>
                <c:pt idx="60">
                  <c:v>842.54608661486952</c:v>
                </c:pt>
                <c:pt idx="61">
                  <c:v>875.58328183907577</c:v>
                </c:pt>
                <c:pt idx="62">
                  <c:v>908.59554341520163</c:v>
                </c:pt>
                <c:pt idx="63">
                  <c:v>941.58390291421836</c:v>
                </c:pt>
                <c:pt idx="64">
                  <c:v>974.54931387488284</c:v>
                </c:pt>
                <c:pt idx="65">
                  <c:v>1007.4926601970598</c:v>
                </c:pt>
                <c:pt idx="66">
                  <c:v>1040.4147633821269</c:v>
                </c:pt>
                <c:pt idx="67">
                  <c:v>985.48079026374273</c:v>
                </c:pt>
                <c:pt idx="68">
                  <c:v>1011.7066098280706</c:v>
                </c:pt>
                <c:pt idx="69">
                  <c:v>1037.9190274131022</c:v>
                </c:pt>
                <c:pt idx="70">
                  <c:v>1064.1184285231575</c:v>
                </c:pt>
                <c:pt idx="71">
                  <c:v>1090.3051781668742</c:v>
                </c:pt>
                <c:pt idx="72">
                  <c:v>1116.4796224225793</c:v>
                </c:pt>
                <c:pt idx="73">
                  <c:v>1142.6420898495005</c:v>
                </c:pt>
                <c:pt idx="74">
                  <c:v>1168.7928927632545</c:v>
                </c:pt>
                <c:pt idx="75">
                  <c:v>1139.5281280193201</c:v>
                </c:pt>
                <c:pt idx="76">
                  <c:v>1156.3415650602021</c:v>
                </c:pt>
                <c:pt idx="77">
                  <c:v>1173.1502469465152</c:v>
                </c:pt>
                <c:pt idx="78">
                  <c:v>1189.9542513053341</c:v>
                </c:pt>
                <c:pt idx="79">
                  <c:v>1206.7536533959126</c:v>
                </c:pt>
                <c:pt idx="80">
                  <c:v>1223.5485262145223</c:v>
                </c:pt>
                <c:pt idx="81">
                  <c:v>1240.3389405932542</c:v>
                </c:pt>
                <c:pt idx="82">
                  <c:v>1257.1249652931911</c:v>
                </c:pt>
                <c:pt idx="83">
                  <c:v>1224.7924126524251</c:v>
                </c:pt>
                <c:pt idx="84">
                  <c:v>1224.7924126524251</c:v>
                </c:pt>
                <c:pt idx="85">
                  <c:v>1224.7924126524251</c:v>
                </c:pt>
                <c:pt idx="86">
                  <c:v>1224.7924126524251</c:v>
                </c:pt>
                <c:pt idx="87">
                  <c:v>1224.7924126524251</c:v>
                </c:pt>
                <c:pt idx="88">
                  <c:v>1224.7924126524251</c:v>
                </c:pt>
                <c:pt idx="89">
                  <c:v>1224.7924126524251</c:v>
                </c:pt>
                <c:pt idx="90">
                  <c:v>1224.7924126524251</c:v>
                </c:pt>
                <c:pt idx="91">
                  <c:v>1224.7924126524251</c:v>
                </c:pt>
                <c:pt idx="92">
                  <c:v>1224.7924126524251</c:v>
                </c:pt>
                <c:pt idx="93">
                  <c:v>1224.7924126524251</c:v>
                </c:pt>
                <c:pt idx="94">
                  <c:v>1224.7924126524251</c:v>
                </c:pt>
                <c:pt idx="95">
                  <c:v>1224.7924126524251</c:v>
                </c:pt>
                <c:pt idx="96">
                  <c:v>1224.7924126524251</c:v>
                </c:pt>
                <c:pt idx="97">
                  <c:v>1224.7924126524251</c:v>
                </c:pt>
                <c:pt idx="98">
                  <c:v>1224.7924126524251</c:v>
                </c:pt>
                <c:pt idx="99">
                  <c:v>1224.7924126524251</c:v>
                </c:pt>
                <c:pt idx="100">
                  <c:v>1224.7924126524251</c:v>
                </c:pt>
                <c:pt idx="101">
                  <c:v>1224.7924126524251</c:v>
                </c:pt>
                <c:pt idx="102">
                  <c:v>1224.7924126524251</c:v>
                </c:pt>
                <c:pt idx="103">
                  <c:v>1224.7924126524251</c:v>
                </c:pt>
                <c:pt idx="104">
                  <c:v>1224.7924126524251</c:v>
                </c:pt>
                <c:pt idx="105">
                  <c:v>1224.7924126524251</c:v>
                </c:pt>
                <c:pt idx="106">
                  <c:v>1224.7924126524251</c:v>
                </c:pt>
                <c:pt idx="107">
                  <c:v>1224.7924126524251</c:v>
                </c:pt>
                <c:pt idx="108">
                  <c:v>1224.7924126524251</c:v>
                </c:pt>
                <c:pt idx="109">
                  <c:v>1224.7924126524251</c:v>
                </c:pt>
                <c:pt idx="110">
                  <c:v>1224.7924126524251</c:v>
                </c:pt>
                <c:pt idx="111">
                  <c:v>1224.7924126524251</c:v>
                </c:pt>
                <c:pt idx="112">
                  <c:v>1224.7924126524251</c:v>
                </c:pt>
                <c:pt idx="113">
                  <c:v>1224.7924126524251</c:v>
                </c:pt>
                <c:pt idx="114">
                  <c:v>1224.7924126524251</c:v>
                </c:pt>
                <c:pt idx="115">
                  <c:v>1224.7924126524251</c:v>
                </c:pt>
                <c:pt idx="116">
                  <c:v>1224.7924126524251</c:v>
                </c:pt>
                <c:pt idx="117">
                  <c:v>1224.7924126524251</c:v>
                </c:pt>
                <c:pt idx="118">
                  <c:v>1224.7924126524251</c:v>
                </c:pt>
                <c:pt idx="119">
                  <c:v>1224.7924126524251</c:v>
                </c:pt>
                <c:pt idx="120">
                  <c:v>1224.7924126524251</c:v>
                </c:pt>
                <c:pt idx="121">
                  <c:v>1224.7924126524251</c:v>
                </c:pt>
                <c:pt idx="122">
                  <c:v>1224.7924126524251</c:v>
                </c:pt>
                <c:pt idx="123">
                  <c:v>1224.7924126524251</c:v>
                </c:pt>
                <c:pt idx="124">
                  <c:v>1224.7924126524251</c:v>
                </c:pt>
                <c:pt idx="125">
                  <c:v>1224.7924126524251</c:v>
                </c:pt>
                <c:pt idx="126">
                  <c:v>1224.7924126524251</c:v>
                </c:pt>
                <c:pt idx="127">
                  <c:v>1224.7924126524251</c:v>
                </c:pt>
                <c:pt idx="128">
                  <c:v>1224.7924126524251</c:v>
                </c:pt>
                <c:pt idx="129">
                  <c:v>1224.7924126524251</c:v>
                </c:pt>
                <c:pt idx="130">
                  <c:v>1224.7924126524251</c:v>
                </c:pt>
                <c:pt idx="131">
                  <c:v>1224.7924126524251</c:v>
                </c:pt>
                <c:pt idx="132">
                  <c:v>1224.7924126524251</c:v>
                </c:pt>
                <c:pt idx="133">
                  <c:v>1224.7924126524251</c:v>
                </c:pt>
                <c:pt idx="134">
                  <c:v>1224.7924126524251</c:v>
                </c:pt>
                <c:pt idx="135">
                  <c:v>1224.7924126524251</c:v>
                </c:pt>
                <c:pt idx="136">
                  <c:v>1224.7924126524251</c:v>
                </c:pt>
                <c:pt idx="137">
                  <c:v>1224.7924126524251</c:v>
                </c:pt>
                <c:pt idx="138">
                  <c:v>1224.7924126524251</c:v>
                </c:pt>
                <c:pt idx="139">
                  <c:v>1224.7924126524251</c:v>
                </c:pt>
                <c:pt idx="140">
                  <c:v>1224.7924126524251</c:v>
                </c:pt>
                <c:pt idx="141">
                  <c:v>1224.7924126524251</c:v>
                </c:pt>
                <c:pt idx="142">
                  <c:v>1224.7924126524251</c:v>
                </c:pt>
                <c:pt idx="143">
                  <c:v>1224.7924126524251</c:v>
                </c:pt>
                <c:pt idx="144">
                  <c:v>1224.7924126524251</c:v>
                </c:pt>
                <c:pt idx="145">
                  <c:v>1224.7924126524251</c:v>
                </c:pt>
                <c:pt idx="146">
                  <c:v>1224.7924126524251</c:v>
                </c:pt>
                <c:pt idx="147">
                  <c:v>1224.7924126524251</c:v>
                </c:pt>
                <c:pt idx="148">
                  <c:v>1224.7924126524251</c:v>
                </c:pt>
                <c:pt idx="149">
                  <c:v>1224.7924126524251</c:v>
                </c:pt>
                <c:pt idx="150">
                  <c:v>1224.7924126524251</c:v>
                </c:pt>
                <c:pt idx="151">
                  <c:v>1224.7924126524251</c:v>
                </c:pt>
                <c:pt idx="152">
                  <c:v>1224.7924126524251</c:v>
                </c:pt>
                <c:pt idx="153">
                  <c:v>1224.7924126524251</c:v>
                </c:pt>
                <c:pt idx="154">
                  <c:v>1224.7924126524251</c:v>
                </c:pt>
                <c:pt idx="155">
                  <c:v>1224.7924126524251</c:v>
                </c:pt>
                <c:pt idx="156">
                  <c:v>1224.7924126524251</c:v>
                </c:pt>
                <c:pt idx="157">
                  <c:v>1224.7924126524251</c:v>
                </c:pt>
                <c:pt idx="158">
                  <c:v>1224.7924126524251</c:v>
                </c:pt>
                <c:pt idx="159">
                  <c:v>1224.7924126524251</c:v>
                </c:pt>
                <c:pt idx="160">
                  <c:v>1224.7924126524251</c:v>
                </c:pt>
                <c:pt idx="161">
                  <c:v>1224.7924126524251</c:v>
                </c:pt>
                <c:pt idx="162">
                  <c:v>1224.7924126524251</c:v>
                </c:pt>
                <c:pt idx="163">
                  <c:v>1224.7924126524251</c:v>
                </c:pt>
                <c:pt idx="164">
                  <c:v>1224.7924126524251</c:v>
                </c:pt>
                <c:pt idx="165">
                  <c:v>1224.7924126524251</c:v>
                </c:pt>
                <c:pt idx="166">
                  <c:v>1224.7924126524251</c:v>
                </c:pt>
                <c:pt idx="167">
                  <c:v>1224.7924126524251</c:v>
                </c:pt>
                <c:pt idx="168">
                  <c:v>1224.7924126524251</c:v>
                </c:pt>
                <c:pt idx="169">
                  <c:v>1224.7924126524251</c:v>
                </c:pt>
                <c:pt idx="170">
                  <c:v>1224.7924126524251</c:v>
                </c:pt>
                <c:pt idx="171">
                  <c:v>1224.7924126524251</c:v>
                </c:pt>
                <c:pt idx="172">
                  <c:v>1224.7924126524251</c:v>
                </c:pt>
                <c:pt idx="173">
                  <c:v>1224.7924126524251</c:v>
                </c:pt>
                <c:pt idx="174">
                  <c:v>1224.7924126524251</c:v>
                </c:pt>
                <c:pt idx="175">
                  <c:v>1224.7924126524251</c:v>
                </c:pt>
                <c:pt idx="176">
                  <c:v>1224.7924126524251</c:v>
                </c:pt>
                <c:pt idx="177">
                  <c:v>1224.7924126524251</c:v>
                </c:pt>
                <c:pt idx="178">
                  <c:v>1224.7924126524251</c:v>
                </c:pt>
                <c:pt idx="179">
                  <c:v>1224.7924126524251</c:v>
                </c:pt>
                <c:pt idx="180">
                  <c:v>1224.7924126524251</c:v>
                </c:pt>
                <c:pt idx="181">
                  <c:v>1224.7924126524251</c:v>
                </c:pt>
                <c:pt idx="182">
                  <c:v>1224.7924126524251</c:v>
                </c:pt>
                <c:pt idx="183">
                  <c:v>1224.7924126524251</c:v>
                </c:pt>
                <c:pt idx="184">
                  <c:v>1224.7924126524251</c:v>
                </c:pt>
                <c:pt idx="185">
                  <c:v>1224.7924126524251</c:v>
                </c:pt>
                <c:pt idx="186">
                  <c:v>1224.7924126524251</c:v>
                </c:pt>
                <c:pt idx="187">
                  <c:v>1224.7924126524251</c:v>
                </c:pt>
                <c:pt idx="188">
                  <c:v>1224.7924126524251</c:v>
                </c:pt>
                <c:pt idx="189">
                  <c:v>1224.7924126524251</c:v>
                </c:pt>
                <c:pt idx="190">
                  <c:v>1224.7924126524251</c:v>
                </c:pt>
                <c:pt idx="191">
                  <c:v>1224.7924126524251</c:v>
                </c:pt>
                <c:pt idx="192">
                  <c:v>1224.7924126524251</c:v>
                </c:pt>
                <c:pt idx="193">
                  <c:v>1224.7924126524251</c:v>
                </c:pt>
                <c:pt idx="194">
                  <c:v>1224.7924126524251</c:v>
                </c:pt>
                <c:pt idx="195">
                  <c:v>1224.7924126524251</c:v>
                </c:pt>
                <c:pt idx="196">
                  <c:v>1224.7924126524251</c:v>
                </c:pt>
                <c:pt idx="197">
                  <c:v>1224.7924126524251</c:v>
                </c:pt>
                <c:pt idx="198">
                  <c:v>1224.7924126524251</c:v>
                </c:pt>
                <c:pt idx="199">
                  <c:v>1224.7924126524251</c:v>
                </c:pt>
                <c:pt idx="200">
                  <c:v>1224.7924126524251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1280"/>
        <c:axId val="1927892912"/>
      </c:scatterChart>
      <c:valAx>
        <c:axId val="192789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2912"/>
        <c:crosses val="autoZero"/>
        <c:crossBetween val="midCat"/>
      </c:valAx>
      <c:valAx>
        <c:axId val="19278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1.4414793496856533</c:v>
                </c:pt>
                <c:pt idx="2">
                  <c:v>1.6957472082081553</c:v>
                </c:pt>
                <c:pt idx="3">
                  <c:v>1.9950357923280386</c:v>
                </c:pt>
                <c:pt idx="4">
                  <c:v>2.347344939891443</c:v>
                </c:pt>
                <c:pt idx="5">
                  <c:v>2.7621007590314162</c:v>
                </c:pt>
                <c:pt idx="6">
                  <c:v>3.2504107076792792</c:v>
                </c:pt>
                <c:pt idx="7">
                  <c:v>3.825364424271148</c:v>
                </c:pt>
                <c:pt idx="8">
                  <c:v>4.5023885374392192</c:v>
                </c:pt>
                <c:pt idx="9">
                  <c:v>5.2996651657492606</c:v>
                </c:pt>
                <c:pt idx="10">
                  <c:v>6.2386255698093906</c:v>
                </c:pt>
                <c:pt idx="11">
                  <c:v>7.3445324868481237</c:v>
                </c:pt>
                <c:pt idx="12">
                  <c:v>8.6471671194582758</c:v>
                </c:pt>
                <c:pt idx="13">
                  <c:v>10.181639633343407</c:v>
                </c:pt>
                <c:pt idx="14">
                  <c:v>11.989345423586537</c:v>
                </c:pt>
                <c:pt idx="15">
                  <c:v>14.119093429711674</c:v>
                </c:pt>
                <c:pt idx="16">
                  <c:v>16.628437528309927</c:v>
                </c:pt>
                <c:pt idx="17">
                  <c:v>19.585247640219709</c:v>
                </c:pt>
                <c:pt idx="18">
                  <c:v>23.06956381311781</c:v>
                </c:pt>
                <c:pt idx="19">
                  <c:v>27.175784364159011</c:v>
                </c:pt>
                <c:pt idx="20">
                  <c:v>32.01524840874319</c:v>
                </c:pt>
                <c:pt idx="21">
                  <c:v>37.719284017914553</c:v>
                </c:pt>
                <c:pt idx="22">
                  <c:v>44.442806142411648</c:v>
                </c:pt>
                <c:pt idx="23">
                  <c:v>52.36856367539125</c:v>
                </c:pt>
                <c:pt idx="24">
                  <c:v>61.712153023110119</c:v>
                </c:pt>
                <c:pt idx="25">
                  <c:v>72.727936815402572</c:v>
                </c:pt>
                <c:pt idx="26">
                  <c:v>85.716031509021889</c:v>
                </c:pt>
                <c:pt idx="27">
                  <c:v>101.03055731818506</c:v>
                </c:pt>
                <c:pt idx="28">
                  <c:v>119.08937897700982</c:v>
                </c:pt>
                <c:pt idx="29">
                  <c:v>140.38560727791869</c:v>
                </c:pt>
                <c:pt idx="30">
                  <c:v>165.50118029691697</c:v>
                </c:pt>
                <c:pt idx="31">
                  <c:v>179.46324770768891</c:v>
                </c:pt>
                <c:pt idx="32">
                  <c:v>193.39986918264768</c:v>
                </c:pt>
                <c:pt idx="33">
                  <c:v>207.31313753029789</c:v>
                </c:pt>
                <c:pt idx="34">
                  <c:v>221.20484142256439</c:v>
                </c:pt>
                <c:pt idx="35">
                  <c:v>235.07652633478912</c:v>
                </c:pt>
                <c:pt idx="36">
                  <c:v>248.92954032268176</c:v>
                </c:pt>
                <c:pt idx="37">
                  <c:v>264.64797652661235</c:v>
                </c:pt>
                <c:pt idx="38">
                  <c:v>280.34536622855927</c:v>
                </c:pt>
                <c:pt idx="39">
                  <c:v>296.02305381221748</c:v>
                </c:pt>
                <c:pt idx="40">
                  <c:v>311.68222960474617</c:v>
                </c:pt>
                <c:pt idx="41">
                  <c:v>327.32395454691869</c:v>
                </c:pt>
                <c:pt idx="42">
                  <c:v>342.94917989816827</c:v>
                </c:pt>
                <c:pt idx="43">
                  <c:v>252.35131675211218</c:v>
                </c:pt>
                <c:pt idx="44">
                  <c:v>267.05626602372371</c:v>
                </c:pt>
                <c:pt idx="45">
                  <c:v>281.74297783060115</c:v>
                </c:pt>
                <c:pt idx="46">
                  <c:v>296.41253683272038</c:v>
                </c:pt>
                <c:pt idx="47">
                  <c:v>311.79971216525382</c:v>
                </c:pt>
                <c:pt idx="48">
                  <c:v>327.17004456819859</c:v>
                </c:pt>
                <c:pt idx="49">
                  <c:v>342.52443668489974</c:v>
                </c:pt>
                <c:pt idx="50">
                  <c:v>357.86370362552151</c:v>
                </c:pt>
                <c:pt idx="51">
                  <c:v>271.00781757957418</c:v>
                </c:pt>
                <c:pt idx="52">
                  <c:v>284.99703604060181</c:v>
                </c:pt>
                <c:pt idx="53">
                  <c:v>298.97088730995114</c:v>
                </c:pt>
                <c:pt idx="54">
                  <c:v>312.93019091439282</c:v>
                </c:pt>
                <c:pt idx="55">
                  <c:v>327.52018745167248</c:v>
                </c:pt>
                <c:pt idx="56">
                  <c:v>342.09583790267112</c:v>
                </c:pt>
                <c:pt idx="57">
                  <c:v>356.65783958693765</c:v>
                </c:pt>
                <c:pt idx="58">
                  <c:v>371.20682823289297</c:v>
                </c:pt>
                <c:pt idx="59">
                  <c:v>304.40215515583299</c:v>
                </c:pt>
                <c:pt idx="60">
                  <c:v>317.91708684799181</c:v>
                </c:pt>
                <c:pt idx="61">
                  <c:v>331.4192992390324</c:v>
                </c:pt>
                <c:pt idx="62">
                  <c:v>344.90938358127147</c:v>
                </c:pt>
                <c:pt idx="63">
                  <c:v>358.84484263121522</c:v>
                </c:pt>
                <c:pt idx="64">
                  <c:v>372.76846403909394</c:v>
                </c:pt>
                <c:pt idx="65">
                  <c:v>386.68075224360473</c:v>
                </c:pt>
                <c:pt idx="66">
                  <c:v>400.58217242318642</c:v>
                </c:pt>
                <c:pt idx="67">
                  <c:v>334.41209880970473</c:v>
                </c:pt>
                <c:pt idx="68">
                  <c:v>347.26591633306845</c:v>
                </c:pt>
                <c:pt idx="69">
                  <c:v>360.10929255920752</c:v>
                </c:pt>
                <c:pt idx="70">
                  <c:v>372.94265239708557</c:v>
                </c:pt>
                <c:pt idx="71">
                  <c:v>385.76638912193852</c:v>
                </c:pt>
                <c:pt idx="72">
                  <c:v>398.95593734303293</c:v>
                </c:pt>
                <c:pt idx="73">
                  <c:v>412.13604717632614</c:v>
                </c:pt>
                <c:pt idx="74">
                  <c:v>425.30706298403044</c:v>
                </c:pt>
                <c:pt idx="75">
                  <c:v>438.46930606019009</c:v>
                </c:pt>
                <c:pt idx="76">
                  <c:v>372.61499264956916</c:v>
                </c:pt>
                <c:pt idx="77">
                  <c:v>384.75420898333573</c:v>
                </c:pt>
                <c:pt idx="78">
                  <c:v>396.88510506982516</c:v>
                </c:pt>
                <c:pt idx="79">
                  <c:v>409.00797109065178</c:v>
                </c:pt>
                <c:pt idx="80">
                  <c:v>421.29527664631428</c:v>
                </c:pt>
                <c:pt idx="81">
                  <c:v>433.57486705666861</c:v>
                </c:pt>
                <c:pt idx="82">
                  <c:v>445.84699162716521</c:v>
                </c:pt>
                <c:pt idx="83">
                  <c:v>458.11188481896869</c:v>
                </c:pt>
                <c:pt idx="84">
                  <c:v>390.04451511944882</c:v>
                </c:pt>
                <c:pt idx="85">
                  <c:v>401.28702140444511</c:v>
                </c:pt>
                <c:pt idx="86">
                  <c:v>412.52271368220454</c:v>
                </c:pt>
                <c:pt idx="87">
                  <c:v>423.75180373748623</c:v>
                </c:pt>
                <c:pt idx="88">
                  <c:v>435.06244250402978</c:v>
                </c:pt>
                <c:pt idx="89">
                  <c:v>446.36677082703955</c:v>
                </c:pt>
                <c:pt idx="90">
                  <c:v>457.66497106221027</c:v>
                </c:pt>
                <c:pt idx="91">
                  <c:v>468.95721582652283</c:v>
                </c:pt>
                <c:pt idx="92">
                  <c:v>247.11603156068318</c:v>
                </c:pt>
                <c:pt idx="93">
                  <c:v>254.80165242893929</c:v>
                </c:pt>
                <c:pt idx="94">
                  <c:v>262.48202671510938</c:v>
                </c:pt>
                <c:pt idx="95">
                  <c:v>270.15732976785586</c:v>
                </c:pt>
                <c:pt idx="96">
                  <c:v>277.82772614753247</c:v>
                </c:pt>
                <c:pt idx="97">
                  <c:v>285.3760428508354</c:v>
                </c:pt>
                <c:pt idx="98">
                  <c:v>292.91989121294858</c:v>
                </c:pt>
                <c:pt idx="99">
                  <c:v>300.45940266608233</c:v>
                </c:pt>
                <c:pt idx="100">
                  <c:v>307.99470150100632</c:v>
                </c:pt>
                <c:pt idx="101">
                  <c:v>315.52590542418318</c:v>
                </c:pt>
                <c:pt idx="102">
                  <c:v>2.282709528541206E-12</c:v>
                </c:pt>
                <c:pt idx="103">
                  <c:v>2.282709528541206E-12</c:v>
                </c:pt>
                <c:pt idx="104">
                  <c:v>2.282709528541206E-12</c:v>
                </c:pt>
                <c:pt idx="105">
                  <c:v>2.282709528541206E-12</c:v>
                </c:pt>
                <c:pt idx="106">
                  <c:v>2.282709528541206E-12</c:v>
                </c:pt>
                <c:pt idx="107">
                  <c:v>2.282709528541206E-12</c:v>
                </c:pt>
                <c:pt idx="108">
                  <c:v>2.282709528541206E-12</c:v>
                </c:pt>
                <c:pt idx="109">
                  <c:v>2.282709528541206E-12</c:v>
                </c:pt>
                <c:pt idx="110">
                  <c:v>2.282709528541206E-12</c:v>
                </c:pt>
                <c:pt idx="111">
                  <c:v>2.282709528541206E-12</c:v>
                </c:pt>
                <c:pt idx="112">
                  <c:v>2.282709528541206E-12</c:v>
                </c:pt>
                <c:pt idx="113">
                  <c:v>2.282709528541206E-12</c:v>
                </c:pt>
                <c:pt idx="114">
                  <c:v>2.282709528541206E-12</c:v>
                </c:pt>
                <c:pt idx="115">
                  <c:v>2.282709528541206E-12</c:v>
                </c:pt>
                <c:pt idx="116">
                  <c:v>2.282709528541206E-12</c:v>
                </c:pt>
                <c:pt idx="117">
                  <c:v>2.282709528541206E-12</c:v>
                </c:pt>
                <c:pt idx="118">
                  <c:v>2.282709528541206E-12</c:v>
                </c:pt>
                <c:pt idx="119">
                  <c:v>2.282709528541206E-12</c:v>
                </c:pt>
                <c:pt idx="120">
                  <c:v>2.282709528541206E-12</c:v>
                </c:pt>
                <c:pt idx="121">
                  <c:v>2.282709528541206E-12</c:v>
                </c:pt>
                <c:pt idx="122">
                  <c:v>2.282709528541206E-12</c:v>
                </c:pt>
                <c:pt idx="123">
                  <c:v>2.282709528541206E-12</c:v>
                </c:pt>
                <c:pt idx="124">
                  <c:v>2.282709528541206E-12</c:v>
                </c:pt>
                <c:pt idx="125">
                  <c:v>2.282709528541206E-12</c:v>
                </c:pt>
                <c:pt idx="126">
                  <c:v>2.282709528541206E-12</c:v>
                </c:pt>
                <c:pt idx="127">
                  <c:v>2.282709528541206E-12</c:v>
                </c:pt>
                <c:pt idx="128">
                  <c:v>2.282709528541206E-12</c:v>
                </c:pt>
                <c:pt idx="129">
                  <c:v>2.282709528541206E-12</c:v>
                </c:pt>
                <c:pt idx="130">
                  <c:v>2.282709528541206E-12</c:v>
                </c:pt>
                <c:pt idx="131">
                  <c:v>2.282709528541206E-12</c:v>
                </c:pt>
                <c:pt idx="132">
                  <c:v>2.282709528541206E-12</c:v>
                </c:pt>
                <c:pt idx="133">
                  <c:v>2.282709528541206E-12</c:v>
                </c:pt>
                <c:pt idx="134">
                  <c:v>2.282709528541206E-12</c:v>
                </c:pt>
                <c:pt idx="135">
                  <c:v>2.282709528541206E-12</c:v>
                </c:pt>
                <c:pt idx="136">
                  <c:v>2.282709528541206E-12</c:v>
                </c:pt>
                <c:pt idx="137">
                  <c:v>2.282709528541206E-12</c:v>
                </c:pt>
                <c:pt idx="138">
                  <c:v>2.282709528541206E-12</c:v>
                </c:pt>
                <c:pt idx="139">
                  <c:v>2.282709528541206E-12</c:v>
                </c:pt>
                <c:pt idx="140">
                  <c:v>2.282709528541206E-12</c:v>
                </c:pt>
                <c:pt idx="141">
                  <c:v>2.282709528541206E-12</c:v>
                </c:pt>
                <c:pt idx="142">
                  <c:v>2.282709528541206E-12</c:v>
                </c:pt>
                <c:pt idx="143">
                  <c:v>2.282709528541206E-12</c:v>
                </c:pt>
                <c:pt idx="144">
                  <c:v>2.282709528541206E-12</c:v>
                </c:pt>
                <c:pt idx="145">
                  <c:v>2.282709528541206E-12</c:v>
                </c:pt>
                <c:pt idx="146">
                  <c:v>2.282709528541206E-12</c:v>
                </c:pt>
                <c:pt idx="147">
                  <c:v>2.282709528541206E-12</c:v>
                </c:pt>
                <c:pt idx="148">
                  <c:v>2.282709528541206E-12</c:v>
                </c:pt>
                <c:pt idx="149">
                  <c:v>2.282709528541206E-12</c:v>
                </c:pt>
                <c:pt idx="150">
                  <c:v>2.282709528541206E-12</c:v>
                </c:pt>
                <c:pt idx="151">
                  <c:v>2.282709528541206E-12</c:v>
                </c:pt>
                <c:pt idx="152">
                  <c:v>2.282709528541206E-12</c:v>
                </c:pt>
                <c:pt idx="153">
                  <c:v>2.282709528541206E-12</c:v>
                </c:pt>
                <c:pt idx="154">
                  <c:v>2.282709528541206E-12</c:v>
                </c:pt>
                <c:pt idx="155">
                  <c:v>2.282709528541206E-12</c:v>
                </c:pt>
                <c:pt idx="156">
                  <c:v>2.282709528541206E-12</c:v>
                </c:pt>
                <c:pt idx="157">
                  <c:v>2.282709528541206E-12</c:v>
                </c:pt>
                <c:pt idx="158">
                  <c:v>2.282709528541206E-12</c:v>
                </c:pt>
                <c:pt idx="159">
                  <c:v>2.282709528541206E-12</c:v>
                </c:pt>
                <c:pt idx="160">
                  <c:v>2.282709528541206E-12</c:v>
                </c:pt>
                <c:pt idx="161">
                  <c:v>2.282709528541206E-12</c:v>
                </c:pt>
                <c:pt idx="162">
                  <c:v>2.282709528541206E-12</c:v>
                </c:pt>
                <c:pt idx="163">
                  <c:v>2.282709528541206E-12</c:v>
                </c:pt>
                <c:pt idx="164">
                  <c:v>2.282709528541206E-12</c:v>
                </c:pt>
                <c:pt idx="165">
                  <c:v>2.282709528541206E-12</c:v>
                </c:pt>
                <c:pt idx="166">
                  <c:v>2.282709528541206E-12</c:v>
                </c:pt>
                <c:pt idx="167">
                  <c:v>2.282709528541206E-12</c:v>
                </c:pt>
                <c:pt idx="168">
                  <c:v>2.282709528541206E-12</c:v>
                </c:pt>
                <c:pt idx="169">
                  <c:v>2.282709528541206E-12</c:v>
                </c:pt>
                <c:pt idx="170">
                  <c:v>2.282709528541206E-12</c:v>
                </c:pt>
                <c:pt idx="171">
                  <c:v>2.282709528541206E-12</c:v>
                </c:pt>
                <c:pt idx="172">
                  <c:v>2.282709528541206E-12</c:v>
                </c:pt>
                <c:pt idx="173">
                  <c:v>2.282709528541206E-12</c:v>
                </c:pt>
                <c:pt idx="174">
                  <c:v>2.282709528541206E-12</c:v>
                </c:pt>
                <c:pt idx="175">
                  <c:v>2.282709528541206E-12</c:v>
                </c:pt>
                <c:pt idx="176">
                  <c:v>2.282709528541206E-12</c:v>
                </c:pt>
                <c:pt idx="177">
                  <c:v>2.282709528541206E-12</c:v>
                </c:pt>
                <c:pt idx="178">
                  <c:v>2.282709528541206E-12</c:v>
                </c:pt>
                <c:pt idx="179">
                  <c:v>2.282709528541206E-12</c:v>
                </c:pt>
                <c:pt idx="180">
                  <c:v>2.282709528541206E-12</c:v>
                </c:pt>
                <c:pt idx="181">
                  <c:v>2.282709528541206E-12</c:v>
                </c:pt>
                <c:pt idx="182">
                  <c:v>2.282709528541206E-12</c:v>
                </c:pt>
                <c:pt idx="183">
                  <c:v>2.282709528541206E-12</c:v>
                </c:pt>
                <c:pt idx="184">
                  <c:v>2.282709528541206E-12</c:v>
                </c:pt>
                <c:pt idx="185">
                  <c:v>2.282709528541206E-12</c:v>
                </c:pt>
                <c:pt idx="186">
                  <c:v>2.282709528541206E-12</c:v>
                </c:pt>
                <c:pt idx="187">
                  <c:v>2.282709528541206E-12</c:v>
                </c:pt>
                <c:pt idx="188">
                  <c:v>2.282709528541206E-12</c:v>
                </c:pt>
                <c:pt idx="189">
                  <c:v>2.282709528541206E-12</c:v>
                </c:pt>
                <c:pt idx="190">
                  <c:v>2.282709528541206E-12</c:v>
                </c:pt>
                <c:pt idx="191">
                  <c:v>2.282709528541206E-12</c:v>
                </c:pt>
                <c:pt idx="192">
                  <c:v>2.282709528541206E-12</c:v>
                </c:pt>
                <c:pt idx="193">
                  <c:v>2.282709528541206E-12</c:v>
                </c:pt>
                <c:pt idx="194">
                  <c:v>2.282709528541206E-12</c:v>
                </c:pt>
                <c:pt idx="195">
                  <c:v>2.282709528541206E-12</c:v>
                </c:pt>
                <c:pt idx="196">
                  <c:v>2.282709528541206E-12</c:v>
                </c:pt>
                <c:pt idx="197">
                  <c:v>2.282709528541206E-12</c:v>
                </c:pt>
                <c:pt idx="198">
                  <c:v>2.282709528541206E-12</c:v>
                </c:pt>
                <c:pt idx="199">
                  <c:v>2.282709528541206E-12</c:v>
                </c:pt>
                <c:pt idx="200">
                  <c:v>2.282709528541206E-12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6720"/>
        <c:axId val="1927897264"/>
      </c:scatterChart>
      <c:valAx>
        <c:axId val="192789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7264"/>
        <c:crosses val="autoZero"/>
        <c:crossBetween val="midCat"/>
      </c:valAx>
      <c:valAx>
        <c:axId val="19278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2.3808965943350775</c:v>
                </c:pt>
                <c:pt idx="2">
                  <c:v>2.8304638911002047</c:v>
                </c:pt>
                <c:pt idx="3">
                  <c:v>3.3652355657623452</c:v>
                </c:pt>
                <c:pt idx="4">
                  <c:v>4.0014165674856983</c:v>
                </c:pt>
                <c:pt idx="5">
                  <c:v>4.7583039425111266</c:v>
                </c:pt>
                <c:pt idx="6">
                  <c:v>5.6588786371580904</c:v>
                </c:pt>
                <c:pt idx="7">
                  <c:v>6.730510885177341</c:v>
                </c:pt>
                <c:pt idx="8">
                  <c:v>8.0058010357886271</c:v>
                </c:pt>
                <c:pt idx="9">
                  <c:v>9.5235818943119295</c:v>
                </c:pt>
                <c:pt idx="10">
                  <c:v>11.330113677699131</c:v>
                </c:pt>
                <c:pt idx="11">
                  <c:v>13.480508690297002</c:v>
                </c:pt>
                <c:pt idx="12">
                  <c:v>16.040429989236795</c:v>
                </c:pt>
                <c:pt idx="13">
                  <c:v>19.088116858927716</c:v>
                </c:pt>
                <c:pt idx="14">
                  <c:v>22.716800118875877</c:v>
                </c:pt>
                <c:pt idx="15">
                  <c:v>27.037582469258226</c:v>
                </c:pt>
                <c:pt idx="16">
                  <c:v>32.182873617451598</c:v>
                </c:pt>
                <c:pt idx="17">
                  <c:v>38.310487283562729</c:v>
                </c:pt>
                <c:pt idx="18">
                  <c:v>45.608527900325306</c:v>
                </c:pt>
                <c:pt idx="19">
                  <c:v>54.301219555108467</c:v>
                </c:pt>
                <c:pt idx="20">
                  <c:v>64.655859248643353</c:v>
                </c:pt>
                <c:pt idx="21">
                  <c:v>76.991111797384278</c:v>
                </c:pt>
                <c:pt idx="22">
                  <c:v>91.686905796172638</c:v>
                </c:pt>
                <c:pt idx="23">
                  <c:v>109.19624031334928</c:v>
                </c:pt>
                <c:pt idx="24">
                  <c:v>130.05927199835185</c:v>
                </c:pt>
                <c:pt idx="25">
                  <c:v>154.92012393757065</c:v>
                </c:pt>
                <c:pt idx="26">
                  <c:v>131.46799611812648</c:v>
                </c:pt>
                <c:pt idx="27">
                  <c:v>155.59856479059454</c:v>
                </c:pt>
                <c:pt idx="28">
                  <c:v>179.64007820340893</c:v>
                </c:pt>
                <c:pt idx="29">
                  <c:v>203.60614736350442</c:v>
                </c:pt>
                <c:pt idx="30">
                  <c:v>227.50690659831915</c:v>
                </c:pt>
                <c:pt idx="31">
                  <c:v>208.99762497430493</c:v>
                </c:pt>
                <c:pt idx="32">
                  <c:v>230.86843461387113</c:v>
                </c:pt>
                <c:pt idx="33">
                  <c:v>252.69188827494614</c:v>
                </c:pt>
                <c:pt idx="34">
                  <c:v>274.47265011228387</c:v>
                </c:pt>
                <c:pt idx="35">
                  <c:v>296.21458319381429</c:v>
                </c:pt>
                <c:pt idx="36">
                  <c:v>271.79410793232609</c:v>
                </c:pt>
                <c:pt idx="37">
                  <c:v>292.53776259751834</c:v>
                </c:pt>
                <c:pt idx="38">
                  <c:v>313.24858309709026</c:v>
                </c:pt>
                <c:pt idx="39">
                  <c:v>333.92904467751276</c:v>
                </c:pt>
                <c:pt idx="40">
                  <c:v>354.58129100924572</c:v>
                </c:pt>
                <c:pt idx="41">
                  <c:v>320.25654220272645</c:v>
                </c:pt>
                <c:pt idx="42">
                  <c:v>339.26127825812586</c:v>
                </c:pt>
                <c:pt idx="43">
                  <c:v>358.24259793484339</c:v>
                </c:pt>
                <c:pt idx="44">
                  <c:v>377.20191598007665</c:v>
                </c:pt>
                <c:pt idx="45">
                  <c:v>396.14049335867753</c:v>
                </c:pt>
                <c:pt idx="46">
                  <c:v>361.57034788194915</c:v>
                </c:pt>
                <c:pt idx="47">
                  <c:v>378.53160178526809</c:v>
                </c:pt>
                <c:pt idx="48">
                  <c:v>395.47632010043407</c:v>
                </c:pt>
                <c:pt idx="49">
                  <c:v>412.40531081802777</c:v>
                </c:pt>
                <c:pt idx="50">
                  <c:v>429.31931020102024</c:v>
                </c:pt>
                <c:pt idx="51">
                  <c:v>393.15152299039391</c:v>
                </c:pt>
                <c:pt idx="52">
                  <c:v>406.764014604328</c:v>
                </c:pt>
                <c:pt idx="53">
                  <c:v>420.36666487334452</c:v>
                </c:pt>
                <c:pt idx="54">
                  <c:v>433.95983709455049</c:v>
                </c:pt>
                <c:pt idx="55">
                  <c:v>447.5438699506708</c:v>
                </c:pt>
                <c:pt idx="56">
                  <c:v>410.08262729650642</c:v>
                </c:pt>
                <c:pt idx="57">
                  <c:v>422.35649327036077</c:v>
                </c:pt>
                <c:pt idx="58">
                  <c:v>434.62268223024995</c:v>
                </c:pt>
                <c:pt idx="59">
                  <c:v>446.88144138120293</c:v>
                </c:pt>
                <c:pt idx="60">
                  <c:v>459.1330032591132</c:v>
                </c:pt>
                <c:pt idx="61">
                  <c:v>425.00928400602908</c:v>
                </c:pt>
                <c:pt idx="62">
                  <c:v>435.61690924842759</c:v>
                </c:pt>
                <c:pt idx="63">
                  <c:v>446.21899178570357</c:v>
                </c:pt>
                <c:pt idx="64">
                  <c:v>456.81568190014019</c:v>
                </c:pt>
                <c:pt idx="65">
                  <c:v>467.40712233198559</c:v>
                </c:pt>
                <c:pt idx="66">
                  <c:v>434.29126237791075</c:v>
                </c:pt>
                <c:pt idx="67">
                  <c:v>444.23151648566937</c:v>
                </c:pt>
                <c:pt idx="68">
                  <c:v>454.16700698147952</c:v>
                </c:pt>
                <c:pt idx="69">
                  <c:v>464.09785279227236</c:v>
                </c:pt>
                <c:pt idx="70">
                  <c:v>474.02416733906375</c:v>
                </c:pt>
                <c:pt idx="71">
                  <c:v>449.53102985794334</c:v>
                </c:pt>
                <c:pt idx="72">
                  <c:v>458.13989619719513</c:v>
                </c:pt>
                <c:pt idx="73">
                  <c:v>466.74530850225307</c:v>
                </c:pt>
                <c:pt idx="74">
                  <c:v>475.34733945827821</c:v>
                </c:pt>
                <c:pt idx="75">
                  <c:v>483.94605890429199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853200"/>
        <c:axId val="1934856464"/>
      </c:scatterChart>
      <c:valAx>
        <c:axId val="1934853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6464"/>
        <c:crosses val="autoZero"/>
        <c:crossBetween val="midCat"/>
      </c:valAx>
      <c:valAx>
        <c:axId val="193485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893504"/>
        <c:axId val="1926197264"/>
      </c:scatterChart>
      <c:valAx>
        <c:axId val="164589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6197264"/>
        <c:crosses val="autoZero"/>
        <c:crossBetween val="midCat"/>
      </c:valAx>
      <c:valAx>
        <c:axId val="19261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589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0240"/>
        <c:axId val="27547520"/>
      </c:scatterChart>
      <c:valAx>
        <c:axId val="2755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7520"/>
        <c:crosses val="autoZero"/>
        <c:crossBetween val="midCat"/>
      </c:valAx>
      <c:valAx>
        <c:axId val="275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8272"/>
        <c:axId val="27529024"/>
      </c:scatterChart>
      <c:valAx>
        <c:axId val="2753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9024"/>
        <c:crosses val="autoZero"/>
        <c:crossBetween val="midCat"/>
      </c:valAx>
      <c:valAx>
        <c:axId val="275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6096"/>
        <c:axId val="27554592"/>
      </c:scatterChart>
      <c:valAx>
        <c:axId val="275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4592"/>
        <c:crosses val="autoZero"/>
        <c:crossBetween val="midCat"/>
      </c:valAx>
      <c:valAx>
        <c:axId val="275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42080"/>
        <c:axId val="27548064"/>
      </c:scatterChart>
      <c:valAx>
        <c:axId val="275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8064"/>
        <c:crosses val="autoZero"/>
        <c:crossBetween val="midCat"/>
      </c:valAx>
      <c:valAx>
        <c:axId val="275480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" zoomScale="85" zoomScaleNormal="85" workbookViewId="0">
      <selection activeCell="H14" sqref="H14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4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14</v>
      </c>
      <c r="C9" s="32">
        <v>0.43099999999999999</v>
      </c>
      <c r="D9" s="33">
        <f t="shared" ref="D9:D18" si="0">C9*$C$5</f>
        <v>1.724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35</v>
      </c>
      <c r="C10" s="32">
        <v>0.318</v>
      </c>
      <c r="D10" s="33">
        <f t="shared" si="0"/>
        <v>1.272</v>
      </c>
      <c r="E10" s="34">
        <v>82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164</v>
      </c>
      <c r="C11" s="32">
        <v>0.106</v>
      </c>
      <c r="D11" s="33">
        <f t="shared" si="0"/>
        <v>0.42399999999999999</v>
      </c>
      <c r="E11" s="34">
        <v>101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29</v>
      </c>
      <c r="C12" s="32">
        <v>7.1800000000000003E-2</v>
      </c>
      <c r="D12" s="33">
        <f t="shared" si="0"/>
        <v>0.28720000000000001</v>
      </c>
      <c r="E12" s="34">
        <v>75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0.92679999999999996</v>
      </c>
      <c r="D19" s="38">
        <f>SUM(D9:D18)</f>
        <v>3.7071999999999998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20</v>
      </c>
      <c r="B36" s="60">
        <v>42</v>
      </c>
      <c r="C36" s="60">
        <v>0</v>
      </c>
      <c r="D36" s="60">
        <v>0</v>
      </c>
      <c r="E36" s="51"/>
      <c r="F36" s="51"/>
      <c r="G36" s="51"/>
      <c r="H36" s="51"/>
      <c r="I36" s="49">
        <f>IFERROR(B36/A36,"")</f>
        <v>2.1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25</v>
      </c>
      <c r="B37" s="60">
        <v>70</v>
      </c>
      <c r="C37" s="60">
        <v>1</v>
      </c>
      <c r="D37" s="60">
        <v>8</v>
      </c>
      <c r="E37" s="51"/>
      <c r="F37" s="51"/>
      <c r="G37" s="51">
        <v>0.4</v>
      </c>
      <c r="H37" s="51">
        <v>0.6</v>
      </c>
      <c r="I37" s="53">
        <f t="shared" ref="I37:I55" si="1">IF(A37&lt;&gt;0,(B37-(B36-D36))/(A37-A36),"")</f>
        <v>5.6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30</v>
      </c>
      <c r="B38" s="60">
        <v>97</v>
      </c>
      <c r="C38" s="60">
        <v>2</v>
      </c>
      <c r="D38" s="60">
        <v>21</v>
      </c>
      <c r="E38" s="51"/>
      <c r="F38" s="51"/>
      <c r="G38" s="51">
        <v>0.4</v>
      </c>
      <c r="H38" s="51">
        <v>0.6</v>
      </c>
      <c r="I38" s="53">
        <f t="shared" si="1"/>
        <v>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40</v>
      </c>
      <c r="B39" s="60">
        <v>158</v>
      </c>
      <c r="C39" s="60">
        <v>3</v>
      </c>
      <c r="D39" s="60">
        <v>42</v>
      </c>
      <c r="E39" s="51"/>
      <c r="F39" s="51"/>
      <c r="G39" s="51">
        <v>0.4</v>
      </c>
      <c r="H39" s="51">
        <v>0.6</v>
      </c>
      <c r="I39" s="49">
        <f t="shared" si="1"/>
        <v>8.1999999999999993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50</v>
      </c>
      <c r="B40" s="60">
        <v>199</v>
      </c>
      <c r="C40" s="60">
        <v>4</v>
      </c>
      <c r="D40" s="60">
        <v>42</v>
      </c>
      <c r="E40" s="51"/>
      <c r="F40" s="51"/>
      <c r="G40" s="51"/>
      <c r="H40" s="51"/>
      <c r="I40" s="49">
        <f t="shared" si="1"/>
        <v>8.3000000000000007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60</v>
      </c>
      <c r="B41" s="60">
        <v>235</v>
      </c>
      <c r="C41" s="60">
        <v>5</v>
      </c>
      <c r="D41" s="60">
        <v>42</v>
      </c>
      <c r="E41" s="51"/>
      <c r="F41" s="51"/>
      <c r="G41" s="51"/>
      <c r="H41" s="51"/>
      <c r="I41" s="53">
        <f t="shared" si="1"/>
        <v>7.8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70</v>
      </c>
      <c r="B42" s="60">
        <v>263</v>
      </c>
      <c r="C42" s="60">
        <v>6</v>
      </c>
      <c r="D42" s="60">
        <v>42</v>
      </c>
      <c r="E42" s="51"/>
      <c r="F42" s="51"/>
      <c r="G42" s="51"/>
      <c r="H42" s="51"/>
      <c r="I42" s="53">
        <f t="shared" si="1"/>
        <v>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80</v>
      </c>
      <c r="B43" s="60">
        <v>282</v>
      </c>
      <c r="C43" s="60">
        <v>7</v>
      </c>
      <c r="D43" s="60">
        <v>42</v>
      </c>
      <c r="E43" s="51"/>
      <c r="F43" s="51"/>
      <c r="G43" s="51"/>
      <c r="H43" s="51"/>
      <c r="I43" s="49">
        <f t="shared" si="1"/>
        <v>6.1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90</v>
      </c>
      <c r="B44" s="60">
        <v>296</v>
      </c>
      <c r="C44" s="60">
        <v>8</v>
      </c>
      <c r="D44" s="60">
        <v>42</v>
      </c>
      <c r="E44" s="51"/>
      <c r="F44" s="51"/>
      <c r="G44" s="51"/>
      <c r="H44" s="51"/>
      <c r="I44" s="49">
        <f t="shared" si="1"/>
        <v>5.6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100</v>
      </c>
      <c r="B45" s="60">
        <v>303</v>
      </c>
      <c r="C45" s="60" t="s">
        <v>324</v>
      </c>
      <c r="D45" s="60">
        <v>303</v>
      </c>
      <c r="E45" s="51"/>
      <c r="F45" s="51"/>
      <c r="G45" s="51"/>
      <c r="H45" s="51"/>
      <c r="I45" s="49">
        <f t="shared" si="1"/>
        <v>4.9000000000000004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laricio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22</v>
      </c>
      <c r="B62" s="60">
        <v>123</v>
      </c>
      <c r="C62" s="60">
        <v>1</v>
      </c>
      <c r="D62" s="60">
        <v>16</v>
      </c>
      <c r="E62" s="51"/>
      <c r="F62" s="51"/>
      <c r="G62" s="51">
        <v>1</v>
      </c>
      <c r="H62" s="51"/>
      <c r="I62" s="53">
        <f>IFERROR(B62/A62,"")</f>
        <v>5.5909090909090908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25</v>
      </c>
      <c r="B63" s="60">
        <v>160</v>
      </c>
      <c r="C63" s="60">
        <v>2</v>
      </c>
      <c r="D63" s="60">
        <v>17</v>
      </c>
      <c r="E63" s="51">
        <v>0.5</v>
      </c>
      <c r="F63" s="51"/>
      <c r="G63" s="51">
        <v>0.5</v>
      </c>
      <c r="H63" s="51"/>
      <c r="I63" s="49">
        <f>IF(A63&lt;&gt;0,(B63-(B62-D62))/(A63-A62),"")</f>
        <v>17.666666666666668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30</v>
      </c>
      <c r="B64" s="60">
        <v>227</v>
      </c>
      <c r="C64" s="60">
        <v>3</v>
      </c>
      <c r="D64" s="60">
        <v>34</v>
      </c>
      <c r="E64" s="51">
        <v>0.5</v>
      </c>
      <c r="F64" s="51"/>
      <c r="G64" s="51">
        <v>0.5</v>
      </c>
      <c r="H64" s="51"/>
      <c r="I64" s="49">
        <f>IF(A64&lt;&gt;0,(B64-(B63-D63))/(A64-A63),"")</f>
        <v>16.8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35</v>
      </c>
      <c r="B65" s="60">
        <v>300</v>
      </c>
      <c r="C65" s="60">
        <v>4</v>
      </c>
      <c r="D65" s="60">
        <v>41</v>
      </c>
      <c r="E65" s="51">
        <v>0.6</v>
      </c>
      <c r="F65" s="51"/>
      <c r="G65" s="51">
        <v>0.4</v>
      </c>
      <c r="H65" s="51"/>
      <c r="I65" s="49">
        <f>IF(A65&lt;&gt;0,(B65-(B64-D64))/(A65-A64),"")</f>
        <v>21.4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40</v>
      </c>
      <c r="B66" s="60">
        <v>372</v>
      </c>
      <c r="C66" s="60">
        <v>5</v>
      </c>
      <c r="D66" s="60">
        <v>41</v>
      </c>
      <c r="E66" s="51">
        <v>0.9</v>
      </c>
      <c r="F66" s="51"/>
      <c r="G66" s="51">
        <v>0.1</v>
      </c>
      <c r="H66" s="51"/>
      <c r="I66" s="49">
        <f t="shared" ref="I66:I81" si="2">IF(A66&lt;&gt;0,(B66-(B65-D65))/(A66-A65),"")</f>
        <v>22.6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45</v>
      </c>
      <c r="B67" s="60">
        <v>455</v>
      </c>
      <c r="C67" s="60">
        <v>6</v>
      </c>
      <c r="D67" s="60">
        <v>53</v>
      </c>
      <c r="E67" s="51"/>
      <c r="F67" s="51"/>
      <c r="G67" s="51"/>
      <c r="H67" s="51"/>
      <c r="I67" s="49">
        <f t="shared" si="2"/>
        <v>24.8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50</v>
      </c>
      <c r="B68" s="60">
        <v>542</v>
      </c>
      <c r="C68" s="60">
        <v>7</v>
      </c>
      <c r="D68" s="60">
        <v>53</v>
      </c>
      <c r="E68" s="51"/>
      <c r="F68" s="51"/>
      <c r="G68" s="51"/>
      <c r="H68" s="51"/>
      <c r="I68" s="49">
        <f t="shared" si="2"/>
        <v>28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58</v>
      </c>
      <c r="B69" s="50">
        <v>683</v>
      </c>
      <c r="C69" s="50">
        <v>8</v>
      </c>
      <c r="D69" s="50">
        <v>78</v>
      </c>
      <c r="E69" s="51"/>
      <c r="F69" s="51"/>
      <c r="G69" s="51"/>
      <c r="H69" s="51"/>
      <c r="I69" s="49">
        <f t="shared" si="2"/>
        <v>24.25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66</v>
      </c>
      <c r="B70" s="50">
        <v>816</v>
      </c>
      <c r="C70" s="50">
        <v>9</v>
      </c>
      <c r="D70" s="50">
        <v>65</v>
      </c>
      <c r="E70" s="51"/>
      <c r="F70" s="51"/>
      <c r="G70" s="51"/>
      <c r="H70" s="51"/>
      <c r="I70" s="49">
        <f t="shared" si="2"/>
        <v>26.375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74</v>
      </c>
      <c r="B71" s="50">
        <v>919</v>
      </c>
      <c r="C71" s="50">
        <v>10</v>
      </c>
      <c r="D71" s="50">
        <v>37</v>
      </c>
      <c r="E71" s="51"/>
      <c r="F71" s="51"/>
      <c r="G71" s="51"/>
      <c r="H71" s="51"/>
      <c r="I71" s="49">
        <f t="shared" si="2"/>
        <v>21</v>
      </c>
      <c r="N71" s="23">
        <f>4.6*4</f>
        <v>18.399999999999999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82</v>
      </c>
      <c r="B72" s="50">
        <v>990</v>
      </c>
      <c r="C72" s="50" t="s">
        <v>324</v>
      </c>
      <c r="D72" s="50">
        <v>26</v>
      </c>
      <c r="E72" s="51"/>
      <c r="F72" s="51"/>
      <c r="G72" s="51"/>
      <c r="H72" s="51"/>
      <c r="I72" s="49">
        <f t="shared" si="2"/>
        <v>13.5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Cèdre de l'Atlas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30</v>
      </c>
      <c r="B88" s="60">
        <v>158.73846153846154</v>
      </c>
      <c r="C88" s="60">
        <v>0</v>
      </c>
      <c r="D88" s="60">
        <v>0</v>
      </c>
      <c r="E88" s="51"/>
      <c r="F88" s="51"/>
      <c r="G88" s="51"/>
      <c r="H88" s="87"/>
      <c r="I88" s="53">
        <f>IFERROR(B88/A88,"")</f>
        <v>5.2912820512820513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36</v>
      </c>
      <c r="B89" s="60">
        <v>241.26153846153844</v>
      </c>
      <c r="C89" s="60">
        <v>0</v>
      </c>
      <c r="D89" s="60">
        <v>0</v>
      </c>
      <c r="E89" s="51"/>
      <c r="F89" s="51"/>
      <c r="G89" s="51"/>
      <c r="H89" s="87"/>
      <c r="I89" s="53">
        <f t="shared" ref="I89:I98" si="3">IF(A89&lt;&gt;0,(B89-(B88-D88))/(A89-A88),"")</f>
        <v>13.753846153846149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42</v>
      </c>
      <c r="B90" s="60">
        <v>335.02307692307687</v>
      </c>
      <c r="C90" s="60">
        <v>1</v>
      </c>
      <c r="D90" s="60">
        <v>104.98461538461537</v>
      </c>
      <c r="E90" s="87"/>
      <c r="F90" s="87"/>
      <c r="G90" s="87"/>
      <c r="H90" s="87"/>
      <c r="I90" s="53">
        <f t="shared" si="3"/>
        <v>15.626923076923072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46</v>
      </c>
      <c r="B91" s="60">
        <v>288.53076923076918</v>
      </c>
      <c r="C91" s="60">
        <v>0</v>
      </c>
      <c r="D91" s="60">
        <v>0</v>
      </c>
      <c r="E91" s="87"/>
      <c r="F91" s="87"/>
      <c r="G91" s="87"/>
      <c r="H91" s="87"/>
      <c r="I91" s="53">
        <f t="shared" si="3"/>
        <v>14.623076923076923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50</v>
      </c>
      <c r="B92" s="60">
        <v>349.95384615384614</v>
      </c>
      <c r="C92" s="60">
        <v>2</v>
      </c>
      <c r="D92" s="60">
        <v>100.66923076923077</v>
      </c>
      <c r="E92" s="87"/>
      <c r="F92" s="87"/>
      <c r="G92" s="87"/>
      <c r="H92" s="87"/>
      <c r="I92" s="53">
        <f t="shared" si="3"/>
        <v>15.355769230769241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54</v>
      </c>
      <c r="B93" s="60">
        <v>305.01538461538462</v>
      </c>
      <c r="C93" s="60">
        <v>0</v>
      </c>
      <c r="D93" s="60">
        <v>0</v>
      </c>
      <c r="E93" s="87"/>
      <c r="F93" s="87"/>
      <c r="G93" s="87"/>
      <c r="H93" s="87"/>
      <c r="I93" s="53">
        <f t="shared" si="3"/>
        <v>13.932692307692307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58</v>
      </c>
      <c r="B94" s="60">
        <v>363.32307692307688</v>
      </c>
      <c r="C94" s="60">
        <v>3</v>
      </c>
      <c r="D94" s="60">
        <v>80.315384615384616</v>
      </c>
      <c r="E94" s="87"/>
      <c r="F94" s="87"/>
      <c r="G94" s="87"/>
      <c r="H94" s="87"/>
      <c r="I94" s="53">
        <f t="shared" si="3"/>
        <v>14.576923076923066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62</v>
      </c>
      <c r="B95" s="60">
        <v>336.98461538461538</v>
      </c>
      <c r="C95" s="60">
        <v>0</v>
      </c>
      <c r="D95" s="60">
        <v>0</v>
      </c>
      <c r="E95" s="87"/>
      <c r="F95" s="87"/>
      <c r="G95" s="87"/>
      <c r="H95" s="87"/>
      <c r="I95" s="53">
        <f t="shared" si="3"/>
        <v>13.494230769230782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66</v>
      </c>
      <c r="B96" s="60">
        <v>392.7923076923077</v>
      </c>
      <c r="C96" s="60">
        <v>4</v>
      </c>
      <c r="D96" s="60">
        <v>79.169230769230765</v>
      </c>
      <c r="E96" s="87"/>
      <c r="F96" s="87"/>
      <c r="G96" s="87"/>
      <c r="H96" s="87"/>
      <c r="I96" s="53">
        <f t="shared" si="3"/>
        <v>13.95192307692308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71</v>
      </c>
      <c r="B97" s="60">
        <v>377.92307692307691</v>
      </c>
      <c r="C97" s="60">
        <v>0</v>
      </c>
      <c r="D97" s="60">
        <v>0</v>
      </c>
      <c r="E97" s="87"/>
      <c r="F97" s="87"/>
      <c r="G97" s="87"/>
      <c r="H97" s="87"/>
      <c r="I97" s="53">
        <f t="shared" si="3"/>
        <v>12.859999999999991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75</v>
      </c>
      <c r="B98" s="60">
        <v>430.86923076923074</v>
      </c>
      <c r="C98" s="60">
        <v>5</v>
      </c>
      <c r="D98" s="60">
        <v>78.307692307692307</v>
      </c>
      <c r="E98" s="87"/>
      <c r="F98" s="87"/>
      <c r="G98" s="87"/>
      <c r="H98" s="87"/>
      <c r="I98" s="53">
        <f t="shared" si="3"/>
        <v>13.236538461538458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79</v>
      </c>
      <c r="B99" s="60">
        <v>401.25384615384615</v>
      </c>
      <c r="C99" s="60">
        <v>0</v>
      </c>
      <c r="D99" s="60">
        <v>0</v>
      </c>
      <c r="E99" s="87"/>
      <c r="F99" s="87"/>
      <c r="G99" s="87"/>
      <c r="H99" s="87"/>
      <c r="I99" s="53">
        <f t="shared" ref="I99:I107" si="4">IF(A99&lt;&gt;0,(B99-(B98-D98))/(A99-A98),"")</f>
        <v>12.173076923076934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83</v>
      </c>
      <c r="B100" s="60">
        <v>450.63846153846157</v>
      </c>
      <c r="C100" s="60">
        <v>6</v>
      </c>
      <c r="D100" s="60">
        <v>79.707692307692312</v>
      </c>
      <c r="E100" s="65"/>
      <c r="F100" s="65"/>
      <c r="G100" s="65"/>
      <c r="H100" s="65"/>
      <c r="I100" s="53">
        <f t="shared" si="4"/>
        <v>12.346153846153854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87</v>
      </c>
      <c r="B101" s="60">
        <v>416.06923076923073</v>
      </c>
      <c r="C101" s="60">
        <v>0</v>
      </c>
      <c r="D101" s="60">
        <v>0</v>
      </c>
      <c r="E101" s="65"/>
      <c r="F101" s="65"/>
      <c r="G101" s="65"/>
      <c r="H101" s="65"/>
      <c r="I101" s="53">
        <f t="shared" si="4"/>
        <v>11.284615384615364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91</v>
      </c>
      <c r="B102" s="50">
        <v>461.56153846153842</v>
      </c>
      <c r="C102" s="60">
        <v>7</v>
      </c>
      <c r="D102" s="50">
        <v>229.73846153846154</v>
      </c>
      <c r="E102" s="54"/>
      <c r="F102" s="54"/>
      <c r="G102" s="54"/>
      <c r="H102" s="54"/>
      <c r="I102" s="53">
        <f t="shared" si="4"/>
        <v>11.373076923076923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>
        <v>96</v>
      </c>
      <c r="B103" s="50">
        <v>270.00769230769231</v>
      </c>
      <c r="C103" s="60">
        <v>0</v>
      </c>
      <c r="D103" s="50">
        <v>0</v>
      </c>
      <c r="E103" s="54"/>
      <c r="F103" s="54"/>
      <c r="G103" s="54"/>
      <c r="H103" s="54"/>
      <c r="I103" s="53">
        <f t="shared" si="4"/>
        <v>7.6369230769230851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>
        <v>101</v>
      </c>
      <c r="B104" s="50">
        <v>307.60769230769228</v>
      </c>
      <c r="C104" s="60">
        <v>8</v>
      </c>
      <c r="D104" s="50">
        <v>307.60769230769228</v>
      </c>
      <c r="E104" s="54"/>
      <c r="F104" s="54"/>
      <c r="G104" s="54"/>
      <c r="H104" s="54"/>
      <c r="I104" s="53">
        <f t="shared" si="4"/>
        <v>7.5199999999999934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Merisier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25</v>
      </c>
      <c r="B114" s="60">
        <v>89</v>
      </c>
      <c r="C114" s="50">
        <v>1</v>
      </c>
      <c r="D114" s="60">
        <v>28</v>
      </c>
      <c r="E114" s="51"/>
      <c r="F114" s="51"/>
      <c r="G114" s="51"/>
      <c r="H114" s="51"/>
      <c r="I114" s="53">
        <f>IFERROR(B114/A114,"")</f>
        <v>3.56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30</v>
      </c>
      <c r="B115" s="60">
        <v>132</v>
      </c>
      <c r="C115" s="50">
        <v>2</v>
      </c>
      <c r="D115" s="60">
        <v>24</v>
      </c>
      <c r="E115" s="51"/>
      <c r="F115" s="51"/>
      <c r="G115" s="51"/>
      <c r="H115" s="51"/>
      <c r="I115" s="53">
        <f t="shared" ref="I115:I133" si="5">IF(A115&lt;&gt;0,(B115-(B114-D114))/(A115-A114),"")</f>
        <v>14.2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35</v>
      </c>
      <c r="B116" s="60">
        <v>173</v>
      </c>
      <c r="C116" s="50">
        <v>3</v>
      </c>
      <c r="D116" s="60">
        <v>27</v>
      </c>
      <c r="E116" s="51"/>
      <c r="F116" s="51"/>
      <c r="G116" s="51"/>
      <c r="H116" s="51"/>
      <c r="I116" s="53">
        <f t="shared" si="5"/>
        <v>13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40</v>
      </c>
      <c r="B117" s="60">
        <v>208</v>
      </c>
      <c r="C117" s="50">
        <v>4</v>
      </c>
      <c r="D117" s="60">
        <v>32</v>
      </c>
      <c r="E117" s="51"/>
      <c r="F117" s="51"/>
      <c r="G117" s="51"/>
      <c r="H117" s="51"/>
      <c r="I117" s="53">
        <f t="shared" si="5"/>
        <v>12.4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45</v>
      </c>
      <c r="B118" s="60">
        <v>233</v>
      </c>
      <c r="C118" s="50">
        <v>5</v>
      </c>
      <c r="D118" s="60">
        <v>31</v>
      </c>
      <c r="E118" s="51"/>
      <c r="F118" s="51"/>
      <c r="G118" s="51"/>
      <c r="H118" s="51"/>
      <c r="I118" s="53">
        <f t="shared" si="5"/>
        <v>11.4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50</v>
      </c>
      <c r="B119" s="60">
        <v>253</v>
      </c>
      <c r="C119" s="50">
        <v>6</v>
      </c>
      <c r="D119" s="60">
        <v>30</v>
      </c>
      <c r="E119" s="51"/>
      <c r="F119" s="51"/>
      <c r="G119" s="51"/>
      <c r="H119" s="51"/>
      <c r="I119" s="53">
        <f t="shared" si="5"/>
        <v>10.199999999999999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55</v>
      </c>
      <c r="B120" s="60">
        <v>264</v>
      </c>
      <c r="C120" s="60">
        <v>7</v>
      </c>
      <c r="D120" s="60">
        <v>30</v>
      </c>
      <c r="E120" s="87"/>
      <c r="F120" s="87"/>
      <c r="G120" s="87"/>
      <c r="H120" s="87"/>
      <c r="I120" s="53">
        <f t="shared" si="5"/>
        <v>8.1999999999999993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60</v>
      </c>
      <c r="B121" s="60">
        <v>271</v>
      </c>
      <c r="C121" s="60">
        <v>8</v>
      </c>
      <c r="D121" s="60">
        <v>27</v>
      </c>
      <c r="E121" s="87"/>
      <c r="F121" s="87"/>
      <c r="G121" s="87"/>
      <c r="H121" s="87"/>
      <c r="I121" s="53">
        <f t="shared" si="5"/>
        <v>7.4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65</v>
      </c>
      <c r="B122" s="60">
        <v>276</v>
      </c>
      <c r="C122" s="60">
        <v>9</v>
      </c>
      <c r="D122" s="60">
        <v>26</v>
      </c>
      <c r="E122" s="87"/>
      <c r="F122" s="87"/>
      <c r="G122" s="87"/>
      <c r="H122" s="87"/>
      <c r="I122" s="53">
        <f t="shared" si="5"/>
        <v>6.4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70</v>
      </c>
      <c r="B123" s="60">
        <v>280</v>
      </c>
      <c r="C123" s="60">
        <v>10</v>
      </c>
      <c r="D123" s="60">
        <v>20</v>
      </c>
      <c r="E123" s="87"/>
      <c r="F123" s="87"/>
      <c r="G123" s="87"/>
      <c r="H123" s="87"/>
      <c r="I123" s="53">
        <f t="shared" si="5"/>
        <v>6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75</v>
      </c>
      <c r="B124" s="60">
        <v>286</v>
      </c>
      <c r="C124" s="60" t="s">
        <v>324</v>
      </c>
      <c r="D124" s="60">
        <v>561</v>
      </c>
      <c r="E124" s="87"/>
      <c r="F124" s="87"/>
      <c r="G124" s="87"/>
      <c r="H124" s="87"/>
      <c r="I124" s="53">
        <f t="shared" si="5"/>
        <v>5.2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6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6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6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6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6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6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7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7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7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7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7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7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8" sqref="G2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laricio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Cèdre de l'Atlas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Merisier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346.35147716792028</v>
      </c>
      <c r="T3" s="59">
        <f>IF('Données projet'!E9&gt;30,$R$33-$H$33,LOOKUP('Données projet'!$E$9,$A$3:$A$203,R3:R203)-LOOKUP('Données projet'!$E$9,$A$3:$A$203,$H$3:$H$203))</f>
        <v>231.36959598460686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559.94918407141222</v>
      </c>
      <c r="AO3" s="59">
        <f>IF('Données projet'!E10&gt;30,$AM$33-$H$33,LOOKUP('Données projet'!$E$10,$A$3:$A$203,AM3:AM203)-LOOKUP('Données projet'!$E$10,$A$3:$A$203,$H$3:$H$203))</f>
        <v>334.6078891555664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276.78862011733338</v>
      </c>
      <c r="BJ3" s="59">
        <f>IF('Données projet'!E11&gt;30,$BH$33-$H$33,LOOKUP('Données projet'!$E$11,$A$3:$A$203,BH3:BH203)-LOOKUP('Données projet'!$E$11,$A$3:$A$203,$H$3:$H$203))</f>
        <v>202.1678469635836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286.5685205631126</v>
      </c>
      <c r="CE3" s="59">
        <f>IF('Données projet'!E12&gt;30,$CC$33-$H$33,LOOKUP('Données projet'!$E$12,$A$3:$A$203,CC3:CC203)-LOOKUP('Données projet'!$E$12,$A$3:$A$203,$H$3:$H$203))</f>
        <v>264.17357326498581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2.1</v>
      </c>
      <c r="N4" s="13">
        <f>IF('Données projet'!$A$36&gt;35,N3+M4-V3,IF(A4&lt;'Données projet'!$A$36,$K$205^A4,IF(A4='Données projet'!$A$36,'Données projet'!$B$36,N3+M4-V3)))</f>
        <v>1.2054868146447177</v>
      </c>
      <c r="O4" s="13">
        <f>N4*VLOOKUP('Données projet'!$B$9,Paramètres!$A$1:$I$89,3,0)*VLOOKUP('Données projet'!$B$9,Paramètres!$A$1:$I$89,5,0)</f>
        <v>1.0907244698905405</v>
      </c>
      <c r="P4" s="13">
        <f>EXP(-1.0587+0.8836*LN(O4)+0.284)</f>
        <v>0.49759623852608204</v>
      </c>
      <c r="Q4" s="20">
        <f t="shared" ref="Q4:Q34" si="2">(O4+P4)*0.475*44/12</f>
        <v>2.7663252338256172</v>
      </c>
      <c r="R4" s="59">
        <f t="shared" si="0"/>
        <v>260.65521412271448</v>
      </c>
      <c r="S4" s="59">
        <f ca="1">AVERAGE(OFFSET($R$3,0,0,'Données projet'!$E$9+1,1))-AVERAGE(OFFSET($H$3,0,0,'Données projet'!$E$9+1,1))</f>
        <v>346.35147716792028</v>
      </c>
      <c r="T4" s="59">
        <f>$T$3</f>
        <v>231.36959598460686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5.5909090909090908</v>
      </c>
      <c r="AI4" s="13">
        <f>IF('Données projet'!$A$62&gt;35,AI3+AH4-AQ3,IF(A4&lt;'Données projet'!$A$62,$AF$205^A4,IF(A4='Données projet'!$A$62,'Données projet'!$B$62,AI3+AH4-AQ3)))</f>
        <v>1.244502252163008</v>
      </c>
      <c r="AJ4" s="13">
        <f>AI4*VLOOKUP('Données projet'!$B$10,Paramètres!$A$1:$I$89,3,0)*VLOOKUP('Données projet'!$B$10,Paramètres!$A$1:$I$89,5,0)</f>
        <v>0.74421234679347892</v>
      </c>
      <c r="AK4" s="13">
        <f>EXP(-1.0587+0.8836*LN(AJ4)+0.284)</f>
        <v>0.3549632728022305</v>
      </c>
      <c r="AL4" s="20">
        <f t="shared" ref="AL4:AL67" si="4">(AJ4+AK4)*0.475*44/12</f>
        <v>1.9143975374625271</v>
      </c>
      <c r="AM4" s="59">
        <f t="shared" ref="AM4:AM67" si="5">AL4+(AD4+AE4)*44/12</f>
        <v>259.80328642635141</v>
      </c>
      <c r="AN4" s="59">
        <f ca="1">AVERAGE(OFFSET($AM$3,0,0,'Données projet'!$E$10+1,1))-AVERAGE(OFFSET($H$3,0,0,'Données projet'!$E$10+1,1))</f>
        <v>559.94918407141222</v>
      </c>
      <c r="AO4" s="59">
        <f>$AO$3</f>
        <v>334.6078891555664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5.2912820512820513</v>
      </c>
      <c r="BD4" s="12">
        <f>IF('Données projet'!$A$88&gt;35,BD3+BC4-BL3,IF(A4&lt;'Données projet'!$A$88,$BA$205^A4,IF(A4='Données projet'!$A$88,'Données projet'!$B$88,BD3+BC4-BL3)))</f>
        <v>1.1840119133911551</v>
      </c>
      <c r="BE4" s="13">
        <f>BD4*VLOOKUP('Données projet'!$B$11,Paramètres!$A$1:$I$89,3,0)*VLOOKUP('Données projet'!$B$11,Paramètres!$A$1:$I$89,5,0)</f>
        <v>0.55411757546706064</v>
      </c>
      <c r="BF4" s="13">
        <f>EXP(-1.0587+0.8836*LN(BE4)+0.284)</f>
        <v>0.27352607028546766</v>
      </c>
      <c r="BG4" s="20">
        <f t="shared" ref="BG4:BG67" si="7">(BE4+BF4)*0.475*44/12</f>
        <v>1.4414793496856533</v>
      </c>
      <c r="BH4" s="59">
        <f t="shared" ref="BH4:BH67" si="8">BG4+(AY4+AZ4)*44/12</f>
        <v>259.33036823857452</v>
      </c>
      <c r="BI4" s="59">
        <f ca="1">AVERAGE(OFFSET($BH$3,0,0,'Données projet'!$E$11+1,1))-AVERAGE(OFFSET($H$3,0,0,'Données projet'!$E$11+1,1))</f>
        <v>276.78862011733338</v>
      </c>
      <c r="BJ4" s="59">
        <f>$BJ$3</f>
        <v>202.1678469635836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3.56</v>
      </c>
      <c r="BY4" s="12">
        <f>IF('Données projet'!$A$114&gt;35,BY3+BX4-CG3,IF(A4&lt;'Données projet'!$A$114,$BV$205^A4,IF(A4='Données projet'!$A$114,'Données projet'!$B$114,BY3+BX4-CG3)))</f>
        <v>1.1966732973638288</v>
      </c>
      <c r="BZ4" s="13">
        <f>BY4*VLOOKUP('Données projet'!$B$12,Paramètres!$A$1:$I$89,3,0)*VLOOKUP('Données projet'!$B$12,Paramètres!$A$1:$I$89,5,0)</f>
        <v>0.93340517194378647</v>
      </c>
      <c r="CA4" s="13">
        <f>EXP(-1.0587+0.8836*LN(BZ4)+0.284)</f>
        <v>0.43361679609549247</v>
      </c>
      <c r="CB4" s="20">
        <f t="shared" ref="CB4:CB67" si="10">(BZ4+CA4)*0.475*44/12</f>
        <v>2.3808965943350775</v>
      </c>
      <c r="CC4" s="59">
        <f t="shared" ref="CC4:CC67" si="11">CB4+(BT4+BU4)*44/12</f>
        <v>260.26978548322393</v>
      </c>
      <c r="CD4" s="59">
        <f ca="1">AVERAGE(OFFSET($CC$3,0,0,'Données projet'!$E$12+1,1))-AVERAGE(OFFSET($H$3,0,0,'Données projet'!$E$12+1,1))</f>
        <v>286.5685205631126</v>
      </c>
      <c r="CE4" s="59">
        <f>$CE$3</f>
        <v>264.17357326498581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2.1</v>
      </c>
      <c r="N5" s="13">
        <f>IF('Données projet'!$A$36&gt;35,N4+M5-V4,IF(A5&lt;'Données projet'!$A$36,$K$205^A5,IF(A5='Données projet'!$A$36,'Données projet'!$B$36,N4+M5-V4)))</f>
        <v>1.4531984602822681</v>
      </c>
      <c r="O5" s="13">
        <f>N5*VLOOKUP('Données projet'!$B$9,Paramètres!$A$1:$I$89,3,0)*VLOOKUP('Données projet'!$B$9,Paramètres!$A$1:$I$89,5,0)</f>
        <v>1.3148539668633961</v>
      </c>
      <c r="P5" s="13">
        <f t="shared" ref="P5:P68" si="33">EXP(-1.0587+0.8836*LN(O5)+0.284)</f>
        <v>0.58693801963664449</v>
      </c>
      <c r="Q5" s="20">
        <f t="shared" si="2"/>
        <v>3.3122877098209038</v>
      </c>
      <c r="R5" s="59">
        <f t="shared" si="0"/>
        <v>262.42339882093205</v>
      </c>
      <c r="S5" s="59">
        <f ca="1">AVERAGE(OFFSET($R$3,0,0,'Données projet'!$E$9+1,1))-AVERAGE(OFFSET($H$3,0,0,'Données projet'!$E$9+1,1))</f>
        <v>346.35147716792028</v>
      </c>
      <c r="T5" s="59">
        <f t="shared" ref="T5:T68" si="34">$T$3</f>
        <v>231.36959598460686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5.5909090909090908</v>
      </c>
      <c r="AI5" s="13">
        <f>IF('Données projet'!$A$62&gt;35,AI4+AH5-AQ4,IF(A5&lt;'Données projet'!$A$62,$AF$205^A5,IF(A5='Données projet'!$A$62,'Données projet'!$B$62,AI4+AH5-AQ4)))</f>
        <v>1.5487858556387992</v>
      </c>
      <c r="AJ5" s="13">
        <f>AI5*VLOOKUP('Données projet'!$B$10,Paramètres!$A$1:$I$89,3,0)*VLOOKUP('Données projet'!$B$10,Paramètres!$A$1:$I$89,5,0)</f>
        <v>0.92617394167200195</v>
      </c>
      <c r="AK5" s="13">
        <f t="shared" ref="AK5:AK68" si="35">EXP(-1.0587+0.8836*LN(AJ5)+0.284)</f>
        <v>0.43064718121421069</v>
      </c>
      <c r="AL5" s="20">
        <f t="shared" si="4"/>
        <v>2.3631301223601535</v>
      </c>
      <c r="AM5" s="59">
        <f t="shared" si="5"/>
        <v>261.47424123347128</v>
      </c>
      <c r="AN5" s="59">
        <f ca="1">AVERAGE(OFFSET($AM$3,0,0,'Données projet'!$E$10+1,1))-AVERAGE(OFFSET($H$3,0,0,'Données projet'!$E$10+1,1))</f>
        <v>559.94918407141222</v>
      </c>
      <c r="AO5" s="59">
        <f t="shared" ref="AO5:AO68" si="36">$AO$3</f>
        <v>334.6078891555664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5.2912820512820513</v>
      </c>
      <c r="BD5" s="12">
        <f>IF('Données projet'!$A$88&gt;35,BD4+BC5-BL4,IF(A5&lt;'Données projet'!$A$88,$BA$205^A5,IF(A5='Données projet'!$A$88,'Données projet'!$B$88,BD4+BC5-BL4)))</f>
        <v>1.4018842110521841</v>
      </c>
      <c r="BE5" s="13">
        <f>BD5*VLOOKUP('Données projet'!$B$11,Paramètres!$A$1:$I$89,3,0)*VLOOKUP('Données projet'!$B$11,Paramètres!$A$1:$I$89,5,0)</f>
        <v>0.65608181077242211</v>
      </c>
      <c r="BF5" s="13">
        <f t="shared" ref="BF5:BF68" si="37">EXP(-1.0587+0.8836*LN(BE5)+0.284)</f>
        <v>0.31755294992125549</v>
      </c>
      <c r="BG5" s="20">
        <f t="shared" si="7"/>
        <v>1.6957472082081553</v>
      </c>
      <c r="BH5" s="59">
        <f t="shared" si="8"/>
        <v>260.8068583193193</v>
      </c>
      <c r="BI5" s="59">
        <f ca="1">AVERAGE(OFFSET($BH$3,0,0,'Données projet'!$E$11+1,1))-AVERAGE(OFFSET($H$3,0,0,'Données projet'!$E$11+1,1))</f>
        <v>276.78862011733338</v>
      </c>
      <c r="BJ5" s="59">
        <f t="shared" ref="BJ5:BJ68" si="38">$BJ$3</f>
        <v>202.1678469635836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3.56</v>
      </c>
      <c r="BY5" s="12">
        <f>IF('Données projet'!$A$114&gt;35,BY4+BX5-CG4,IF(A5&lt;'Données projet'!$A$114,$BV$205^A5,IF(A5='Données projet'!$A$114,'Données projet'!$B$114,BY4+BX5-CG4)))</f>
        <v>1.4320269806236186</v>
      </c>
      <c r="BZ5" s="13">
        <f>BY5*VLOOKUP('Données projet'!$B$12,Paramètres!$A$1:$I$89,3,0)*VLOOKUP('Données projet'!$B$12,Paramètres!$A$1:$I$89,5,0)</f>
        <v>1.1169810448864226</v>
      </c>
      <c r="CA5" s="13">
        <f t="shared" ref="CA5:CA68" si="39">EXP(-1.0587+0.8836*LN(BZ5)+0.284)</f>
        <v>0.50816568684575236</v>
      </c>
      <c r="CB5" s="20">
        <f t="shared" si="10"/>
        <v>2.8304638911002047</v>
      </c>
      <c r="CC5" s="59">
        <f t="shared" si="11"/>
        <v>261.94157500221132</v>
      </c>
      <c r="CD5" s="59">
        <f ca="1">AVERAGE(OFFSET($CC$3,0,0,'Données projet'!$E$12+1,1))-AVERAGE(OFFSET($H$3,0,0,'Données projet'!$E$12+1,1))</f>
        <v>286.5685205631126</v>
      </c>
      <c r="CE5" s="59">
        <f t="shared" ref="CE5:CE68" si="40">$CE$3</f>
        <v>264.17357326498581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2.1</v>
      </c>
      <c r="N6" s="13">
        <f>IF('Données projet'!$A$36&gt;35,N5+M6-V5,IF(A6&lt;'Données projet'!$A$36,$K$205^A6,IF(A6='Données projet'!$A$36,'Données projet'!$B$36,N5+M6-V5)))</f>
        <v>1.7518115829322798</v>
      </c>
      <c r="O6" s="13">
        <f>N6*VLOOKUP('Données projet'!$B$9,Paramètres!$A$1:$I$89,3,0)*VLOOKUP('Données projet'!$B$9,Paramètres!$A$1:$I$89,5,0)</f>
        <v>1.5850391202371266</v>
      </c>
      <c r="P6" s="13">
        <f t="shared" si="33"/>
        <v>0.69232082604846479</v>
      </c>
      <c r="Q6" s="20">
        <f t="shared" si="2"/>
        <v>3.966401906447405</v>
      </c>
      <c r="R6" s="59">
        <f t="shared" si="0"/>
        <v>264.29973523978072</v>
      </c>
      <c r="S6" s="59">
        <f ca="1">AVERAGE(OFFSET($R$3,0,0,'Données projet'!$E$9+1,1))-AVERAGE(OFFSET($H$3,0,0,'Données projet'!$E$9+1,1))</f>
        <v>346.35147716792028</v>
      </c>
      <c r="T6" s="59">
        <f t="shared" si="34"/>
        <v>231.36959598460686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5.5909090909090908</v>
      </c>
      <c r="AI6" s="13">
        <f>IF('Données projet'!$A$62&gt;35,AI5+AH6-AQ5,IF(A6&lt;'Données projet'!$A$62,$AF$205^A6,IF(A6='Données projet'!$A$62,'Données projet'!$B$62,AI5+AH6-AQ5)))</f>
        <v>1.927467485460697</v>
      </c>
      <c r="AJ6" s="13">
        <f>AI6*VLOOKUP('Données projet'!$B$10,Paramètres!$A$1:$I$89,3,0)*VLOOKUP('Données projet'!$B$10,Paramètres!$A$1:$I$89,5,0)</f>
        <v>1.152625556305497</v>
      </c>
      <c r="AK6" s="13">
        <f t="shared" si="35"/>
        <v>0.52246812247269758</v>
      </c>
      <c r="AL6" s="20">
        <f t="shared" si="4"/>
        <v>2.9174548238720219</v>
      </c>
      <c r="AM6" s="59">
        <f t="shared" si="5"/>
        <v>263.25078815720536</v>
      </c>
      <c r="AN6" s="59">
        <f ca="1">AVERAGE(OFFSET($AM$3,0,0,'Données projet'!$E$10+1,1))-AVERAGE(OFFSET($H$3,0,0,'Données projet'!$E$10+1,1))</f>
        <v>559.94918407141222</v>
      </c>
      <c r="AO6" s="59">
        <f t="shared" si="36"/>
        <v>334.6078891555664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5.2912820512820513</v>
      </c>
      <c r="BD6" s="12">
        <f>IF('Données projet'!$A$88&gt;35,BD5+BC6-BL5,IF(A6&lt;'Données projet'!$A$88,$BA$205^A6,IF(A6='Données projet'!$A$88,'Données projet'!$B$88,BD5+BC6-BL5)))</f>
        <v>1.6598476070807464</v>
      </c>
      <c r="BE6" s="13">
        <f>BD6*VLOOKUP('Données projet'!$B$11,Paramètres!$A$1:$I$89,3,0)*VLOOKUP('Données projet'!$B$11,Paramètres!$A$1:$I$89,5,0)</f>
        <v>0.77680868011378923</v>
      </c>
      <c r="BF6" s="13">
        <f t="shared" si="37"/>
        <v>0.36866641595972582</v>
      </c>
      <c r="BG6" s="20">
        <f t="shared" si="7"/>
        <v>1.9950357923280386</v>
      </c>
      <c r="BH6" s="59">
        <f t="shared" si="8"/>
        <v>262.32836912566137</v>
      </c>
      <c r="BI6" s="59">
        <f ca="1">AVERAGE(OFFSET($BH$3,0,0,'Données projet'!$E$11+1,1))-AVERAGE(OFFSET($H$3,0,0,'Données projet'!$E$11+1,1))</f>
        <v>276.78862011733338</v>
      </c>
      <c r="BJ6" s="59">
        <f t="shared" si="38"/>
        <v>202.1678469635836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3.56</v>
      </c>
      <c r="BY6" s="12">
        <f>IF('Données projet'!$A$114&gt;35,BY5+BX6-CG5,IF(A6&lt;'Données projet'!$A$114,$BV$205^A6,IF(A6='Données projet'!$A$114,'Données projet'!$B$114,BY5+BX6-CG5)))</f>
        <v>1.7136684488168334</v>
      </c>
      <c r="BZ6" s="13">
        <f>BY6*VLOOKUP('Données projet'!$B$12,Paramètres!$A$1:$I$89,3,0)*VLOOKUP('Données projet'!$B$12,Paramètres!$A$1:$I$89,5,0)</f>
        <v>1.33666139007713</v>
      </c>
      <c r="CA6" s="13">
        <f t="shared" si="39"/>
        <v>0.59553127926010163</v>
      </c>
      <c r="CB6" s="20">
        <f t="shared" si="10"/>
        <v>3.3652355657623452</v>
      </c>
      <c r="CC6" s="59">
        <f t="shared" si="11"/>
        <v>263.69856889909568</v>
      </c>
      <c r="CD6" s="59">
        <f ca="1">AVERAGE(OFFSET($CC$3,0,0,'Données projet'!$E$12+1,1))-AVERAGE(OFFSET($H$3,0,0,'Données projet'!$E$12+1,1))</f>
        <v>286.5685205631126</v>
      </c>
      <c r="CE6" s="59">
        <f t="shared" si="40"/>
        <v>264.17357326498581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2.1</v>
      </c>
      <c r="N7" s="13">
        <f>IF('Données projet'!$A$36&gt;35,N6+M7-V6,IF(A7&lt;'Données projet'!$A$36,$K$205^A7,IF(A7='Données projet'!$A$36,'Données projet'!$B$36,N6+M7-V6)))</f>
        <v>2.1117857649667546</v>
      </c>
      <c r="O7" s="13">
        <f>N7*VLOOKUP('Données projet'!$B$9,Paramètres!$A$1:$I$89,3,0)*VLOOKUP('Données projet'!$B$9,Paramètres!$A$1:$I$89,5,0)</f>
        <v>1.9107437601419195</v>
      </c>
      <c r="P7" s="13">
        <f t="shared" si="33"/>
        <v>0.81662477151702284</v>
      </c>
      <c r="Q7" s="20">
        <f t="shared" si="2"/>
        <v>4.7501668593059909</v>
      </c>
      <c r="R7" s="59">
        <f t="shared" si="0"/>
        <v>266.30572241486152</v>
      </c>
      <c r="S7" s="59">
        <f ca="1">AVERAGE(OFFSET($R$3,0,0,'Données projet'!$E$9+1,1))-AVERAGE(OFFSET($H$3,0,0,'Données projet'!$E$9+1,1))</f>
        <v>346.35147716792028</v>
      </c>
      <c r="T7" s="59">
        <f t="shared" si="34"/>
        <v>231.36959598460686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5.5909090909090908</v>
      </c>
      <c r="AI7" s="13">
        <f>IF('Données projet'!$A$62&gt;35,AI6+AH7-AQ6,IF(A7&lt;'Données projet'!$A$62,$AF$205^A7,IF(A7='Données projet'!$A$62,'Données projet'!$B$62,AI6+AH7-AQ6)))</f>
        <v>2.3987376266268075</v>
      </c>
      <c r="AJ7" s="13">
        <f>AI7*VLOOKUP('Données projet'!$B$10,Paramètres!$A$1:$I$89,3,0)*VLOOKUP('Données projet'!$B$10,Paramètres!$A$1:$I$89,5,0)</f>
        <v>1.4344451007228309</v>
      </c>
      <c r="AK7" s="13">
        <f t="shared" si="35"/>
        <v>0.63386677286612625</v>
      </c>
      <c r="AL7" s="20">
        <f t="shared" si="4"/>
        <v>3.6023098465007668</v>
      </c>
      <c r="AM7" s="59">
        <f t="shared" si="5"/>
        <v>265.1578654020563</v>
      </c>
      <c r="AN7" s="59">
        <f ca="1">AVERAGE(OFFSET($AM$3,0,0,'Données projet'!$E$10+1,1))-AVERAGE(OFFSET($H$3,0,0,'Données projet'!$E$10+1,1))</f>
        <v>559.94918407141222</v>
      </c>
      <c r="AO7" s="59">
        <f t="shared" si="36"/>
        <v>334.6078891555664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5.2912820512820513</v>
      </c>
      <c r="BD7" s="12">
        <f>IF('Données projet'!$A$88&gt;35,BD6+BC7-BL6,IF(A7&lt;'Données projet'!$A$88,$BA$205^A7,IF(A7='Données projet'!$A$88,'Données projet'!$B$88,BD6+BC7-BL6)))</f>
        <v>1.9652793411974046</v>
      </c>
      <c r="BE7" s="13">
        <f>BD7*VLOOKUP('Données projet'!$B$11,Paramètres!$A$1:$I$89,3,0)*VLOOKUP('Données projet'!$B$11,Paramètres!$A$1:$I$89,5,0)</f>
        <v>0.91975073168038535</v>
      </c>
      <c r="BF7" s="13">
        <f t="shared" si="37"/>
        <v>0.42800712854436657</v>
      </c>
      <c r="BG7" s="20">
        <f t="shared" si="7"/>
        <v>2.347344939891443</v>
      </c>
      <c r="BH7" s="59">
        <f t="shared" si="8"/>
        <v>263.902900495447</v>
      </c>
      <c r="BI7" s="59">
        <f ca="1">AVERAGE(OFFSET($BH$3,0,0,'Données projet'!$E$11+1,1))-AVERAGE(OFFSET($H$3,0,0,'Données projet'!$E$11+1,1))</f>
        <v>276.78862011733338</v>
      </c>
      <c r="BJ7" s="59">
        <f t="shared" si="38"/>
        <v>202.1678469635836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3.56</v>
      </c>
      <c r="BY7" s="12">
        <f>IF('Données projet'!$A$114&gt;35,BY6+BX7-CG6,IF(A7&lt;'Données projet'!$A$114,$BV$205^A7,IF(A7='Données projet'!$A$114,'Données projet'!$B$114,BY6+BX7-CG6)))</f>
        <v>2.0507012732339978</v>
      </c>
      <c r="BZ7" s="13">
        <f>BY7*VLOOKUP('Données projet'!$B$12,Paramètres!$A$1:$I$89,3,0)*VLOOKUP('Données projet'!$B$12,Paramètres!$A$1:$I$89,5,0)</f>
        <v>1.5995469931225184</v>
      </c>
      <c r="CA7" s="13">
        <f t="shared" si="39"/>
        <v>0.69791706476400706</v>
      </c>
      <c r="CB7" s="20">
        <f t="shared" si="10"/>
        <v>4.0014165674856983</v>
      </c>
      <c r="CC7" s="59">
        <f t="shared" si="11"/>
        <v>265.55697212304125</v>
      </c>
      <c r="CD7" s="59">
        <f ca="1">AVERAGE(OFFSET($CC$3,0,0,'Données projet'!$E$12+1,1))-AVERAGE(OFFSET($H$3,0,0,'Données projet'!$E$12+1,1))</f>
        <v>286.5685205631126</v>
      </c>
      <c r="CE7" s="59">
        <f t="shared" si="40"/>
        <v>264.17357326498581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2.1</v>
      </c>
      <c r="N8" s="13">
        <f>IF('Données projet'!$A$36&gt;35,N7+M8-V7,IF(A8&lt;'Données projet'!$A$36,$K$205^A8,IF(A8='Données projet'!$A$36,'Données projet'!$B$36,N7+M8-V7)))</f>
        <v>2.5457298950218314</v>
      </c>
      <c r="O8" s="13">
        <f>N8*VLOOKUP('Données projet'!$B$9,Paramètres!$A$1:$I$89,3,0)*VLOOKUP('Données projet'!$B$9,Paramètres!$A$1:$I$89,5,0)</f>
        <v>2.3033764090157529</v>
      </c>
      <c r="P8" s="13">
        <f t="shared" si="33"/>
        <v>0.96324708482559218</v>
      </c>
      <c r="Q8" s="20">
        <f t="shared" si="2"/>
        <v>5.6893692517736758</v>
      </c>
      <c r="R8" s="59">
        <f t="shared" si="0"/>
        <v>268.46714702955143</v>
      </c>
      <c r="S8" s="59">
        <f ca="1">AVERAGE(OFFSET($R$3,0,0,'Données projet'!$E$9+1,1))-AVERAGE(OFFSET($H$3,0,0,'Données projet'!$E$9+1,1))</f>
        <v>346.35147716792028</v>
      </c>
      <c r="T8" s="59">
        <f t="shared" si="34"/>
        <v>231.36959598460686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5.5909090909090908</v>
      </c>
      <c r="AI8" s="13">
        <f>IF('Données projet'!$A$62&gt;35,AI7+AH8-AQ7,IF(A8&lt;'Données projet'!$A$62,$AF$205^A8,IF(A8='Données projet'!$A$62,'Données projet'!$B$62,AI7+AH8-AQ7)))</f>
        <v>2.9852343786852105</v>
      </c>
      <c r="AJ8" s="13">
        <f>AI8*VLOOKUP('Données projet'!$B$10,Paramètres!$A$1:$I$89,3,0)*VLOOKUP('Données projet'!$B$10,Paramètres!$A$1:$I$89,5,0)</f>
        <v>1.785170158453756</v>
      </c>
      <c r="AK8" s="13">
        <f t="shared" si="35"/>
        <v>0.7690174164926461</v>
      </c>
      <c r="AL8" s="20">
        <f t="shared" si="4"/>
        <v>4.4485433596983173</v>
      </c>
      <c r="AM8" s="59">
        <f t="shared" si="5"/>
        <v>267.22632113747608</v>
      </c>
      <c r="AN8" s="59">
        <f ca="1">AVERAGE(OFFSET($AM$3,0,0,'Données projet'!$E$10+1,1))-AVERAGE(OFFSET($H$3,0,0,'Données projet'!$E$10+1,1))</f>
        <v>559.94918407141222</v>
      </c>
      <c r="AO8" s="59">
        <f t="shared" si="36"/>
        <v>334.6078891555664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5.2912820512820513</v>
      </c>
      <c r="BD8" s="12">
        <f>IF('Données projet'!$A$88&gt;35,BD7+BC8-BL7,IF(A8&lt;'Données projet'!$A$88,$BA$205^A8,IF(A8='Données projet'!$A$88,'Données projet'!$B$88,BD7+BC8-BL7)))</f>
        <v>2.3269141531192479</v>
      </c>
      <c r="BE8" s="13">
        <f>BD8*VLOOKUP('Données projet'!$B$11,Paramètres!$A$1:$I$89,3,0)*VLOOKUP('Données projet'!$B$11,Paramètres!$A$1:$I$89,5,0)</f>
        <v>1.0889958236598081</v>
      </c>
      <c r="BF8" s="13">
        <f t="shared" si="37"/>
        <v>0.49689934898980909</v>
      </c>
      <c r="BG8" s="20">
        <f t="shared" si="7"/>
        <v>2.7621007590314162</v>
      </c>
      <c r="BH8" s="59">
        <f t="shared" si="8"/>
        <v>265.53987853680917</v>
      </c>
      <c r="BI8" s="59">
        <f ca="1">AVERAGE(OFFSET($BH$3,0,0,'Données projet'!$E$11+1,1))-AVERAGE(OFFSET($H$3,0,0,'Données projet'!$E$11+1,1))</f>
        <v>276.78862011733338</v>
      </c>
      <c r="BJ8" s="59">
        <f t="shared" si="38"/>
        <v>202.1678469635836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3.56</v>
      </c>
      <c r="BY8" s="12">
        <f>IF('Données projet'!$A$114&gt;35,BY7+BX8-CG7,IF(A8&lt;'Données projet'!$A$114,$BV$205^A8,IF(A8='Données projet'!$A$114,'Données projet'!$B$114,BY7+BX8-CG7)))</f>
        <v>2.4540194545491301</v>
      </c>
      <c r="BZ8" s="13">
        <f>BY8*VLOOKUP('Données projet'!$B$12,Paramètres!$A$1:$I$89,3,0)*VLOOKUP('Données projet'!$B$12,Paramètres!$A$1:$I$89,5,0)</f>
        <v>1.9141351745483215</v>
      </c>
      <c r="CA8" s="13">
        <f t="shared" si="39"/>
        <v>0.81790536660639246</v>
      </c>
      <c r="CB8" s="20">
        <f t="shared" si="10"/>
        <v>4.7583039425111266</v>
      </c>
      <c r="CC8" s="59">
        <f t="shared" si="11"/>
        <v>267.53608172028891</v>
      </c>
      <c r="CD8" s="59">
        <f ca="1">AVERAGE(OFFSET($CC$3,0,0,'Données projet'!$E$12+1,1))-AVERAGE(OFFSET($H$3,0,0,'Données projet'!$E$12+1,1))</f>
        <v>286.5685205631126</v>
      </c>
      <c r="CE8" s="59">
        <f t="shared" si="40"/>
        <v>264.17357326498581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2.1</v>
      </c>
      <c r="N9" s="13">
        <f>IF('Données projet'!$A$36&gt;35,N8+M9-V8,IF(A9&lt;'Données projet'!$A$36,$K$205^A9,IF(A9='Données projet'!$A$36,'Données projet'!$B$36,N8+M9-V8)))</f>
        <v>3.0688438220956993</v>
      </c>
      <c r="O9" s="13">
        <f>N9*VLOOKUP('Données projet'!$B$9,Paramètres!$A$1:$I$89,3,0)*VLOOKUP('Données projet'!$B$9,Paramètres!$A$1:$I$89,5,0)</f>
        <v>2.7766898902321886</v>
      </c>
      <c r="P9" s="13">
        <f t="shared" si="33"/>
        <v>1.1361949561012803</v>
      </c>
      <c r="Q9" s="20">
        <f t="shared" si="2"/>
        <v>6.8149411073641248</v>
      </c>
      <c r="R9" s="59">
        <f t="shared" si="0"/>
        <v>270.81494110736412</v>
      </c>
      <c r="S9" s="59">
        <f ca="1">AVERAGE(OFFSET($R$3,0,0,'Données projet'!$E$9+1,1))-AVERAGE(OFFSET($H$3,0,0,'Données projet'!$E$9+1,1))</f>
        <v>346.35147716792028</v>
      </c>
      <c r="T9" s="59">
        <f t="shared" si="34"/>
        <v>231.36959598460686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5.5909090909090908</v>
      </c>
      <c r="AI9" s="13">
        <f>IF('Données projet'!$A$62&gt;35,AI8+AH9-AQ8,IF(A9&lt;'Données projet'!$A$62,$AF$205^A9,IF(A9='Données projet'!$A$62,'Données projet'!$B$62,AI8+AH9-AQ8)))</f>
        <v>3.7151309075081826</v>
      </c>
      <c r="AJ9" s="13">
        <f>AI9*VLOOKUP('Données projet'!$B$10,Paramètres!$A$1:$I$89,3,0)*VLOOKUP('Données projet'!$B$10,Paramètres!$A$1:$I$89,5,0)</f>
        <v>2.2216482826898933</v>
      </c>
      <c r="AK9" s="13">
        <f t="shared" si="35"/>
        <v>0.93298436230530435</v>
      </c>
      <c r="AL9" s="20">
        <f t="shared" si="4"/>
        <v>5.4943185233666361</v>
      </c>
      <c r="AM9" s="59">
        <f t="shared" si="5"/>
        <v>269.49431852336664</v>
      </c>
      <c r="AN9" s="59">
        <f ca="1">AVERAGE(OFFSET($AM$3,0,0,'Données projet'!$E$10+1,1))-AVERAGE(OFFSET($H$3,0,0,'Données projet'!$E$10+1,1))</f>
        <v>559.94918407141222</v>
      </c>
      <c r="AO9" s="59">
        <f t="shared" si="36"/>
        <v>334.6078891555664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5.2912820512820513</v>
      </c>
      <c r="BD9" s="12">
        <f>IF('Données projet'!$A$88&gt;35,BD8+BC9-BL8,IF(A9&lt;'Données projet'!$A$88,$BA$205^A9,IF(A9='Données projet'!$A$88,'Données projet'!$B$88,BD8+BC9-BL8)))</f>
        <v>2.7550940787316796</v>
      </c>
      <c r="BE9" s="13">
        <f>BD9*VLOOKUP('Données projet'!$B$11,Paramètres!$A$1:$I$89,3,0)*VLOOKUP('Données projet'!$B$11,Paramètres!$A$1:$I$89,5,0)</f>
        <v>1.289384028846426</v>
      </c>
      <c r="BF9" s="13">
        <f t="shared" si="37"/>
        <v>0.57688049230914107</v>
      </c>
      <c r="BG9" s="20">
        <f t="shared" si="7"/>
        <v>3.2504107076792792</v>
      </c>
      <c r="BH9" s="59">
        <f t="shared" si="8"/>
        <v>267.25041070767929</v>
      </c>
      <c r="BI9" s="59">
        <f ca="1">AVERAGE(OFFSET($BH$3,0,0,'Données projet'!$E$11+1,1))-AVERAGE(OFFSET($H$3,0,0,'Données projet'!$E$11+1,1))</f>
        <v>276.78862011733338</v>
      </c>
      <c r="BJ9" s="59">
        <f t="shared" si="38"/>
        <v>202.1678469635836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3.56</v>
      </c>
      <c r="BY9" s="12">
        <f>IF('Données projet'!$A$114&gt;35,BY8+BX9-CG8,IF(A9&lt;'Données projet'!$A$114,$BV$205^A9,IF(A9='Données projet'!$A$114,'Données projet'!$B$114,BY8+BX9-CG8)))</f>
        <v>2.9366595524702919</v>
      </c>
      <c r="BZ9" s="13">
        <f>BY9*VLOOKUP('Données projet'!$B$12,Paramètres!$A$1:$I$89,3,0)*VLOOKUP('Données projet'!$B$12,Paramètres!$A$1:$I$89,5,0)</f>
        <v>2.2905944509268279</v>
      </c>
      <c r="CA9" s="13">
        <f t="shared" si="39"/>
        <v>0.95852246992949186</v>
      </c>
      <c r="CB9" s="20">
        <f t="shared" si="10"/>
        <v>5.6588786371580904</v>
      </c>
      <c r="CC9" s="59">
        <f t="shared" si="11"/>
        <v>269.65887863715807</v>
      </c>
      <c r="CD9" s="59">
        <f ca="1">AVERAGE(OFFSET($CC$3,0,0,'Données projet'!$E$12+1,1))-AVERAGE(OFFSET($H$3,0,0,'Données projet'!$E$12+1,1))</f>
        <v>286.5685205631126</v>
      </c>
      <c r="CE9" s="59">
        <f t="shared" si="40"/>
        <v>264.17357326498581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2.1</v>
      </c>
      <c r="N10" s="13">
        <f>IF('Données projet'!$A$36&gt;35,N9+M10-V9,IF(A10&lt;'Données projet'!$A$36,$K$205^A10,IF(A10='Données projet'!$A$36,'Données projet'!$B$36,N9+M10-V9)))</f>
        <v>3.6994507637402658</v>
      </c>
      <c r="O10" s="13">
        <f>N10*VLOOKUP('Données projet'!$B$9,Paramètres!$A$1:$I$89,3,0)*VLOOKUP('Données projet'!$B$9,Paramètres!$A$1:$I$89,5,0)</f>
        <v>3.3472630510321921</v>
      </c>
      <c r="P10" s="13">
        <f t="shared" si="33"/>
        <v>1.34019505338418</v>
      </c>
      <c r="Q10" s="20">
        <f t="shared" si="2"/>
        <v>8.1639895318585136</v>
      </c>
      <c r="R10" s="59">
        <f t="shared" si="0"/>
        <v>273.38621175408076</v>
      </c>
      <c r="S10" s="59">
        <f ca="1">AVERAGE(OFFSET($R$3,0,0,'Données projet'!$E$9+1,1))-AVERAGE(OFFSET($H$3,0,0,'Données projet'!$E$9+1,1))</f>
        <v>346.35147716792028</v>
      </c>
      <c r="T10" s="59">
        <f t="shared" si="34"/>
        <v>231.36959598460686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5.5909090909090908</v>
      </c>
      <c r="AI10" s="13">
        <f>IF('Données projet'!$A$62&gt;35,AI9+AH10-AQ9,IF(A10&lt;'Données projet'!$A$62,$AF$205^A10,IF(A10='Données projet'!$A$62,'Données projet'!$B$62,AI9+AH10-AQ9)))</f>
        <v>4.6234887814743333</v>
      </c>
      <c r="AJ10" s="13">
        <f>AI10*VLOOKUP('Données projet'!$B$10,Paramètres!$A$1:$I$89,3,0)*VLOOKUP('Données projet'!$B$10,Paramètres!$A$1:$I$89,5,0)</f>
        <v>2.7648462913216516</v>
      </c>
      <c r="AK10" s="13">
        <f t="shared" si="35"/>
        <v>1.1319117118000401</v>
      </c>
      <c r="AL10" s="20">
        <f t="shared" si="4"/>
        <v>6.7868535221036126</v>
      </c>
      <c r="AM10" s="59">
        <f t="shared" si="5"/>
        <v>272.00907574432586</v>
      </c>
      <c r="AN10" s="59">
        <f ca="1">AVERAGE(OFFSET($AM$3,0,0,'Données projet'!$E$10+1,1))-AVERAGE(OFFSET($H$3,0,0,'Données projet'!$E$10+1,1))</f>
        <v>559.94918407141222</v>
      </c>
      <c r="AO10" s="59">
        <f t="shared" si="36"/>
        <v>334.6078891555664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5.2912820512820513</v>
      </c>
      <c r="BD10" s="12">
        <f>IF('Données projet'!$A$88&gt;35,BD9+BC10-BL9,IF(A10&lt;'Données projet'!$A$88,$BA$205^A10,IF(A10='Données projet'!$A$88,'Données projet'!$B$88,BD9+BC10-BL9)))</f>
        <v>3.2620642117317376</v>
      </c>
      <c r="BE10" s="13">
        <f>BD10*VLOOKUP('Données projet'!$B$11,Paramètres!$A$1:$I$89,3,0)*VLOOKUP('Données projet'!$B$11,Paramètres!$A$1:$I$89,5,0)</f>
        <v>1.5266460510904531</v>
      </c>
      <c r="BF10" s="13">
        <f t="shared" si="37"/>
        <v>0.66973543652934475</v>
      </c>
      <c r="BG10" s="20">
        <f t="shared" si="7"/>
        <v>3.825364424271148</v>
      </c>
      <c r="BH10" s="59">
        <f t="shared" si="8"/>
        <v>269.04758664649336</v>
      </c>
      <c r="BI10" s="59">
        <f ca="1">AVERAGE(OFFSET($BH$3,0,0,'Données projet'!$E$11+1,1))-AVERAGE(OFFSET($H$3,0,0,'Données projet'!$E$11+1,1))</f>
        <v>276.78862011733338</v>
      </c>
      <c r="BJ10" s="59">
        <f t="shared" si="38"/>
        <v>202.1678469635836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3.56</v>
      </c>
      <c r="BY10" s="12">
        <f>IF('Données projet'!$A$114&gt;35,BY9+BX10-CG9,IF(A10&lt;'Données projet'!$A$114,$BV$205^A10,IF(A10='Données projet'!$A$114,'Données projet'!$B$114,BY9+BX10-CG9)))</f>
        <v>3.5142220698896103</v>
      </c>
      <c r="BZ10" s="13">
        <f>BY10*VLOOKUP('Données projet'!$B$12,Paramètres!$A$1:$I$89,3,0)*VLOOKUP('Données projet'!$B$12,Paramètres!$A$1:$I$89,5,0)</f>
        <v>2.7410932145138962</v>
      </c>
      <c r="CA10" s="13">
        <f t="shared" si="39"/>
        <v>1.1233149492242895</v>
      </c>
      <c r="CB10" s="20">
        <f t="shared" si="10"/>
        <v>6.730510885177341</v>
      </c>
      <c r="CC10" s="59">
        <f t="shared" si="11"/>
        <v>271.95273310739958</v>
      </c>
      <c r="CD10" s="59">
        <f ca="1">AVERAGE(OFFSET($CC$3,0,0,'Données projet'!$E$12+1,1))-AVERAGE(OFFSET($H$3,0,0,'Données projet'!$E$12+1,1))</f>
        <v>286.5685205631126</v>
      </c>
      <c r="CE10" s="59">
        <f t="shared" si="40"/>
        <v>264.17357326498581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2.1</v>
      </c>
      <c r="N11" s="13">
        <f>IF('Données projet'!$A$36&gt;35,N10+M11-V10,IF(A11&lt;'Données projet'!$A$36,$K$205^A11,IF(A11='Données projet'!$A$36,'Données projet'!$B$36,N10+M11-V10)))</f>
        <v>4.4596391171162209</v>
      </c>
      <c r="O11" s="13">
        <f>N11*VLOOKUP('Données projet'!$B$9,Paramètres!$A$1:$I$89,3,0)*VLOOKUP('Données projet'!$B$9,Paramètres!$A$1:$I$89,5,0)</f>
        <v>4.0350814731667564</v>
      </c>
      <c r="P11" s="13">
        <f t="shared" si="33"/>
        <v>1.5808227025391921</v>
      </c>
      <c r="Q11" s="20">
        <f t="shared" si="2"/>
        <v>9.7810331060211926</v>
      </c>
      <c r="R11" s="59">
        <f t="shared" si="0"/>
        <v>276.22547755046565</v>
      </c>
      <c r="S11" s="59">
        <f ca="1">AVERAGE(OFFSET($R$3,0,0,'Données projet'!$E$9+1,1))-AVERAGE(OFFSET($H$3,0,0,'Données projet'!$E$9+1,1))</f>
        <v>346.35147716792028</v>
      </c>
      <c r="T11" s="59">
        <f t="shared" si="34"/>
        <v>231.36959598460686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5.5909090909090908</v>
      </c>
      <c r="AI11" s="13">
        <f>IF('Données projet'!$A$62&gt;35,AI10+AH11-AQ10,IF(A11&lt;'Données projet'!$A$62,$AF$205^A11,IF(A11='Données projet'!$A$62,'Données projet'!$B$62,AI10+AH11-AQ10)))</f>
        <v>5.7539422013952093</v>
      </c>
      <c r="AJ11" s="13">
        <f>AI11*VLOOKUP('Données projet'!$B$10,Paramètres!$A$1:$I$89,3,0)*VLOOKUP('Données projet'!$B$10,Paramètres!$A$1:$I$89,5,0)</f>
        <v>3.4408574364343356</v>
      </c>
      <c r="AK11" s="13">
        <f t="shared" si="35"/>
        <v>1.3732535882427113</v>
      </c>
      <c r="AL11" s="20">
        <f t="shared" si="4"/>
        <v>8.3845767013125236</v>
      </c>
      <c r="AM11" s="59">
        <f t="shared" si="5"/>
        <v>274.829021145757</v>
      </c>
      <c r="AN11" s="59">
        <f ca="1">AVERAGE(OFFSET($AM$3,0,0,'Données projet'!$E$10+1,1))-AVERAGE(OFFSET($H$3,0,0,'Données projet'!$E$10+1,1))</f>
        <v>559.94918407141222</v>
      </c>
      <c r="AO11" s="59">
        <f t="shared" si="36"/>
        <v>334.6078891555664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5.2912820512820513</v>
      </c>
      <c r="BD11" s="12">
        <f>IF('Données projet'!$A$88&gt;35,BD10+BC11-BL10,IF(A11&lt;'Données projet'!$A$88,$BA$205^A11,IF(A11='Données projet'!$A$88,'Données projet'!$B$88,BD10+BC11-BL10)))</f>
        <v>3.8623228889373045</v>
      </c>
      <c r="BE11" s="13">
        <f>BD11*VLOOKUP('Données projet'!$B$11,Paramètres!$A$1:$I$89,3,0)*VLOOKUP('Données projet'!$B$11,Paramètres!$A$1:$I$89,5,0)</f>
        <v>1.8075671120226584</v>
      </c>
      <c r="BF11" s="13">
        <f t="shared" si="37"/>
        <v>0.77753635444962066</v>
      </c>
      <c r="BG11" s="20">
        <f t="shared" si="7"/>
        <v>4.5023885374392192</v>
      </c>
      <c r="BH11" s="59">
        <f t="shared" si="8"/>
        <v>270.94683298188369</v>
      </c>
      <c r="BI11" s="59">
        <f ca="1">AVERAGE(OFFSET($BH$3,0,0,'Données projet'!$E$11+1,1))-AVERAGE(OFFSET($H$3,0,0,'Données projet'!$E$11+1,1))</f>
        <v>276.78862011733338</v>
      </c>
      <c r="BJ11" s="59">
        <f t="shared" si="38"/>
        <v>202.1678469635836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3.56</v>
      </c>
      <c r="BY11" s="12">
        <f>IF('Données projet'!$A$114&gt;35,BY10+BX11-CG10,IF(A11&lt;'Données projet'!$A$114,$BV$205^A11,IF(A11='Données projet'!$A$114,'Données projet'!$B$114,BY10+BX11-CG10)))</f>
        <v>4.2053757120435398</v>
      </c>
      <c r="BZ11" s="13">
        <f>BY11*VLOOKUP('Données projet'!$B$12,Paramètres!$A$1:$I$89,3,0)*VLOOKUP('Données projet'!$B$12,Paramètres!$A$1:$I$89,5,0)</f>
        <v>3.2801930553939611</v>
      </c>
      <c r="CA11" s="13">
        <f t="shared" si="39"/>
        <v>1.3164391182645805</v>
      </c>
      <c r="CB11" s="20">
        <f t="shared" si="10"/>
        <v>8.0058010357886271</v>
      </c>
      <c r="CC11" s="59">
        <f t="shared" si="11"/>
        <v>274.45024548023309</v>
      </c>
      <c r="CD11" s="59">
        <f ca="1">AVERAGE(OFFSET($CC$3,0,0,'Données projet'!$E$12+1,1))-AVERAGE(OFFSET($H$3,0,0,'Données projet'!$E$12+1,1))</f>
        <v>286.5685205631126</v>
      </c>
      <c r="CE11" s="59">
        <f t="shared" si="40"/>
        <v>264.17357326498581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2.1</v>
      </c>
      <c r="N12" s="13">
        <f>IF('Données projet'!$A$36&gt;35,N11+M12-V11,IF(A12&lt;'Données projet'!$A$36,$K$205^A12,IF(A12='Données projet'!$A$36,'Données projet'!$B$36,N11+M12-V11)))</f>
        <v>5.3760361537574148</v>
      </c>
      <c r="O12" s="13">
        <f>N12*VLOOKUP('Données projet'!$B$9,Paramètres!$A$1:$I$89,3,0)*VLOOKUP('Données projet'!$B$9,Paramètres!$A$1:$I$89,5,0)</f>
        <v>4.8642375119197085</v>
      </c>
      <c r="P12" s="13">
        <f t="shared" si="33"/>
        <v>1.8646542609995393</v>
      </c>
      <c r="Q12" s="20">
        <f t="shared" si="2"/>
        <v>11.719486504501022</v>
      </c>
      <c r="R12" s="59">
        <f t="shared" si="0"/>
        <v>279.38615317116773</v>
      </c>
      <c r="S12" s="59">
        <f ca="1">AVERAGE(OFFSET($R$3,0,0,'Données projet'!$E$9+1,1))-AVERAGE(OFFSET($H$3,0,0,'Données projet'!$E$9+1,1))</f>
        <v>346.35147716792028</v>
      </c>
      <c r="T12" s="59">
        <f t="shared" si="34"/>
        <v>231.36959598460686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5.5909090909090908</v>
      </c>
      <c r="AI12" s="13">
        <f>IF('Données projet'!$A$62&gt;35,AI11+AH12-AQ11,IF(A12&lt;'Données projet'!$A$62,$AF$205^A12,IF(A12='Données projet'!$A$62,'Données projet'!$B$62,AI11+AH12-AQ11)))</f>
        <v>7.1607940284521145</v>
      </c>
      <c r="AJ12" s="13">
        <f>AI12*VLOOKUP('Données projet'!$B$10,Paramètres!$A$1:$I$89,3,0)*VLOOKUP('Données projet'!$B$10,Paramètres!$A$1:$I$89,5,0)</f>
        <v>4.2821548290143649</v>
      </c>
      <c r="AK12" s="13">
        <f t="shared" si="35"/>
        <v>1.6660534544894132</v>
      </c>
      <c r="AL12" s="20">
        <f t="shared" si="4"/>
        <v>10.359796093769079</v>
      </c>
      <c r="AM12" s="59">
        <f t="shared" si="5"/>
        <v>278.02646276043578</v>
      </c>
      <c r="AN12" s="59">
        <f ca="1">AVERAGE(OFFSET($AM$3,0,0,'Données projet'!$E$10+1,1))-AVERAGE(OFFSET($H$3,0,0,'Données projet'!$E$10+1,1))</f>
        <v>559.94918407141222</v>
      </c>
      <c r="AO12" s="59">
        <f t="shared" si="36"/>
        <v>334.6078891555664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5.2912820512820513</v>
      </c>
      <c r="BD12" s="12">
        <f>IF('Données projet'!$A$88&gt;35,BD11+BC12-BL11,IF(A12&lt;'Données projet'!$A$88,$BA$205^A12,IF(A12='Données projet'!$A$88,'Données projet'!$B$88,BD11+BC12-BL11)))</f>
        <v>4.5730363138651118</v>
      </c>
      <c r="BE12" s="13">
        <f>BD12*VLOOKUP('Données projet'!$B$11,Paramètres!$A$1:$I$89,3,0)*VLOOKUP('Données projet'!$B$11,Paramètres!$A$1:$I$89,5,0)</f>
        <v>2.1401809948888726</v>
      </c>
      <c r="BF12" s="13">
        <f t="shared" si="37"/>
        <v>0.90268895673749705</v>
      </c>
      <c r="BG12" s="20">
        <f t="shared" si="7"/>
        <v>5.2996651657492606</v>
      </c>
      <c r="BH12" s="59">
        <f t="shared" si="8"/>
        <v>272.96633183241596</v>
      </c>
      <c r="BI12" s="59">
        <f ca="1">AVERAGE(OFFSET($BH$3,0,0,'Données projet'!$E$11+1,1))-AVERAGE(OFFSET($H$3,0,0,'Données projet'!$E$11+1,1))</f>
        <v>276.78862011733338</v>
      </c>
      <c r="BJ12" s="59">
        <f t="shared" si="38"/>
        <v>202.1678469635836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3.56</v>
      </c>
      <c r="BY12" s="12">
        <f>IF('Données projet'!$A$114&gt;35,BY11+BX12-CG11,IF(A12&lt;'Données projet'!$A$114,$BV$205^A12,IF(A12='Données projet'!$A$114,'Données projet'!$B$114,BY11+BX12-CG11)))</f>
        <v>5.0324608199849017</v>
      </c>
      <c r="BZ12" s="13">
        <f>BY12*VLOOKUP('Données projet'!$B$12,Paramètres!$A$1:$I$89,3,0)*VLOOKUP('Données projet'!$B$12,Paramètres!$A$1:$I$89,5,0)</f>
        <v>3.9253194395882236</v>
      </c>
      <c r="CA12" s="13">
        <f t="shared" si="39"/>
        <v>1.5427658585813051</v>
      </c>
      <c r="CB12" s="20">
        <f t="shared" si="10"/>
        <v>9.5235818943119295</v>
      </c>
      <c r="CC12" s="59">
        <f t="shared" si="11"/>
        <v>277.1902485609786</v>
      </c>
      <c r="CD12" s="59">
        <f ca="1">AVERAGE(OFFSET($CC$3,0,0,'Données projet'!$E$12+1,1))-AVERAGE(OFFSET($H$3,0,0,'Données projet'!$E$12+1,1))</f>
        <v>286.5685205631126</v>
      </c>
      <c r="CE12" s="59">
        <f t="shared" si="40"/>
        <v>264.17357326498581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2.1</v>
      </c>
      <c r="N13" s="13">
        <f>IF('Données projet'!$A$36&gt;35,N12+M13-V12,IF(A13&lt;'Données projet'!$A$36,$K$205^A13,IF(A13='Données projet'!$A$36,'Données projet'!$B$36,N12+M13-V12)))</f>
        <v>6.4807406984078657</v>
      </c>
      <c r="O13" s="13">
        <f>N13*VLOOKUP('Données projet'!$B$9,Paramètres!$A$1:$I$89,3,0)*VLOOKUP('Données projet'!$B$9,Paramètres!$A$1:$I$89,5,0)</f>
        <v>5.8637741839194364</v>
      </c>
      <c r="P13" s="13">
        <f t="shared" si="33"/>
        <v>2.1994468497187687</v>
      </c>
      <c r="Q13" s="20">
        <f t="shared" si="2"/>
        <v>14.043443300253207</v>
      </c>
      <c r="R13" s="59">
        <f t="shared" si="0"/>
        <v>282.93233218914207</v>
      </c>
      <c r="S13" s="59">
        <f ca="1">AVERAGE(OFFSET($R$3,0,0,'Données projet'!$E$9+1,1))-AVERAGE(OFFSET($H$3,0,0,'Données projet'!$E$9+1,1))</f>
        <v>346.35147716792028</v>
      </c>
      <c r="T13" s="59">
        <f t="shared" si="34"/>
        <v>231.36959598460686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5.5909090909090908</v>
      </c>
      <c r="AI13" s="13">
        <f>IF('Données projet'!$A$62&gt;35,AI12+AH13-AQ12,IF(A13&lt;'Données projet'!$A$62,$AF$205^A13,IF(A13='Données projet'!$A$62,'Données projet'!$B$62,AI12+AH13-AQ12)))</f>
        <v>8.9116242956840761</v>
      </c>
      <c r="AJ13" s="13">
        <f>AI13*VLOOKUP('Données projet'!$B$10,Paramètres!$A$1:$I$89,3,0)*VLOOKUP('Données projet'!$B$10,Paramètres!$A$1:$I$89,5,0)</f>
        <v>5.3291513288190782</v>
      </c>
      <c r="AK13" s="13">
        <f t="shared" si="35"/>
        <v>2.0212829858817885</v>
      </c>
      <c r="AL13" s="20">
        <f t="shared" si="4"/>
        <v>12.802006431437341</v>
      </c>
      <c r="AM13" s="59">
        <f t="shared" si="5"/>
        <v>281.69089532032621</v>
      </c>
      <c r="AN13" s="59">
        <f ca="1">AVERAGE(OFFSET($AM$3,0,0,'Données projet'!$E$10+1,1))-AVERAGE(OFFSET($H$3,0,0,'Données projet'!$E$10+1,1))</f>
        <v>559.94918407141222</v>
      </c>
      <c r="AO13" s="59">
        <f t="shared" si="36"/>
        <v>334.6078891555664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5.2912820512820513</v>
      </c>
      <c r="BD13" s="12">
        <f>IF('Données projet'!$A$88&gt;35,BD12+BC13-BL12,IF(A13&lt;'Données projet'!$A$88,$BA$205^A13,IF(A13='Données projet'!$A$88,'Données projet'!$B$88,BD12+BC13-BL12)))</f>
        <v>5.4145294759866651</v>
      </c>
      <c r="BE13" s="13">
        <f>BD13*VLOOKUP('Données projet'!$B$11,Paramètres!$A$1:$I$89,3,0)*VLOOKUP('Données projet'!$B$11,Paramètres!$A$1:$I$89,5,0)</f>
        <v>2.5339997947617592</v>
      </c>
      <c r="BF13" s="13">
        <f t="shared" si="37"/>
        <v>1.0479861783345426</v>
      </c>
      <c r="BG13" s="20">
        <f t="shared" si="7"/>
        <v>6.2386255698093906</v>
      </c>
      <c r="BH13" s="59">
        <f t="shared" si="8"/>
        <v>275.12751445869827</v>
      </c>
      <c r="BI13" s="59">
        <f ca="1">AVERAGE(OFFSET($BH$3,0,0,'Données projet'!$E$11+1,1))-AVERAGE(OFFSET($H$3,0,0,'Données projet'!$E$11+1,1))</f>
        <v>276.78862011733338</v>
      </c>
      <c r="BJ13" s="59">
        <f t="shared" si="38"/>
        <v>202.1678469635836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3.56</v>
      </c>
      <c r="BY13" s="12">
        <f>IF('Données projet'!$A$114&gt;35,BY12+BX13-CG12,IF(A13&lt;'Données projet'!$A$114,$BV$205^A13,IF(A13='Données projet'!$A$114,'Données projet'!$B$114,BY12+BX13-CG12)))</f>
        <v>6.0222114833056102</v>
      </c>
      <c r="BZ13" s="13">
        <f>BY13*VLOOKUP('Données projet'!$B$12,Paramètres!$A$1:$I$89,3,0)*VLOOKUP('Données projet'!$B$12,Paramètres!$A$1:$I$89,5,0)</f>
        <v>4.6973249569783757</v>
      </c>
      <c r="CA13" s="13">
        <f t="shared" si="39"/>
        <v>1.8080034704086858</v>
      </c>
      <c r="CB13" s="20">
        <f t="shared" si="10"/>
        <v>11.330113677699131</v>
      </c>
      <c r="CC13" s="59">
        <f t="shared" si="11"/>
        <v>280.21900256658796</v>
      </c>
      <c r="CD13" s="59">
        <f ca="1">AVERAGE(OFFSET($CC$3,0,0,'Données projet'!$E$12+1,1))-AVERAGE(OFFSET($H$3,0,0,'Données projet'!$E$12+1,1))</f>
        <v>286.5685205631126</v>
      </c>
      <c r="CE13" s="59">
        <f t="shared" si="40"/>
        <v>264.17357326498581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2.1</v>
      </c>
      <c r="N14" s="13">
        <f>IF('Données projet'!$A$36&gt;35,N13+M14-V13,IF(A14&lt;'Données projet'!$A$36,$K$205^A14,IF(A14='Données projet'!$A$36,'Données projet'!$B$36,N13+M14-V13)))</f>
        <v>7.8124474610620815</v>
      </c>
      <c r="O14" s="13">
        <f>N14*VLOOKUP('Données projet'!$B$9,Paramètres!$A$1:$I$89,3,0)*VLOOKUP('Données projet'!$B$9,Paramètres!$A$1:$I$89,5,0)</f>
        <v>7.0687024627689707</v>
      </c>
      <c r="P14" s="13">
        <f t="shared" si="33"/>
        <v>2.5943503554083325</v>
      </c>
      <c r="Q14" s="20">
        <f t="shared" si="2"/>
        <v>16.829816991658799</v>
      </c>
      <c r="R14" s="59">
        <f t="shared" si="0"/>
        <v>286.94092810276993</v>
      </c>
      <c r="S14" s="59">
        <f ca="1">AVERAGE(OFFSET($R$3,0,0,'Données projet'!$E$9+1,1))-AVERAGE(OFFSET($H$3,0,0,'Données projet'!$E$9+1,1))</f>
        <v>346.35147716792028</v>
      </c>
      <c r="T14" s="59">
        <f t="shared" si="34"/>
        <v>231.36959598460686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5.5909090909090908</v>
      </c>
      <c r="AI14" s="13">
        <f>IF('Données projet'!$A$62&gt;35,AI13+AH14-AQ13,IF(A14&lt;'Données projet'!$A$62,$AF$205^A14,IF(A14='Données projet'!$A$62,'Données projet'!$B$62,AI13+AH14-AQ13)))</f>
        <v>11.090536506409412</v>
      </c>
      <c r="AJ14" s="13">
        <f>AI14*VLOOKUP('Données projet'!$B$10,Paramètres!$A$1:$I$89,3,0)*VLOOKUP('Données projet'!$B$10,Paramètres!$A$1:$I$89,5,0)</f>
        <v>6.6321408308328289</v>
      </c>
      <c r="AK14" s="13">
        <f t="shared" si="35"/>
        <v>2.4522531963221348</v>
      </c>
      <c r="AL14" s="20">
        <f t="shared" si="4"/>
        <v>15.821986263961561</v>
      </c>
      <c r="AM14" s="59">
        <f t="shared" si="5"/>
        <v>285.93309737507269</v>
      </c>
      <c r="AN14" s="59">
        <f ca="1">AVERAGE(OFFSET($AM$3,0,0,'Données projet'!$E$10+1,1))-AVERAGE(OFFSET($H$3,0,0,'Données projet'!$E$10+1,1))</f>
        <v>559.94918407141222</v>
      </c>
      <c r="AO14" s="59">
        <f t="shared" si="36"/>
        <v>334.6078891555664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5.2912820512820513</v>
      </c>
      <c r="BD14" s="12">
        <f>IF('Données projet'!$A$88&gt;35,BD13+BC14-BL13,IF(A14&lt;'Données projet'!$A$88,$BA$205^A14,IF(A14='Données projet'!$A$88,'Données projet'!$B$88,BD13+BC14-BL13)))</f>
        <v>6.4108674049757806</v>
      </c>
      <c r="BE14" s="13">
        <f>BD14*VLOOKUP('Données projet'!$B$11,Paramètres!$A$1:$I$89,3,0)*VLOOKUP('Données projet'!$B$11,Paramètres!$A$1:$I$89,5,0)</f>
        <v>3.0002859455286655</v>
      </c>
      <c r="BF14" s="13">
        <f t="shared" si="37"/>
        <v>1.2166705062501608</v>
      </c>
      <c r="BG14" s="20">
        <f t="shared" si="7"/>
        <v>7.3445324868481237</v>
      </c>
      <c r="BH14" s="59">
        <f t="shared" si="8"/>
        <v>277.45564359795924</v>
      </c>
      <c r="BI14" s="59">
        <f ca="1">AVERAGE(OFFSET($BH$3,0,0,'Données projet'!$E$11+1,1))-AVERAGE(OFFSET($H$3,0,0,'Données projet'!$E$11+1,1))</f>
        <v>276.78862011733338</v>
      </c>
      <c r="BJ14" s="59">
        <f t="shared" si="38"/>
        <v>202.1678469635836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3.56</v>
      </c>
      <c r="BY14" s="12">
        <f>IF('Données projet'!$A$114&gt;35,BY13+BX14-CG13,IF(A14&lt;'Données projet'!$A$114,$BV$205^A14,IF(A14='Données projet'!$A$114,'Données projet'!$B$114,BY13+BX14-CG13)))</f>
        <v>7.206619673149639</v>
      </c>
      <c r="BZ14" s="13">
        <f>BY14*VLOOKUP('Données projet'!$B$12,Paramètres!$A$1:$I$89,3,0)*VLOOKUP('Données projet'!$B$12,Paramètres!$A$1:$I$89,5,0)</f>
        <v>5.6211633450567184</v>
      </c>
      <c r="CA14" s="13">
        <f t="shared" si="39"/>
        <v>2.1188416445874947</v>
      </c>
      <c r="CB14" s="20">
        <f t="shared" si="10"/>
        <v>13.480508690297002</v>
      </c>
      <c r="CC14" s="59">
        <f t="shared" si="11"/>
        <v>283.59161980140817</v>
      </c>
      <c r="CD14" s="59">
        <f ca="1">AVERAGE(OFFSET($CC$3,0,0,'Données projet'!$E$12+1,1))-AVERAGE(OFFSET($H$3,0,0,'Données projet'!$E$12+1,1))</f>
        <v>286.5685205631126</v>
      </c>
      <c r="CE14" s="59">
        <f t="shared" si="40"/>
        <v>264.17357326498581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2.1</v>
      </c>
      <c r="N15" s="13">
        <f>IF('Données projet'!$A$36&gt;35,N14+M15-V14,IF(A15&lt;'Données projet'!$A$36,$K$205^A15,IF(A15='Données projet'!$A$36,'Données projet'!$B$36,N14+M15-V14)))</f>
        <v>9.4178024044149407</v>
      </c>
      <c r="O15" s="13">
        <f>N15*VLOOKUP('Données projet'!$B$9,Paramètres!$A$1:$I$89,3,0)*VLOOKUP('Données projet'!$B$9,Paramètres!$A$1:$I$89,5,0)</f>
        <v>8.521227615514638</v>
      </c>
      <c r="P15" s="13">
        <f t="shared" si="33"/>
        <v>3.0601574970852128</v>
      </c>
      <c r="Q15" s="20">
        <f t="shared" si="2"/>
        <v>20.170912404444739</v>
      </c>
      <c r="R15" s="59">
        <f t="shared" si="0"/>
        <v>291.50424573777804</v>
      </c>
      <c r="S15" s="59">
        <f ca="1">AVERAGE(OFFSET($R$3,0,0,'Données projet'!$E$9+1,1))-AVERAGE(OFFSET($H$3,0,0,'Données projet'!$E$9+1,1))</f>
        <v>346.35147716792028</v>
      </c>
      <c r="T15" s="59">
        <f t="shared" si="34"/>
        <v>231.36959598460686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5.5909090909090908</v>
      </c>
      <c r="AI15" s="13">
        <f>IF('Données projet'!$A$62&gt;35,AI14+AH15-AQ14,IF(A15&lt;'Données projet'!$A$62,$AF$205^A15,IF(A15='Données projet'!$A$62,'Données projet'!$B$62,AI14+AH15-AQ14)))</f>
        <v>13.802197659922571</v>
      </c>
      <c r="AJ15" s="13">
        <f>AI15*VLOOKUP('Données projet'!$B$10,Paramètres!$A$1:$I$89,3,0)*VLOOKUP('Données projet'!$B$10,Paramètres!$A$1:$I$89,5,0)</f>
        <v>8.2537142006336985</v>
      </c>
      <c r="AK15" s="13">
        <f t="shared" si="35"/>
        <v>2.9751132230743558</v>
      </c>
      <c r="AL15" s="20">
        <f t="shared" si="4"/>
        <v>19.556874429624859</v>
      </c>
      <c r="AM15" s="59">
        <f t="shared" si="5"/>
        <v>290.8902077629582</v>
      </c>
      <c r="AN15" s="59">
        <f ca="1">AVERAGE(OFFSET($AM$3,0,0,'Données projet'!$E$10+1,1))-AVERAGE(OFFSET($H$3,0,0,'Données projet'!$E$10+1,1))</f>
        <v>559.94918407141222</v>
      </c>
      <c r="AO15" s="59">
        <f t="shared" si="36"/>
        <v>334.6078891555664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5.2912820512820513</v>
      </c>
      <c r="BD15" s="12">
        <f>IF('Données projet'!$A$88&gt;35,BD14+BC15-BL14,IF(A15&lt;'Données projet'!$A$88,$BA$205^A15,IF(A15='Données projet'!$A$88,'Données projet'!$B$88,BD14+BC15-BL14)))</f>
        <v>7.5905433826623616</v>
      </c>
      <c r="BE15" s="13">
        <f>BD15*VLOOKUP('Données projet'!$B$11,Paramètres!$A$1:$I$89,3,0)*VLOOKUP('Données projet'!$B$11,Paramètres!$A$1:$I$89,5,0)</f>
        <v>3.5523743030859851</v>
      </c>
      <c r="BF15" s="13">
        <f t="shared" si="37"/>
        <v>1.4125063396651774</v>
      </c>
      <c r="BG15" s="20">
        <f t="shared" si="7"/>
        <v>8.6471671194582758</v>
      </c>
      <c r="BH15" s="59">
        <f t="shared" si="8"/>
        <v>279.9805004527916</v>
      </c>
      <c r="BI15" s="59">
        <f ca="1">AVERAGE(OFFSET($BH$3,0,0,'Données projet'!$E$11+1,1))-AVERAGE(OFFSET($H$3,0,0,'Données projet'!$E$11+1,1))</f>
        <v>276.78862011733338</v>
      </c>
      <c r="BJ15" s="59">
        <f t="shared" si="38"/>
        <v>202.1678469635836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3.56</v>
      </c>
      <c r="BY15" s="12">
        <f>IF('Données projet'!$A$114&gt;35,BY14+BX15-CG14,IF(A15&lt;'Données projet'!$A$114,$BV$205^A15,IF(A15='Données projet'!$A$114,'Données projet'!$B$114,BY14+BX15-CG14)))</f>
        <v>8.6239693271150166</v>
      </c>
      <c r="BZ15" s="13">
        <f>BY15*VLOOKUP('Données projet'!$B$12,Paramètres!$A$1:$I$89,3,0)*VLOOKUP('Données projet'!$B$12,Paramètres!$A$1:$I$89,5,0)</f>
        <v>6.7266960751497136</v>
      </c>
      <c r="CA15" s="13">
        <f t="shared" si="39"/>
        <v>2.4831201866130401</v>
      </c>
      <c r="CB15" s="20">
        <f t="shared" si="10"/>
        <v>16.040429989236795</v>
      </c>
      <c r="CC15" s="59">
        <f t="shared" si="11"/>
        <v>287.37376332257008</v>
      </c>
      <c r="CD15" s="59">
        <f ca="1">AVERAGE(OFFSET($CC$3,0,0,'Données projet'!$E$12+1,1))-AVERAGE(OFFSET($H$3,0,0,'Données projet'!$E$12+1,1))</f>
        <v>286.5685205631126</v>
      </c>
      <c r="CE15" s="59">
        <f t="shared" si="40"/>
        <v>264.17357326498581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2.1</v>
      </c>
      <c r="N16" s="13">
        <f>IF('Données projet'!$A$36&gt;35,N15+M16-V15,IF(A16&lt;'Données projet'!$A$36,$K$205^A16,IF(A16='Données projet'!$A$36,'Données projet'!$B$36,N15+M16-V15)))</f>
        <v>11.35303662145153</v>
      </c>
      <c r="O16" s="13">
        <f>N16*VLOOKUP('Données projet'!$B$9,Paramètres!$A$1:$I$89,3,0)*VLOOKUP('Données projet'!$B$9,Paramètres!$A$1:$I$89,5,0)</f>
        <v>10.272227535089344</v>
      </c>
      <c r="P16" s="13">
        <f t="shared" si="33"/>
        <v>3.6095987912522753</v>
      </c>
      <c r="Q16" s="20">
        <f t="shared" si="2"/>
        <v>24.177514185044988</v>
      </c>
      <c r="R16" s="59">
        <f t="shared" si="0"/>
        <v>296.73306974060051</v>
      </c>
      <c r="S16" s="59">
        <f ca="1">AVERAGE(OFFSET($R$3,0,0,'Données projet'!$E$9+1,1))-AVERAGE(OFFSET($H$3,0,0,'Données projet'!$E$9+1,1))</f>
        <v>346.35147716792028</v>
      </c>
      <c r="T16" s="59">
        <f t="shared" si="34"/>
        <v>231.36959598460686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5.5909090909090908</v>
      </c>
      <c r="AI16" s="13">
        <f>IF('Données projet'!$A$62&gt;35,AI15+AH16-AQ15,IF(A16&lt;'Données projet'!$A$62,$AF$205^A16,IF(A16='Données projet'!$A$62,'Données projet'!$B$62,AI15+AH16-AQ15)))</f>
        <v>17.17686607257264</v>
      </c>
      <c r="AJ16" s="13">
        <f>AI16*VLOOKUP('Données projet'!$B$10,Paramètres!$A$1:$I$89,3,0)*VLOOKUP('Données projet'!$B$10,Paramètres!$A$1:$I$89,5,0)</f>
        <v>10.27176591139844</v>
      </c>
      <c r="AK16" s="13">
        <f t="shared" si="35"/>
        <v>3.609455460548272</v>
      </c>
      <c r="AL16" s="20">
        <f t="shared" si="4"/>
        <v>24.176460556140523</v>
      </c>
      <c r="AM16" s="59">
        <f t="shared" si="5"/>
        <v>296.73201611169605</v>
      </c>
      <c r="AN16" s="59">
        <f ca="1">AVERAGE(OFFSET($AM$3,0,0,'Données projet'!$E$10+1,1))-AVERAGE(OFFSET($H$3,0,0,'Données projet'!$E$10+1,1))</f>
        <v>559.94918407141222</v>
      </c>
      <c r="AO16" s="59">
        <f t="shared" si="36"/>
        <v>334.6078891555664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5.2912820512820513</v>
      </c>
      <c r="BD16" s="12">
        <f>IF('Données projet'!$A$88&gt;35,BD15+BC16-BL15,IF(A16&lt;'Données projet'!$A$88,$BA$205^A16,IF(A16='Données projet'!$A$88,'Données projet'!$B$88,BD15+BC16-BL15)))</f>
        <v>8.9872937941846338</v>
      </c>
      <c r="BE16" s="13">
        <f>BD16*VLOOKUP('Données projet'!$B$11,Paramètres!$A$1:$I$89,3,0)*VLOOKUP('Données projet'!$B$11,Paramètres!$A$1:$I$89,5,0)</f>
        <v>4.2060534956784092</v>
      </c>
      <c r="BF16" s="13">
        <f t="shared" si="37"/>
        <v>1.6398639971503413</v>
      </c>
      <c r="BG16" s="20">
        <f t="shared" si="7"/>
        <v>10.181639633343407</v>
      </c>
      <c r="BH16" s="59">
        <f t="shared" si="8"/>
        <v>282.73719518889897</v>
      </c>
      <c r="BI16" s="59">
        <f ca="1">AVERAGE(OFFSET($BH$3,0,0,'Données projet'!$E$11+1,1))-AVERAGE(OFFSET($H$3,0,0,'Données projet'!$E$11+1,1))</f>
        <v>276.78862011733338</v>
      </c>
      <c r="BJ16" s="59">
        <f t="shared" si="38"/>
        <v>202.1678469635836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3.56</v>
      </c>
      <c r="BY16" s="12">
        <f>IF('Données projet'!$A$114&gt;35,BY15+BX16-CG15,IF(A16&lt;'Données projet'!$A$114,$BV$205^A16,IF(A16='Données projet'!$A$114,'Données projet'!$B$114,BY15+BX16-CG15)))</f>
        <v>10.320073811043248</v>
      </c>
      <c r="BZ16" s="13">
        <f>BY16*VLOOKUP('Données projet'!$B$12,Paramètres!$A$1:$I$89,3,0)*VLOOKUP('Données projet'!$B$12,Paramètres!$A$1:$I$89,5,0)</f>
        <v>8.049657572613734</v>
      </c>
      <c r="CA16" s="13">
        <f t="shared" si="39"/>
        <v>2.9100267483017022</v>
      </c>
      <c r="CB16" s="20">
        <f t="shared" si="10"/>
        <v>19.088116858927716</v>
      </c>
      <c r="CC16" s="59">
        <f t="shared" si="11"/>
        <v>291.64367241448326</v>
      </c>
      <c r="CD16" s="59">
        <f ca="1">AVERAGE(OFFSET($CC$3,0,0,'Données projet'!$E$12+1,1))-AVERAGE(OFFSET($H$3,0,0,'Données projet'!$E$12+1,1))</f>
        <v>286.5685205631126</v>
      </c>
      <c r="CE16" s="59">
        <f t="shared" si="40"/>
        <v>264.17357326498581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2.1</v>
      </c>
      <c r="N17" s="13">
        <f>IF('Données projet'!$A$36&gt;35,N16+M17-V16,IF(A17&lt;'Données projet'!$A$36,$K$205^A17,IF(A17='Données projet'!$A$36,'Données projet'!$B$36,N16+M17-V16)))</f>
        <v>13.685935953338433</v>
      </c>
      <c r="O17" s="13">
        <f>N17*VLOOKUP('Données projet'!$B$9,Paramètres!$A$1:$I$89,3,0)*VLOOKUP('Données projet'!$B$9,Paramètres!$A$1:$I$89,5,0)</f>
        <v>12.383034850580612</v>
      </c>
      <c r="P17" s="13">
        <f t="shared" si="33"/>
        <v>4.2576904771143838</v>
      </c>
      <c r="Q17" s="20">
        <f t="shared" si="2"/>
        <v>28.982596612402116</v>
      </c>
      <c r="R17" s="59">
        <f t="shared" si="0"/>
        <v>302.76037439017989</v>
      </c>
      <c r="S17" s="59">
        <f ca="1">AVERAGE(OFFSET($R$3,0,0,'Données projet'!$E$9+1,1))-AVERAGE(OFFSET($H$3,0,0,'Données projet'!$E$9+1,1))</f>
        <v>346.35147716792028</v>
      </c>
      <c r="T17" s="59">
        <f t="shared" si="34"/>
        <v>231.36959598460686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5.5909090909090908</v>
      </c>
      <c r="AI17" s="13">
        <f>IF('Données projet'!$A$62&gt;35,AI16+AH17-AQ16,IF(A17&lt;'Données projet'!$A$62,$AF$205^A17,IF(A17='Données projet'!$A$62,'Données projet'!$B$62,AI16+AH17-AQ16)))</f>
        <v>21.376648512419013</v>
      </c>
      <c r="AJ17" s="13">
        <f>AI17*VLOOKUP('Données projet'!$B$10,Paramètres!$A$1:$I$89,3,0)*VLOOKUP('Données projet'!$B$10,Paramètres!$A$1:$I$89,5,0)</f>
        <v>12.783235810426572</v>
      </c>
      <c r="AK17" s="13">
        <f t="shared" si="35"/>
        <v>4.3790497183898731</v>
      </c>
      <c r="AL17" s="20">
        <f t="shared" si="4"/>
        <v>29.890980629355308</v>
      </c>
      <c r="AM17" s="59">
        <f t="shared" si="5"/>
        <v>303.66875840713305</v>
      </c>
      <c r="AN17" s="59">
        <f ca="1">AVERAGE(OFFSET($AM$3,0,0,'Données projet'!$E$10+1,1))-AVERAGE(OFFSET($H$3,0,0,'Données projet'!$E$10+1,1))</f>
        <v>559.94918407141222</v>
      </c>
      <c r="AO17" s="59">
        <f t="shared" si="36"/>
        <v>334.6078891555664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5.2912820512820513</v>
      </c>
      <c r="BD17" s="12">
        <f>IF('Données projet'!$A$88&gt;35,BD16+BC17-BL16,IF(A17&lt;'Données projet'!$A$88,$BA$205^A17,IF(A17='Données projet'!$A$88,'Données projet'!$B$88,BD16+BC17-BL16)))</f>
        <v>10.641062921461002</v>
      </c>
      <c r="BE17" s="13">
        <f>BD17*VLOOKUP('Données projet'!$B$11,Paramètres!$A$1:$I$89,3,0)*VLOOKUP('Données projet'!$B$11,Paramètres!$A$1:$I$89,5,0)</f>
        <v>4.9800174472437488</v>
      </c>
      <c r="BF17" s="13">
        <f t="shared" si="37"/>
        <v>1.9038172457245992</v>
      </c>
      <c r="BG17" s="20">
        <f t="shared" si="7"/>
        <v>11.989345423586537</v>
      </c>
      <c r="BH17" s="59">
        <f t="shared" si="8"/>
        <v>285.76712320136431</v>
      </c>
      <c r="BI17" s="59">
        <f ca="1">AVERAGE(OFFSET($BH$3,0,0,'Données projet'!$E$11+1,1))-AVERAGE(OFFSET($H$3,0,0,'Données projet'!$E$11+1,1))</f>
        <v>276.78862011733338</v>
      </c>
      <c r="BJ17" s="59">
        <f t="shared" si="38"/>
        <v>202.1678469635836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3.56</v>
      </c>
      <c r="BY17" s="12">
        <f>IF('Données projet'!$A$114&gt;35,BY16+BX17-CG16,IF(A17&lt;'Données projet'!$A$114,$BV$205^A17,IF(A17='Données projet'!$A$114,'Données projet'!$B$114,BY16+BX17-CG16)))</f>
        <v>12.349756756499216</v>
      </c>
      <c r="BZ17" s="13">
        <f>BY17*VLOOKUP('Données projet'!$B$12,Paramètres!$A$1:$I$89,3,0)*VLOOKUP('Données projet'!$B$12,Paramètres!$A$1:$I$89,5,0)</f>
        <v>9.6328102700693883</v>
      </c>
      <c r="CA17" s="13">
        <f t="shared" si="39"/>
        <v>3.4103285541655652</v>
      </c>
      <c r="CB17" s="20">
        <f t="shared" si="10"/>
        <v>22.716800118875877</v>
      </c>
      <c r="CC17" s="59">
        <f t="shared" si="11"/>
        <v>296.49457789665365</v>
      </c>
      <c r="CD17" s="59">
        <f ca="1">AVERAGE(OFFSET($CC$3,0,0,'Données projet'!$E$12+1,1))-AVERAGE(OFFSET($H$3,0,0,'Données projet'!$E$12+1,1))</f>
        <v>286.5685205631126</v>
      </c>
      <c r="CE17" s="59">
        <f t="shared" si="40"/>
        <v>264.17357326498581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2.1</v>
      </c>
      <c r="N18" s="13">
        <f>IF('Données projet'!$A$36&gt;35,N17+M18-V17,IF(A18&lt;'Données projet'!$A$36,$K$205^A18,IF(A18='Données projet'!$A$36,'Données projet'!$B$36,N17+M18-V17)))</f>
        <v>16.498215337821566</v>
      </c>
      <c r="O18" s="13">
        <f>N18*VLOOKUP('Données projet'!$B$9,Paramètres!$A$1:$I$89,3,0)*VLOOKUP('Données projet'!$B$9,Paramètres!$A$1:$I$89,5,0)</f>
        <v>14.927585237660953</v>
      </c>
      <c r="P18" s="13">
        <f t="shared" si="33"/>
        <v>5.0221449106318534</v>
      </c>
      <c r="Q18" s="20">
        <f t="shared" si="2"/>
        <v>34.745780008276633</v>
      </c>
      <c r="R18" s="59">
        <f t="shared" si="0"/>
        <v>309.74578000827665</v>
      </c>
      <c r="S18" s="59">
        <f ca="1">AVERAGE(OFFSET($R$3,0,0,'Données projet'!$E$9+1,1))-AVERAGE(OFFSET($H$3,0,0,'Données projet'!$E$9+1,1))</f>
        <v>346.35147716792028</v>
      </c>
      <c r="T18" s="59">
        <f t="shared" si="34"/>
        <v>231.36959598460686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5.5909090909090908</v>
      </c>
      <c r="AI18" s="13">
        <f>IF('Données projet'!$A$62&gt;35,AI17+AH18-AQ17,IF(A18&lt;'Données projet'!$A$62,$AF$205^A18,IF(A18='Données projet'!$A$62,'Données projet'!$B$62,AI17+AH18-AQ17)))</f>
        <v>26.603287217402478</v>
      </c>
      <c r="AJ18" s="13">
        <f>AI18*VLOOKUP('Données projet'!$B$10,Paramètres!$A$1:$I$89,3,0)*VLOOKUP('Données projet'!$B$10,Paramètres!$A$1:$I$89,5,0)</f>
        <v>15.908765756006684</v>
      </c>
      <c r="AK18" s="13">
        <f t="shared" si="35"/>
        <v>5.312733913945455</v>
      </c>
      <c r="AL18" s="20">
        <f t="shared" si="4"/>
        <v>36.960778591833304</v>
      </c>
      <c r="AM18" s="59">
        <f t="shared" si="5"/>
        <v>311.96077859183333</v>
      </c>
      <c r="AN18" s="59">
        <f ca="1">AVERAGE(OFFSET($AM$3,0,0,'Données projet'!$E$10+1,1))-AVERAGE(OFFSET($H$3,0,0,'Données projet'!$E$10+1,1))</f>
        <v>559.94918407141222</v>
      </c>
      <c r="AO18" s="59">
        <f t="shared" si="36"/>
        <v>334.6078891555664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5.2912820512820513</v>
      </c>
      <c r="BD18" s="12">
        <f>IF('Données projet'!$A$88&gt;35,BD17+BC18-BL17,IF(A18&lt;'Données projet'!$A$88,$BA$205^A18,IF(A18='Données projet'!$A$88,'Données projet'!$B$88,BD17+BC18-BL17)))</f>
        <v>12.599145270154715</v>
      </c>
      <c r="BE18" s="13">
        <f>BD18*VLOOKUP('Données projet'!$B$11,Paramètres!$A$1:$I$89,3,0)*VLOOKUP('Données projet'!$B$11,Paramètres!$A$1:$I$89,5,0)</f>
        <v>5.8963999864324066</v>
      </c>
      <c r="BF18" s="13">
        <f t="shared" si="37"/>
        <v>2.210256528234583</v>
      </c>
      <c r="BG18" s="20">
        <f t="shared" si="7"/>
        <v>14.119093429711674</v>
      </c>
      <c r="BH18" s="59">
        <f t="shared" si="8"/>
        <v>289.11909342971165</v>
      </c>
      <c r="BI18" s="59">
        <f ca="1">AVERAGE(OFFSET($BH$3,0,0,'Données projet'!$E$11+1,1))-AVERAGE(OFFSET($H$3,0,0,'Données projet'!$E$11+1,1))</f>
        <v>276.78862011733338</v>
      </c>
      <c r="BJ18" s="59">
        <f t="shared" si="38"/>
        <v>202.1678469635836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3.56</v>
      </c>
      <c r="BY18" s="12">
        <f>IF('Données projet'!$A$114&gt;35,BY17+BX18-CG17,IF(A18&lt;'Données projet'!$A$114,$BV$205^A18,IF(A18='Données projet'!$A$114,'Données projet'!$B$114,BY17+BX18-CG17)))</f>
        <v>14.778624139441142</v>
      </c>
      <c r="BZ18" s="13">
        <f>BY18*VLOOKUP('Données projet'!$B$12,Paramètres!$A$1:$I$89,3,0)*VLOOKUP('Données projet'!$B$12,Paramètres!$A$1:$I$89,5,0)</f>
        <v>11.527326828764091</v>
      </c>
      <c r="CA18" s="13">
        <f t="shared" si="39"/>
        <v>3.9966439669822584</v>
      </c>
      <c r="CB18" s="20">
        <f t="shared" si="10"/>
        <v>27.037582469258226</v>
      </c>
      <c r="CC18" s="59">
        <f t="shared" si="11"/>
        <v>302.03758246925821</v>
      </c>
      <c r="CD18" s="59">
        <f ca="1">AVERAGE(OFFSET($CC$3,0,0,'Données projet'!$E$12+1,1))-AVERAGE(OFFSET($H$3,0,0,'Données projet'!$E$12+1,1))</f>
        <v>286.5685205631126</v>
      </c>
      <c r="CE18" s="59">
        <f t="shared" si="40"/>
        <v>264.17357326498581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2.1</v>
      </c>
      <c r="N19" s="13">
        <f>IF('Données projet'!$A$36&gt;35,N18+M19-V18,IF(A19&lt;'Données projet'!$A$36,$K$205^A19,IF(A19='Données projet'!$A$36,'Données projet'!$B$36,N18+M19-V18)))</f>
        <v>19.888381054913147</v>
      </c>
      <c r="O19" s="13">
        <f>N19*VLOOKUP('Données projet'!$B$9,Paramètres!$A$1:$I$89,3,0)*VLOOKUP('Données projet'!$B$9,Paramètres!$A$1:$I$89,5,0)</f>
        <v>17.995007178485412</v>
      </c>
      <c r="P19" s="13">
        <f t="shared" si="33"/>
        <v>5.9238546434872337</v>
      </c>
      <c r="Q19" s="20">
        <f t="shared" si="2"/>
        <v>41.658684339935689</v>
      </c>
      <c r="R19" s="59">
        <f t="shared" si="0"/>
        <v>317.88090656215792</v>
      </c>
      <c r="S19" s="59">
        <f ca="1">AVERAGE(OFFSET($R$3,0,0,'Données projet'!$E$9+1,1))-AVERAGE(OFFSET($H$3,0,0,'Données projet'!$E$9+1,1))</f>
        <v>346.35147716792028</v>
      </c>
      <c r="T19" s="59">
        <f t="shared" si="34"/>
        <v>231.36959598460686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5.5909090909090908</v>
      </c>
      <c r="AI19" s="13">
        <f>IF('Données projet'!$A$62&gt;35,AI18+AH19-AQ18,IF(A19&lt;'Données projet'!$A$62,$AF$205^A19,IF(A19='Données projet'!$A$62,'Données projet'!$B$62,AI18+AH19-AQ18)))</f>
        <v>33.107850856996748</v>
      </c>
      <c r="AJ19" s="13">
        <f>AI19*VLOOKUP('Données projet'!$B$10,Paramètres!$A$1:$I$89,3,0)*VLOOKUP('Données projet'!$B$10,Paramètres!$A$1:$I$89,5,0)</f>
        <v>19.798494812484059</v>
      </c>
      <c r="AK19" s="13">
        <f t="shared" si="35"/>
        <v>6.4454946747588586</v>
      </c>
      <c r="AL19" s="20">
        <f t="shared" si="4"/>
        <v>45.70828169028141</v>
      </c>
      <c r="AM19" s="59">
        <f t="shared" si="5"/>
        <v>321.93050391250364</v>
      </c>
      <c r="AN19" s="59">
        <f ca="1">AVERAGE(OFFSET($AM$3,0,0,'Données projet'!$E$10+1,1))-AVERAGE(OFFSET($H$3,0,0,'Données projet'!$E$10+1,1))</f>
        <v>559.94918407141222</v>
      </c>
      <c r="AO19" s="59">
        <f t="shared" si="36"/>
        <v>334.6078891555664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5.2912820512820513</v>
      </c>
      <c r="BD19" s="12">
        <f>IF('Données projet'!$A$88&gt;35,BD18+BC19-BL18,IF(A19&lt;'Données projet'!$A$88,$BA$205^A19,IF(A19='Données projet'!$A$88,'Données projet'!$B$88,BD18+BC19-BL18)))</f>
        <v>14.917538098409006</v>
      </c>
      <c r="BE19" s="13">
        <f>BD19*VLOOKUP('Données projet'!$B$11,Paramètres!$A$1:$I$89,3,0)*VLOOKUP('Données projet'!$B$11,Paramètres!$A$1:$I$89,5,0)</f>
        <v>6.9814078300554154</v>
      </c>
      <c r="BF19" s="13">
        <f t="shared" si="37"/>
        <v>2.5660204158641595</v>
      </c>
      <c r="BG19" s="20">
        <f t="shared" si="7"/>
        <v>16.628437528309927</v>
      </c>
      <c r="BH19" s="59">
        <f t="shared" si="8"/>
        <v>292.85065975053215</v>
      </c>
      <c r="BI19" s="59">
        <f ca="1">AVERAGE(OFFSET($BH$3,0,0,'Données projet'!$E$11+1,1))-AVERAGE(OFFSET($H$3,0,0,'Données projet'!$E$11+1,1))</f>
        <v>276.78862011733338</v>
      </c>
      <c r="BJ19" s="59">
        <f t="shared" si="38"/>
        <v>202.1678469635836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3.56</v>
      </c>
      <c r="BY19" s="12">
        <f>IF('Données projet'!$A$114&gt;35,BY18+BX19-CG18,IF(A19&lt;'Données projet'!$A$114,$BV$205^A19,IF(A19='Données projet'!$A$114,'Données projet'!$B$114,BY18+BX19-CG18)))</f>
        <v>17.68518487944571</v>
      </c>
      <c r="BZ19" s="13">
        <f>BY19*VLOOKUP('Données projet'!$B$12,Paramètres!$A$1:$I$89,3,0)*VLOOKUP('Données projet'!$B$12,Paramètres!$A$1:$I$89,5,0)</f>
        <v>13.794444205967654</v>
      </c>
      <c r="CA19" s="13">
        <f t="shared" si="39"/>
        <v>4.6837607418514473</v>
      </c>
      <c r="CB19" s="20">
        <f t="shared" si="10"/>
        <v>32.182873617451598</v>
      </c>
      <c r="CC19" s="59">
        <f t="shared" si="11"/>
        <v>308.40509583967383</v>
      </c>
      <c r="CD19" s="59">
        <f ca="1">AVERAGE(OFFSET($CC$3,0,0,'Données projet'!$E$12+1,1))-AVERAGE(OFFSET($H$3,0,0,'Données projet'!$E$12+1,1))</f>
        <v>286.5685205631126</v>
      </c>
      <c r="CE19" s="59">
        <f t="shared" si="40"/>
        <v>264.17357326498581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2.1</v>
      </c>
      <c r="N20" s="13">
        <f>IF('Données projet'!$A$36&gt;35,N19+M20-V19,IF(A20&lt;'Données projet'!$A$36,$K$205^A20,IF(A20='Données projet'!$A$36,'Données projet'!$B$36,N19+M20-V19)))</f>
        <v>23.975181126327602</v>
      </c>
      <c r="O20" s="13">
        <f>N20*VLOOKUP('Données projet'!$B$9,Paramètres!$A$1:$I$89,3,0)*VLOOKUP('Données projet'!$B$9,Paramètres!$A$1:$I$89,5,0)</f>
        <v>21.692743883101215</v>
      </c>
      <c r="P20" s="13">
        <f t="shared" si="33"/>
        <v>6.98746341685115</v>
      </c>
      <c r="Q20" s="20">
        <f t="shared" si="2"/>
        <v>49.951361047417038</v>
      </c>
      <c r="R20" s="59">
        <f t="shared" si="0"/>
        <v>327.39580549186149</v>
      </c>
      <c r="S20" s="59">
        <f ca="1">AVERAGE(OFFSET($R$3,0,0,'Données projet'!$E$9+1,1))-AVERAGE(OFFSET($H$3,0,0,'Données projet'!$E$9+1,1))</f>
        <v>346.35147716792028</v>
      </c>
      <c r="T20" s="59">
        <f t="shared" si="34"/>
        <v>231.36959598460686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5.5909090909090908</v>
      </c>
      <c r="AI20" s="13">
        <f>IF('Données projet'!$A$62&gt;35,AI19+AH20-AQ19,IF(A20&lt;'Données projet'!$A$62,$AF$205^A20,IF(A20='Données projet'!$A$62,'Données projet'!$B$62,AI19+AH20-AQ19)))</f>
        <v>41.202794955809431</v>
      </c>
      <c r="AJ20" s="13">
        <f>AI20*VLOOKUP('Données projet'!$B$10,Paramètres!$A$1:$I$89,3,0)*VLOOKUP('Données projet'!$B$10,Paramètres!$A$1:$I$89,5,0)</f>
        <v>24.639271383574041</v>
      </c>
      <c r="AK20" s="13">
        <f t="shared" si="35"/>
        <v>7.8197783429910519</v>
      </c>
      <c r="AL20" s="20">
        <f t="shared" si="4"/>
        <v>56.532844940434195</v>
      </c>
      <c r="AM20" s="59">
        <f t="shared" si="5"/>
        <v>333.97728938487865</v>
      </c>
      <c r="AN20" s="59">
        <f ca="1">AVERAGE(OFFSET($AM$3,0,0,'Données projet'!$E$10+1,1))-AVERAGE(OFFSET($H$3,0,0,'Données projet'!$E$10+1,1))</f>
        <v>559.94918407141222</v>
      </c>
      <c r="AO20" s="59">
        <f t="shared" si="36"/>
        <v>334.6078891555664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5.2912820512820513</v>
      </c>
      <c r="BD20" s="12">
        <f>IF('Données projet'!$A$88&gt;35,BD19+BC20-BL19,IF(A20&lt;'Données projet'!$A$88,$BA$205^A20,IF(A20='Données projet'!$A$88,'Données projet'!$B$88,BD19+BC20-BL19)))</f>
        <v>17.662542826982701</v>
      </c>
      <c r="BE20" s="13">
        <f>BD20*VLOOKUP('Données projet'!$B$11,Paramètres!$A$1:$I$89,3,0)*VLOOKUP('Données projet'!$B$11,Paramètres!$A$1:$I$89,5,0)</f>
        <v>8.2660700430279039</v>
      </c>
      <c r="BF20" s="13">
        <f t="shared" si="37"/>
        <v>2.9790482192992012</v>
      </c>
      <c r="BG20" s="20">
        <f t="shared" si="7"/>
        <v>19.585247640219709</v>
      </c>
      <c r="BH20" s="59">
        <f t="shared" si="8"/>
        <v>297.02969208466419</v>
      </c>
      <c r="BI20" s="59">
        <f ca="1">AVERAGE(OFFSET($BH$3,0,0,'Données projet'!$E$11+1,1))-AVERAGE(OFFSET($H$3,0,0,'Données projet'!$E$11+1,1))</f>
        <v>276.78862011733338</v>
      </c>
      <c r="BJ20" s="59">
        <f t="shared" si="38"/>
        <v>202.1678469635836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3.56</v>
      </c>
      <c r="BY20" s="12">
        <f>IF('Données projet'!$A$114&gt;35,BY19+BX20-CG19,IF(A20&lt;'Données projet'!$A$114,$BV$205^A20,IF(A20='Données projet'!$A$114,'Données projet'!$B$114,BY19+BX20-CG19)))</f>
        <v>21.163388504175224</v>
      </c>
      <c r="BZ20" s="13">
        <f>BY20*VLOOKUP('Données projet'!$B$12,Paramètres!$A$1:$I$89,3,0)*VLOOKUP('Données projet'!$B$12,Paramètres!$A$1:$I$89,5,0)</f>
        <v>16.507443033256674</v>
      </c>
      <c r="CA20" s="13">
        <f t="shared" si="39"/>
        <v>5.4890089955831698</v>
      </c>
      <c r="CB20" s="20">
        <f t="shared" si="10"/>
        <v>38.310487283562729</v>
      </c>
      <c r="CC20" s="59">
        <f t="shared" si="11"/>
        <v>315.75493172800719</v>
      </c>
      <c r="CD20" s="59">
        <f ca="1">AVERAGE(OFFSET($CC$3,0,0,'Données projet'!$E$12+1,1))-AVERAGE(OFFSET($H$3,0,0,'Données projet'!$E$12+1,1))</f>
        <v>286.5685205631126</v>
      </c>
      <c r="CE20" s="59">
        <f t="shared" si="40"/>
        <v>264.17357326498581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2.1</v>
      </c>
      <c r="N21" s="13">
        <f>IF('Données projet'!$A$36&gt;35,N20+M21-V20,IF(A21&lt;'Données projet'!$A$36,$K$205^A21,IF(A21='Données projet'!$A$36,'Données projet'!$B$36,N20+M21-V20)))</f>
        <v>28.901764726506816</v>
      </c>
      <c r="O21" s="13">
        <f>N21*VLOOKUP('Données projet'!$B$9,Paramètres!$A$1:$I$89,3,0)*VLOOKUP('Données projet'!$B$9,Paramètres!$A$1:$I$89,5,0)</f>
        <v>26.150316724543362</v>
      </c>
      <c r="P21" s="13">
        <f t="shared" si="33"/>
        <v>8.2420396752158016</v>
      </c>
      <c r="Q21" s="20">
        <f t="shared" si="2"/>
        <v>59.900020729580547</v>
      </c>
      <c r="R21" s="59">
        <f t="shared" si="0"/>
        <v>338.56668739624723</v>
      </c>
      <c r="S21" s="59">
        <f ca="1">AVERAGE(OFFSET($R$3,0,0,'Données projet'!$E$9+1,1))-AVERAGE(OFFSET($H$3,0,0,'Données projet'!$E$9+1,1))</f>
        <v>346.35147716792028</v>
      </c>
      <c r="T21" s="59">
        <f t="shared" si="34"/>
        <v>231.36959598460686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5.5909090909090908</v>
      </c>
      <c r="AI21" s="13">
        <f>IF('Données projet'!$A$62&gt;35,AI20+AH21-AQ20,IF(A21&lt;'Données projet'!$A$62,$AF$205^A21,IF(A21='Données projet'!$A$62,'Données projet'!$B$62,AI20+AH21-AQ20)))</f>
        <v>51.276971117915458</v>
      </c>
      <c r="AJ21" s="13">
        <f>AI21*VLOOKUP('Données projet'!$B$10,Paramètres!$A$1:$I$89,3,0)*VLOOKUP('Données projet'!$B$10,Paramètres!$A$1:$I$89,5,0)</f>
        <v>30.663628728513448</v>
      </c>
      <c r="AK21" s="13">
        <f t="shared" si="35"/>
        <v>9.4870815071768995</v>
      </c>
      <c r="AL21" s="20">
        <f t="shared" si="4"/>
        <v>69.929153660494023</v>
      </c>
      <c r="AM21" s="59">
        <f t="shared" si="5"/>
        <v>348.59582032716071</v>
      </c>
      <c r="AN21" s="59">
        <f ca="1">AVERAGE(OFFSET($AM$3,0,0,'Données projet'!$E$10+1,1))-AVERAGE(OFFSET($H$3,0,0,'Données projet'!$E$10+1,1))</f>
        <v>559.94918407141222</v>
      </c>
      <c r="AO21" s="59">
        <f t="shared" si="36"/>
        <v>334.6078891555664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5.2912820512820513</v>
      </c>
      <c r="BD21" s="12">
        <f>IF('Données projet'!$A$88&gt;35,BD20+BC21-BL20,IF(A21&lt;'Données projet'!$A$88,$BA$205^A21,IF(A21='Données projet'!$A$88,'Données projet'!$B$88,BD20+BC21-BL20)))</f>
        <v>20.912661127929006</v>
      </c>
      <c r="BE21" s="13">
        <f>BD21*VLOOKUP('Données projet'!$B$11,Paramètres!$A$1:$I$89,3,0)*VLOOKUP('Données projet'!$B$11,Paramètres!$A$1:$I$89,5,0)</f>
        <v>9.787125407870775</v>
      </c>
      <c r="BF21" s="13">
        <f t="shared" si="37"/>
        <v>3.4585571642542829</v>
      </c>
      <c r="BG21" s="20">
        <f t="shared" si="7"/>
        <v>23.06956381311781</v>
      </c>
      <c r="BH21" s="59">
        <f t="shared" si="8"/>
        <v>301.73623047978447</v>
      </c>
      <c r="BI21" s="59">
        <f ca="1">AVERAGE(OFFSET($BH$3,0,0,'Données projet'!$E$11+1,1))-AVERAGE(OFFSET($H$3,0,0,'Données projet'!$E$11+1,1))</f>
        <v>276.78862011733338</v>
      </c>
      <c r="BJ21" s="59">
        <f t="shared" si="38"/>
        <v>202.1678469635836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3.56</v>
      </c>
      <c r="BY21" s="12">
        <f>IF('Données projet'!$A$114&gt;35,BY20+BX21-CG20,IF(A21&lt;'Données projet'!$A$114,$BV$205^A21,IF(A21='Données projet'!$A$114,'Données projet'!$B$114,BY20+BX21-CG20)))</f>
        <v>25.325661904683113</v>
      </c>
      <c r="BZ21" s="13">
        <f>BY21*VLOOKUP('Données projet'!$B$12,Paramètres!$A$1:$I$89,3,0)*VLOOKUP('Données projet'!$B$12,Paramètres!$A$1:$I$89,5,0)</f>
        <v>19.754016285652828</v>
      </c>
      <c r="CA21" s="13">
        <f t="shared" si="39"/>
        <v>6.4326982982660121</v>
      </c>
      <c r="CB21" s="20">
        <f t="shared" si="10"/>
        <v>45.608527900325306</v>
      </c>
      <c r="CC21" s="59">
        <f t="shared" si="11"/>
        <v>324.27519456699201</v>
      </c>
      <c r="CD21" s="59">
        <f ca="1">AVERAGE(OFFSET($CC$3,0,0,'Données projet'!$E$12+1,1))-AVERAGE(OFFSET($H$3,0,0,'Données projet'!$E$12+1,1))</f>
        <v>286.5685205631126</v>
      </c>
      <c r="CE21" s="59">
        <f t="shared" si="40"/>
        <v>264.17357326498581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2.1</v>
      </c>
      <c r="N22" s="13">
        <f>IF('Données projet'!$A$36&gt;35,N21+M22-V21,IF(A22&lt;'Données projet'!$A$36,$K$205^A22,IF(A22='Données projet'!$A$36,'Données projet'!$B$36,N21+M22-V21)))</f>
        <v>34.840696297767764</v>
      </c>
      <c r="O22" s="13">
        <f>N22*VLOOKUP('Données projet'!$B$9,Paramètres!$A$1:$I$89,3,0)*VLOOKUP('Données projet'!$B$9,Paramètres!$A$1:$I$89,5,0)</f>
        <v>31.52386201022027</v>
      </c>
      <c r="P22" s="13">
        <f t="shared" si="33"/>
        <v>9.7218710074397983</v>
      </c>
      <c r="Q22" s="20">
        <f t="shared" si="2"/>
        <v>71.836318339091292</v>
      </c>
      <c r="R22" s="59">
        <f t="shared" si="0"/>
        <v>351.72520722798015</v>
      </c>
      <c r="S22" s="59">
        <f ca="1">AVERAGE(OFFSET($R$3,0,0,'Données projet'!$E$9+1,1))-AVERAGE(OFFSET($H$3,0,0,'Données projet'!$E$9+1,1))</f>
        <v>346.35147716792028</v>
      </c>
      <c r="T22" s="59">
        <f t="shared" si="34"/>
        <v>231.36959598460686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5.5909090909090908</v>
      </c>
      <c r="AI22" s="13">
        <f>IF('Données projet'!$A$62&gt;35,AI21+AH22-AQ21,IF(A22&lt;'Données projet'!$A$62,$AF$205^A22,IF(A22='Données projet'!$A$62,'Données projet'!$B$62,AI21+AH22-AQ21)))</f>
        <v>63.814306040343304</v>
      </c>
      <c r="AJ22" s="13">
        <f>AI22*VLOOKUP('Données projet'!$B$10,Paramètres!$A$1:$I$89,3,0)*VLOOKUP('Données projet'!$B$10,Paramètres!$A$1:$I$89,5,0)</f>
        <v>38.160955012125299</v>
      </c>
      <c r="AK22" s="13">
        <f t="shared" si="35"/>
        <v>11.509880661066306</v>
      </c>
      <c r="AL22" s="20">
        <f t="shared" si="4"/>
        <v>86.510038797475374</v>
      </c>
      <c r="AM22" s="59">
        <f t="shared" si="5"/>
        <v>366.39892768636423</v>
      </c>
      <c r="AN22" s="59">
        <f ca="1">AVERAGE(OFFSET($AM$3,0,0,'Données projet'!$E$10+1,1))-AVERAGE(OFFSET($H$3,0,0,'Données projet'!$E$10+1,1))</f>
        <v>559.94918407141222</v>
      </c>
      <c r="AO22" s="59">
        <f t="shared" si="36"/>
        <v>334.6078891555664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5.2912820512820513</v>
      </c>
      <c r="BD22" s="12">
        <f>IF('Données projet'!$A$88&gt;35,BD21+BC22-BL21,IF(A22&lt;'Données projet'!$A$88,$BA$205^A22,IF(A22='Données projet'!$A$88,'Données projet'!$B$88,BD21+BC22-BL21)))</f>
        <v>24.760839916180057</v>
      </c>
      <c r="BE22" s="13">
        <f>BD22*VLOOKUP('Données projet'!$B$11,Paramètres!$A$1:$I$89,3,0)*VLOOKUP('Données projet'!$B$11,Paramètres!$A$1:$I$89,5,0)</f>
        <v>11.588073080772267</v>
      </c>
      <c r="BF22" s="13">
        <f t="shared" si="37"/>
        <v>4.0152480852520442</v>
      </c>
      <c r="BG22" s="20">
        <f t="shared" si="7"/>
        <v>27.175784364159011</v>
      </c>
      <c r="BH22" s="59">
        <f t="shared" si="8"/>
        <v>307.06467325304789</v>
      </c>
      <c r="BI22" s="59">
        <f ca="1">AVERAGE(OFFSET($BH$3,0,0,'Données projet'!$E$11+1,1))-AVERAGE(OFFSET($H$3,0,0,'Données projet'!$E$11+1,1))</f>
        <v>276.78862011733338</v>
      </c>
      <c r="BJ22" s="59">
        <f t="shared" si="38"/>
        <v>202.1678469635836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3.56</v>
      </c>
      <c r="BY22" s="12">
        <f>IF('Données projet'!$A$114&gt;35,BY21+BX22-CG21,IF(A22&lt;'Données projet'!$A$114,$BV$205^A22,IF(A22='Données projet'!$A$114,'Données projet'!$B$114,BY21+BX22-CG21)))</f>
        <v>30.306543339398647</v>
      </c>
      <c r="BZ22" s="13">
        <f>BY22*VLOOKUP('Données projet'!$B$12,Paramètres!$A$1:$I$89,3,0)*VLOOKUP('Données projet'!$B$12,Paramètres!$A$1:$I$89,5,0)</f>
        <v>23.639103804730947</v>
      </c>
      <c r="CA22" s="13">
        <f t="shared" si="39"/>
        <v>7.5386299111208031</v>
      </c>
      <c r="CB22" s="20">
        <f t="shared" si="10"/>
        <v>54.301219555108467</v>
      </c>
      <c r="CC22" s="59">
        <f t="shared" si="11"/>
        <v>334.1901084439973</v>
      </c>
      <c r="CD22" s="59">
        <f ca="1">AVERAGE(OFFSET($CC$3,0,0,'Données projet'!$E$12+1,1))-AVERAGE(OFFSET($H$3,0,0,'Données projet'!$E$12+1,1))</f>
        <v>286.5685205631126</v>
      </c>
      <c r="CE22" s="59">
        <f t="shared" si="40"/>
        <v>264.17357326498581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42</v>
      </c>
      <c r="L23" s="12">
        <f>VLOOKUP(A23,'Données projet'!$A$35:$I$55,9,0)</f>
        <v>2.1</v>
      </c>
      <c r="M23" s="12">
        <f t="array" ref="M23">INDEX(L:L,MIN(IF(ISNUMBER(L23:L219),ROW(L23:L219),"")))</f>
        <v>2.1</v>
      </c>
      <c r="N23" s="13">
        <f>IF('Données projet'!$A$36&gt;35,N22+M23-V22,IF(A23&lt;'Données projet'!$A$36,$K$205^A23,IF(A23='Données projet'!$A$36,'Données projet'!$B$36,N22+M23-V22)))</f>
        <v>42</v>
      </c>
      <c r="O23" s="13">
        <f>N23*VLOOKUP('Données projet'!$B$9,Paramètres!$A$1:$I$89,3,0)*VLOOKUP('Données projet'!$B$9,Paramètres!$A$1:$I$89,5,0)</f>
        <v>38.001600000000003</v>
      </c>
      <c r="P23" s="13">
        <f t="shared" si="33"/>
        <v>11.467401227090512</v>
      </c>
      <c r="Q23" s="20">
        <f t="shared" si="2"/>
        <v>86.158510470515978</v>
      </c>
      <c r="R23" s="59">
        <f t="shared" si="0"/>
        <v>367.26962158162712</v>
      </c>
      <c r="S23" s="59">
        <f ca="1">AVERAGE(OFFSET($R$3,0,0,'Données projet'!$E$9+1,1))-AVERAGE(OFFSET($H$3,0,0,'Données projet'!$E$9+1,1))</f>
        <v>346.35147716792028</v>
      </c>
      <c r="T23" s="59">
        <f t="shared" si="34"/>
        <v>231.36959598460686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5.5909090909090908</v>
      </c>
      <c r="AI23" s="13">
        <f>IF('Données projet'!$A$62&gt;35,AI22+AH23-AQ22,IF(A23&lt;'Données projet'!$A$62,$AF$205^A23,IF(A23='Données projet'!$A$62,'Données projet'!$B$62,AI22+AH23-AQ22)))</f>
        <v>79.417047587426694</v>
      </c>
      <c r="AJ23" s="13">
        <f>AI23*VLOOKUP('Données projet'!$B$10,Paramètres!$A$1:$I$89,3,0)*VLOOKUP('Données projet'!$B$10,Paramètres!$A$1:$I$89,5,0)</f>
        <v>47.49139445728116</v>
      </c>
      <c r="AK23" s="13">
        <f t="shared" si="35"/>
        <v>13.96397329692701</v>
      </c>
      <c r="AL23" s="20">
        <f t="shared" si="4"/>
        <v>107.03476550524589</v>
      </c>
      <c r="AM23" s="59">
        <f t="shared" si="5"/>
        <v>388.14587661635704</v>
      </c>
      <c r="AN23" s="59">
        <f ca="1">AVERAGE(OFFSET($AM$3,0,0,'Données projet'!$E$10+1,1))-AVERAGE(OFFSET($H$3,0,0,'Données projet'!$E$10+1,1))</f>
        <v>559.94918407141222</v>
      </c>
      <c r="AO23" s="59">
        <f t="shared" si="36"/>
        <v>334.6078891555664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5.2912820512820513</v>
      </c>
      <c r="BD23" s="12">
        <f>IF('Données projet'!$A$88&gt;35,BD22+BC23-BL22,IF(A23&lt;'Données projet'!$A$88,$BA$205^A23,IF(A23='Données projet'!$A$88,'Données projet'!$B$88,BD22+BC23-BL22)))</f>
        <v>29.317129446328433</v>
      </c>
      <c r="BE23" s="13">
        <f>BD23*VLOOKUP('Données projet'!$B$11,Paramètres!$A$1:$I$89,3,0)*VLOOKUP('Données projet'!$B$11,Paramètres!$A$1:$I$89,5,0)</f>
        <v>13.720416580881707</v>
      </c>
      <c r="BF23" s="13">
        <f t="shared" si="37"/>
        <v>4.6615442279660568</v>
      </c>
      <c r="BG23" s="20">
        <f t="shared" si="7"/>
        <v>32.01524840874319</v>
      </c>
      <c r="BH23" s="59">
        <f t="shared" si="8"/>
        <v>313.1263595198543</v>
      </c>
      <c r="BI23" s="59">
        <f ca="1">AVERAGE(OFFSET($BH$3,0,0,'Données projet'!$E$11+1,1))-AVERAGE(OFFSET($H$3,0,0,'Données projet'!$E$11+1,1))</f>
        <v>276.78862011733338</v>
      </c>
      <c r="BJ23" s="59">
        <f t="shared" si="38"/>
        <v>202.1678469635836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3.56</v>
      </c>
      <c r="BY23" s="12">
        <f>IF('Données projet'!$A$114&gt;35,BY22+BX23-CG22,IF(A23&lt;'Données projet'!$A$114,$BV$205^A23,IF(A23='Données projet'!$A$114,'Données projet'!$B$114,BY22+BX23-CG22)))</f>
        <v>36.267031149657967</v>
      </c>
      <c r="BZ23" s="13">
        <f>BY23*VLOOKUP('Données projet'!$B$12,Paramètres!$A$1:$I$89,3,0)*VLOOKUP('Données projet'!$B$12,Paramètres!$A$1:$I$89,5,0)</f>
        <v>28.288284296733217</v>
      </c>
      <c r="CA23" s="13">
        <f t="shared" si="39"/>
        <v>8.834697090047662</v>
      </c>
      <c r="CB23" s="20">
        <f t="shared" si="10"/>
        <v>64.655859248643353</v>
      </c>
      <c r="CC23" s="59">
        <f t="shared" si="11"/>
        <v>345.76697035975451</v>
      </c>
      <c r="CD23" s="59">
        <f ca="1">AVERAGE(OFFSET($CC$3,0,0,'Données projet'!$E$12+1,1))-AVERAGE(OFFSET($H$3,0,0,'Données projet'!$E$12+1,1))</f>
        <v>286.5685205631126</v>
      </c>
      <c r="CE23" s="59">
        <f t="shared" si="40"/>
        <v>264.17357326498581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5.6</v>
      </c>
      <c r="N24" s="13">
        <f>IF('Données projet'!$A$36&gt;35,N23+M24-V23,IF(A24&lt;'Données projet'!$A$36,$K$205^A24,IF(A24='Données projet'!$A$36,'Données projet'!$B$36,N23+M24-V23)))</f>
        <v>47.6</v>
      </c>
      <c r="O24" s="13">
        <f>N24*VLOOKUP('Données projet'!$B$9,Paramètres!$A$1:$I$89,3,0)*VLOOKUP('Données projet'!$B$9,Paramètres!$A$1:$I$89,5,0)</f>
        <v>43.068480000000001</v>
      </c>
      <c r="P24" s="13">
        <f t="shared" si="33"/>
        <v>12.808416415102187</v>
      </c>
      <c r="Q24" s="20">
        <f t="shared" si="2"/>
        <v>97.318927922969635</v>
      </c>
      <c r="R24" s="59">
        <f t="shared" si="0"/>
        <v>379.65226125630295</v>
      </c>
      <c r="S24" s="59">
        <f ca="1">AVERAGE(OFFSET($R$3,0,0,'Données projet'!$E$9+1,1))-AVERAGE(OFFSET($H$3,0,0,'Données projet'!$E$9+1,1))</f>
        <v>346.35147716792028</v>
      </c>
      <c r="T24" s="59">
        <f t="shared" si="34"/>
        <v>231.36959598460686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5.5909090909090908</v>
      </c>
      <c r="AI24" s="13">
        <f>IF('Données projet'!$A$62&gt;35,AI23+AH24-AQ23,IF(A24&lt;'Données projet'!$A$62,$AF$205^A24,IF(A24='Données projet'!$A$62,'Données projet'!$B$62,AI23+AH24-AQ23)))</f>
        <v>98.834694582689295</v>
      </c>
      <c r="AJ24" s="13">
        <f>AI24*VLOOKUP('Données projet'!$B$10,Paramètres!$A$1:$I$89,3,0)*VLOOKUP('Données projet'!$B$10,Paramètres!$A$1:$I$89,5,0)</f>
        <v>59.103147360448204</v>
      </c>
      <c r="AK24" s="13">
        <f t="shared" si="35"/>
        <v>16.94131815778756</v>
      </c>
      <c r="AL24" s="20">
        <f t="shared" si="4"/>
        <v>132.44411077759398</v>
      </c>
      <c r="AM24" s="59">
        <f t="shared" si="5"/>
        <v>414.77744411092726</v>
      </c>
      <c r="AN24" s="59">
        <f ca="1">AVERAGE(OFFSET($AM$3,0,0,'Données projet'!$E$10+1,1))-AVERAGE(OFFSET($H$3,0,0,'Données projet'!$E$10+1,1))</f>
        <v>559.94918407141222</v>
      </c>
      <c r="AO24" s="59">
        <f t="shared" si="36"/>
        <v>334.6078891555664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5.2912820512820513</v>
      </c>
      <c r="BD24" s="12">
        <f>IF('Données projet'!$A$88&gt;35,BD23+BC24-BL23,IF(A24&lt;'Données projet'!$A$88,$BA$205^A24,IF(A24='Données projet'!$A$88,'Données projet'!$B$88,BD23+BC24-BL23)))</f>
        <v>34.71183053088351</v>
      </c>
      <c r="BE24" s="13">
        <f>BD24*VLOOKUP('Données projet'!$B$11,Paramètres!$A$1:$I$89,3,0)*VLOOKUP('Données projet'!$B$11,Paramètres!$A$1:$I$89,5,0)</f>
        <v>16.245136688453481</v>
      </c>
      <c r="BF24" s="13">
        <f t="shared" si="37"/>
        <v>5.411868489296503</v>
      </c>
      <c r="BG24" s="20">
        <f t="shared" si="7"/>
        <v>37.719284017914553</v>
      </c>
      <c r="BH24" s="59">
        <f t="shared" si="8"/>
        <v>320.05261735124787</v>
      </c>
      <c r="BI24" s="59">
        <f ca="1">AVERAGE(OFFSET($BH$3,0,0,'Données projet'!$E$11+1,1))-AVERAGE(OFFSET($H$3,0,0,'Données projet'!$E$11+1,1))</f>
        <v>276.78862011733338</v>
      </c>
      <c r="BJ24" s="59">
        <f t="shared" si="38"/>
        <v>202.1678469635836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3.56</v>
      </c>
      <c r="BY24" s="12">
        <f>IF('Données projet'!$A$114&gt;35,BY23+BX24-CG23,IF(A24&lt;'Données projet'!$A$114,$BV$205^A24,IF(A24='Données projet'!$A$114,'Données projet'!$B$114,BY23+BX24-CG23)))</f>
        <v>43.399787751457886</v>
      </c>
      <c r="BZ24" s="13">
        <f>BY24*VLOOKUP('Données projet'!$B$12,Paramètres!$A$1:$I$89,3,0)*VLOOKUP('Données projet'!$B$12,Paramètres!$A$1:$I$89,5,0)</f>
        <v>33.851834446137154</v>
      </c>
      <c r="CA24" s="13">
        <f t="shared" si="39"/>
        <v>10.353588595423204</v>
      </c>
      <c r="CB24" s="20">
        <f t="shared" si="10"/>
        <v>76.991111797384278</v>
      </c>
      <c r="CC24" s="59">
        <f t="shared" si="11"/>
        <v>359.32444513071761</v>
      </c>
      <c r="CD24" s="59">
        <f ca="1">AVERAGE(OFFSET($CC$3,0,0,'Données projet'!$E$12+1,1))-AVERAGE(OFFSET($H$3,0,0,'Données projet'!$E$12+1,1))</f>
        <v>286.5685205631126</v>
      </c>
      <c r="CE24" s="59">
        <f t="shared" si="40"/>
        <v>264.17357326498581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5.6</v>
      </c>
      <c r="N25" s="13">
        <f>IF('Données projet'!$A$36&gt;35,N24+M25-V24,IF(A25&lt;'Données projet'!$A$36,$K$205^A25,IF(A25='Données projet'!$A$36,'Données projet'!$B$36,N24+M25-V24)))</f>
        <v>53.2</v>
      </c>
      <c r="O25" s="13">
        <f>N25*VLOOKUP('Données projet'!$B$9,Paramètres!$A$1:$I$89,3,0)*VLOOKUP('Données projet'!$B$9,Paramètres!$A$1:$I$89,5,0)</f>
        <v>48.135359999999999</v>
      </c>
      <c r="P25" s="13">
        <f t="shared" si="33"/>
        <v>14.131148275361113</v>
      </c>
      <c r="Q25" s="20">
        <f t="shared" si="2"/>
        <v>108.4475019129206</v>
      </c>
      <c r="R25" s="59">
        <f t="shared" si="0"/>
        <v>392.00305746847613</v>
      </c>
      <c r="S25" s="59">
        <f ca="1">AVERAGE(OFFSET($R$3,0,0,'Données projet'!$E$9+1,1))-AVERAGE(OFFSET($H$3,0,0,'Données projet'!$E$9+1,1))</f>
        <v>346.35147716792028</v>
      </c>
      <c r="T25" s="59">
        <f t="shared" si="34"/>
        <v>231.36959598460686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>
        <f>VLOOKUP(A25,'Données projet'!$A$61:$I$81,2,0)</f>
        <v>123</v>
      </c>
      <c r="AG25" s="12">
        <f>VLOOKUP(A25,'Données projet'!$A$61:$I$81,9,0)</f>
        <v>5.5909090909090908</v>
      </c>
      <c r="AH25" s="12">
        <f t="array" ref="AH25">INDEX(AG:AG,MIN(IF(ISNUMBER(AG25:AG221),ROW(AG25:AG221),"")))</f>
        <v>5.5909090909090908</v>
      </c>
      <c r="AI25" s="13">
        <f>IF('Données projet'!$A$62&gt;35,AI24+AH25-AQ24,IF(A25&lt;'Données projet'!$A$62,$AF$205^A25,IF(A25='Données projet'!$A$62,'Données projet'!$B$62,AI24+AH25-AQ24)))</f>
        <v>123</v>
      </c>
      <c r="AJ25" s="13">
        <f>AI25*VLOOKUP('Données projet'!$B$10,Paramètres!$A$1:$I$89,3,0)*VLOOKUP('Données projet'!$B$10,Paramètres!$A$1:$I$89,5,0)</f>
        <v>73.554000000000016</v>
      </c>
      <c r="AK25" s="13">
        <f t="shared" si="35"/>
        <v>20.553481077376691</v>
      </c>
      <c r="AL25" s="20">
        <f t="shared" si="4"/>
        <v>163.90386287643108</v>
      </c>
      <c r="AM25" s="59">
        <f t="shared" si="5"/>
        <v>447.45941843198659</v>
      </c>
      <c r="AN25" s="59">
        <f ca="1">AVERAGE(OFFSET($AM$3,0,0,'Données projet'!$E$10+1,1))-AVERAGE(OFFSET($H$3,0,0,'Données projet'!$E$10+1,1))</f>
        <v>559.94918407141222</v>
      </c>
      <c r="AO25" s="59">
        <f t="shared" si="36"/>
        <v>334.6078891555664</v>
      </c>
      <c r="AP25" s="15">
        <f>IF(ISNA(VLOOKUP(A25,'Données projet'!$A$61:$I$81,3,0)),0,VLOOKUP(A25,'Données projet'!$A$61:$I$81,3,0))</f>
        <v>1</v>
      </c>
      <c r="AQ25" s="15">
        <f>IF(ISNA(VLOOKUP(A25,'Données projet'!$A$61:$I$81,4,0)),0,VLOOKUP(A25,'Données projet'!$A$61:$I$81,4,0))</f>
        <v>16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1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10.833198622733226</v>
      </c>
      <c r="AX25" s="21">
        <f t="shared" si="6"/>
        <v>10.833198622733226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5.2912820512820513</v>
      </c>
      <c r="BD25" s="12">
        <f>IF('Données projet'!$A$88&gt;35,BD24+BC25-BL24,IF(A25&lt;'Données projet'!$A$88,$BA$205^A25,IF(A25='Données projet'!$A$88,'Données projet'!$B$88,BD24+BC25-BL24)))</f>
        <v>41.099220884180887</v>
      </c>
      <c r="BE25" s="13">
        <f>BD25*VLOOKUP('Données projet'!$B$11,Paramètres!$A$1:$I$89,3,0)*VLOOKUP('Données projet'!$B$11,Paramètres!$A$1:$I$89,5,0)</f>
        <v>19.234435373796657</v>
      </c>
      <c r="BF25" s="13">
        <f t="shared" si="37"/>
        <v>6.2829652821334729</v>
      </c>
      <c r="BG25" s="20">
        <f t="shared" si="7"/>
        <v>44.442806142411648</v>
      </c>
      <c r="BH25" s="59">
        <f t="shared" si="8"/>
        <v>327.9983616979672</v>
      </c>
      <c r="BI25" s="59">
        <f ca="1">AVERAGE(OFFSET($BH$3,0,0,'Données projet'!$E$11+1,1))-AVERAGE(OFFSET($H$3,0,0,'Données projet'!$E$11+1,1))</f>
        <v>276.78862011733338</v>
      </c>
      <c r="BJ25" s="59">
        <f t="shared" si="38"/>
        <v>202.1678469635836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3.56</v>
      </c>
      <c r="BY25" s="12">
        <f>IF('Données projet'!$A$114&gt;35,BY24+BX25-CG24,IF(A25&lt;'Données projet'!$A$114,$BV$205^A25,IF(A25='Données projet'!$A$114,'Données projet'!$B$114,BY24+BX25-CG24)))</f>
        <v>51.935367113427411</v>
      </c>
      <c r="BZ25" s="13">
        <f>BY25*VLOOKUP('Données projet'!$B$12,Paramètres!$A$1:$I$89,3,0)*VLOOKUP('Données projet'!$B$12,Paramètres!$A$1:$I$89,5,0)</f>
        <v>40.509586348473384</v>
      </c>
      <c r="CA25" s="13">
        <f t="shared" si="39"/>
        <v>12.133613151721432</v>
      </c>
      <c r="CB25" s="20">
        <f t="shared" si="10"/>
        <v>91.686905796172638</v>
      </c>
      <c r="CC25" s="59">
        <f t="shared" si="11"/>
        <v>375.2424613517282</v>
      </c>
      <c r="CD25" s="59">
        <f ca="1">AVERAGE(OFFSET($CC$3,0,0,'Données projet'!$E$12+1,1))-AVERAGE(OFFSET($H$3,0,0,'Données projet'!$E$12+1,1))</f>
        <v>286.5685205631126</v>
      </c>
      <c r="CE25" s="59">
        <f t="shared" si="40"/>
        <v>264.17357326498581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5.6</v>
      </c>
      <c r="N26" s="13">
        <f>IF('Données projet'!$A$36&gt;35,N25+M26-V25,IF(A26&lt;'Données projet'!$A$36,$K$205^A26,IF(A26='Données projet'!$A$36,'Données projet'!$B$36,N25+M26-V25)))</f>
        <v>58.800000000000004</v>
      </c>
      <c r="O26" s="13">
        <f>N26*VLOOKUP('Données projet'!$B$9,Paramètres!$A$1:$I$89,3,0)*VLOOKUP('Données projet'!$B$9,Paramètres!$A$1:$I$89,5,0)</f>
        <v>53.202240000000003</v>
      </c>
      <c r="P26" s="13">
        <f t="shared" si="33"/>
        <v>15.437740642425908</v>
      </c>
      <c r="Q26" s="20">
        <f t="shared" si="2"/>
        <v>119.54796628555846</v>
      </c>
      <c r="R26" s="59">
        <f t="shared" si="0"/>
        <v>404.32574406333623</v>
      </c>
      <c r="S26" s="59">
        <f ca="1">AVERAGE(OFFSET($R$3,0,0,'Données projet'!$E$9+1,1))-AVERAGE(OFFSET($H$3,0,0,'Données projet'!$E$9+1,1))</f>
        <v>346.35147716792028</v>
      </c>
      <c r="T26" s="59">
        <f t="shared" si="34"/>
        <v>231.36959598460686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17.666666666666668</v>
      </c>
      <c r="AI26" s="13">
        <f>IF('Données projet'!$A$62&gt;35,AI25+AH26-AQ25,IF(A26&lt;'Données projet'!$A$62,$AF$205^A26,IF(A26='Données projet'!$A$62,'Données projet'!$B$62,AI25+AH26-AQ25)))</f>
        <v>124.66666666666666</v>
      </c>
      <c r="AJ26" s="13">
        <f>AI26*VLOOKUP('Données projet'!$B$10,Paramètres!$A$1:$I$89,3,0)*VLOOKUP('Données projet'!$B$10,Paramètres!$A$1:$I$89,5,0)</f>
        <v>74.550666666666672</v>
      </c>
      <c r="AK26" s="13">
        <f t="shared" si="35"/>
        <v>20.799372750165091</v>
      </c>
      <c r="AL26" s="20">
        <f t="shared" si="4"/>
        <v>166.06798531764863</v>
      </c>
      <c r="AM26" s="59">
        <f t="shared" si="5"/>
        <v>450.84576309542638</v>
      </c>
      <c r="AN26" s="59">
        <f ca="1">AVERAGE(OFFSET($AM$3,0,0,'Données projet'!$E$10+1,1))-AVERAGE(OFFSET($H$3,0,0,'Données projet'!$E$10+1,1))</f>
        <v>559.94918407141222</v>
      </c>
      <c r="AO26" s="59">
        <f t="shared" si="36"/>
        <v>334.6078891555664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7.6602282080754316</v>
      </c>
      <c r="AX26" s="21">
        <f t="shared" si="6"/>
        <v>7.6602282080754316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5.2912820512820513</v>
      </c>
      <c r="BD26" s="12">
        <f>IF('Données projet'!$A$88&gt;35,BD25+BC26-BL25,IF(A26&lt;'Données projet'!$A$88,$BA$205^A26,IF(A26='Données projet'!$A$88,'Données projet'!$B$88,BD25+BC26-BL25)))</f>
        <v>48.661967157964739</v>
      </c>
      <c r="BE26" s="13">
        <f>BD26*VLOOKUP('Données projet'!$B$11,Paramètres!$A$1:$I$89,3,0)*VLOOKUP('Données projet'!$B$11,Paramètres!$A$1:$I$89,5,0)</f>
        <v>22.773800629927496</v>
      </c>
      <c r="BF26" s="13">
        <f t="shared" si="37"/>
        <v>7.2942742076177201</v>
      </c>
      <c r="BG26" s="20">
        <f t="shared" si="7"/>
        <v>52.36856367539125</v>
      </c>
      <c r="BH26" s="59">
        <f t="shared" si="8"/>
        <v>337.14634145316904</v>
      </c>
      <c r="BI26" s="59">
        <f ca="1">AVERAGE(OFFSET($BH$3,0,0,'Données projet'!$E$11+1,1))-AVERAGE(OFFSET($H$3,0,0,'Données projet'!$E$11+1,1))</f>
        <v>276.78862011733338</v>
      </c>
      <c r="BJ26" s="59">
        <f t="shared" si="38"/>
        <v>202.1678469635836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3.56</v>
      </c>
      <c r="BY26" s="12">
        <f>IF('Données projet'!$A$114&gt;35,BY25+BX26-CG25,IF(A26&lt;'Données projet'!$A$114,$BV$205^A26,IF(A26='Données projet'!$A$114,'Données projet'!$B$114,BY25+BX26-CG25)))</f>
        <v>62.149667013426139</v>
      </c>
      <c r="BZ26" s="13">
        <f>BY26*VLOOKUP('Données projet'!$B$12,Paramètres!$A$1:$I$89,3,0)*VLOOKUP('Données projet'!$B$12,Paramètres!$A$1:$I$89,5,0)</f>
        <v>48.476740270472391</v>
      </c>
      <c r="CA26" s="13">
        <f t="shared" si="39"/>
        <v>14.219665651067873</v>
      </c>
      <c r="CB26" s="20">
        <f t="shared" si="10"/>
        <v>109.19624031334928</v>
      </c>
      <c r="CC26" s="59">
        <f t="shared" si="11"/>
        <v>393.97401809112705</v>
      </c>
      <c r="CD26" s="59">
        <f ca="1">AVERAGE(OFFSET($CC$3,0,0,'Données projet'!$E$12+1,1))-AVERAGE(OFFSET($H$3,0,0,'Données projet'!$E$12+1,1))</f>
        <v>286.5685205631126</v>
      </c>
      <c r="CE26" s="59">
        <f t="shared" si="40"/>
        <v>264.17357326498581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5.6</v>
      </c>
      <c r="N27" s="13">
        <f>IF('Données projet'!$A$36&gt;35,N26+M27-V26,IF(A27&lt;'Données projet'!$A$36,$K$205^A27,IF(A27='Données projet'!$A$36,'Données projet'!$B$36,N26+M27-V26)))</f>
        <v>64.400000000000006</v>
      </c>
      <c r="O27" s="13">
        <f>N27*VLOOKUP('Données projet'!$B$9,Paramètres!$A$1:$I$89,3,0)*VLOOKUP('Données projet'!$B$9,Paramètres!$A$1:$I$89,5,0)</f>
        <v>58.269120000000008</v>
      </c>
      <c r="P27" s="13">
        <f t="shared" si="33"/>
        <v>16.729905486873804</v>
      </c>
      <c r="Q27" s="20">
        <f t="shared" si="2"/>
        <v>130.62330272297189</v>
      </c>
      <c r="R27" s="59">
        <f t="shared" si="0"/>
        <v>416.62330272297186</v>
      </c>
      <c r="S27" s="59">
        <f ca="1">AVERAGE(OFFSET($R$3,0,0,'Données projet'!$E$9+1,1))-AVERAGE(OFFSET($H$3,0,0,'Données projet'!$E$9+1,1))</f>
        <v>346.35147716792028</v>
      </c>
      <c r="T27" s="59">
        <f t="shared" si="34"/>
        <v>231.36959598460686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17.666666666666668</v>
      </c>
      <c r="AI27" s="13">
        <f>IF('Données projet'!$A$62&gt;35,AI26+AH27-AQ26,IF(A27&lt;'Données projet'!$A$62,$AF$205^A27,IF(A27='Données projet'!$A$62,'Données projet'!$B$62,AI26+AH27-AQ26)))</f>
        <v>142.33333333333331</v>
      </c>
      <c r="AJ27" s="13">
        <f>AI27*VLOOKUP('Données projet'!$B$10,Paramètres!$A$1:$I$89,3,0)*VLOOKUP('Données projet'!$B$10,Paramètres!$A$1:$I$89,5,0)</f>
        <v>85.115333333333325</v>
      </c>
      <c r="AK27" s="13">
        <f t="shared" si="35"/>
        <v>23.383362413413614</v>
      </c>
      <c r="AL27" s="20">
        <f t="shared" si="4"/>
        <v>188.96856175891756</v>
      </c>
      <c r="AM27" s="59">
        <f t="shared" si="5"/>
        <v>474.96856175891753</v>
      </c>
      <c r="AN27" s="59">
        <f ca="1">AVERAGE(OFFSET($AM$3,0,0,'Données projet'!$E$10+1,1))-AVERAGE(OFFSET($H$3,0,0,'Données projet'!$E$10+1,1))</f>
        <v>559.94918407141222</v>
      </c>
      <c r="AO27" s="59">
        <f t="shared" si="36"/>
        <v>334.6078891555664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5.416599311366614</v>
      </c>
      <c r="AX27" s="21">
        <f t="shared" si="6"/>
        <v>5.416599311366614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5.2912820512820513</v>
      </c>
      <c r="BD27" s="12">
        <f>IF('Données projet'!$A$88&gt;35,BD26+BC27-BL26,IF(A27&lt;'Données projet'!$A$88,$BA$205^A27,IF(A27='Données projet'!$A$88,'Données projet'!$B$88,BD26+BC27-BL26)))</f>
        <v>57.616348844079376</v>
      </c>
      <c r="BE27" s="13">
        <f>BD27*VLOOKUP('Données projet'!$B$11,Paramètres!$A$1:$I$89,3,0)*VLOOKUP('Données projet'!$B$11,Paramètres!$A$1:$I$89,5,0)</f>
        <v>26.964451259029147</v>
      </c>
      <c r="BF27" s="13">
        <f t="shared" si="37"/>
        <v>8.4683638738570401</v>
      </c>
      <c r="BG27" s="20">
        <f t="shared" si="7"/>
        <v>61.712153023110119</v>
      </c>
      <c r="BH27" s="59">
        <f t="shared" si="8"/>
        <v>347.71215302311009</v>
      </c>
      <c r="BI27" s="59">
        <f ca="1">AVERAGE(OFFSET($BH$3,0,0,'Données projet'!$E$11+1,1))-AVERAGE(OFFSET($H$3,0,0,'Données projet'!$E$11+1,1))</f>
        <v>276.78862011733338</v>
      </c>
      <c r="BJ27" s="59">
        <f t="shared" si="38"/>
        <v>202.1678469635836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3.56</v>
      </c>
      <c r="BY27" s="12">
        <f>IF('Données projet'!$A$114&gt;35,BY26+BX27-CG26,IF(A27&lt;'Données projet'!$A$114,$BV$205^A27,IF(A27='Données projet'!$A$114,'Données projet'!$B$114,BY26+BX27-CG26)))</f>
        <v>74.372846955020648</v>
      </c>
      <c r="BZ27" s="13">
        <f>BY27*VLOOKUP('Données projet'!$B$12,Paramètres!$A$1:$I$89,3,0)*VLOOKUP('Données projet'!$B$12,Paramètres!$A$1:$I$89,5,0)</f>
        <v>58.010820624916107</v>
      </c>
      <c r="CA27" s="13">
        <f t="shared" si="39"/>
        <v>16.664359469831368</v>
      </c>
      <c r="CB27" s="20">
        <f t="shared" si="10"/>
        <v>130.05927199835185</v>
      </c>
      <c r="CC27" s="59">
        <f t="shared" si="11"/>
        <v>416.05927199835185</v>
      </c>
      <c r="CD27" s="59">
        <f ca="1">AVERAGE(OFFSET($CC$3,0,0,'Données projet'!$E$12+1,1))-AVERAGE(OFFSET($H$3,0,0,'Données projet'!$E$12+1,1))</f>
        <v>286.5685205631126</v>
      </c>
      <c r="CE27" s="59">
        <f t="shared" si="40"/>
        <v>264.17357326498581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70</v>
      </c>
      <c r="L28" s="12">
        <f>VLOOKUP(A28,'Données projet'!$A$35:$I$55,9,0)</f>
        <v>5.6</v>
      </c>
      <c r="M28" s="12">
        <f t="array" ref="M28">INDEX(L:L,MIN(IF(ISNUMBER(L28:L224),ROW(L28:L224),"")))</f>
        <v>5.6</v>
      </c>
      <c r="N28" s="13">
        <f>IF('Données projet'!$A$36&gt;35,N27+M28-V27,IF(A28&lt;'Données projet'!$A$36,$K$205^A28,IF(A28='Données projet'!$A$36,'Données projet'!$B$36,N27+M28-V27)))</f>
        <v>70</v>
      </c>
      <c r="O28" s="13">
        <f>N28*VLOOKUP('Données projet'!$B$9,Paramètres!$A$1:$I$89,3,0)*VLOOKUP('Données projet'!$B$9,Paramètres!$A$1:$I$89,5,0)</f>
        <v>63.335999999999991</v>
      </c>
      <c r="P28" s="13">
        <f t="shared" si="33"/>
        <v>18.009040022946227</v>
      </c>
      <c r="Q28" s="20">
        <f t="shared" si="2"/>
        <v>141.67594470663133</v>
      </c>
      <c r="R28" s="59">
        <f t="shared" si="0"/>
        <v>428.89816692885358</v>
      </c>
      <c r="S28" s="59">
        <f ca="1">AVERAGE(OFFSET($R$3,0,0,'Données projet'!$E$9+1,1))-AVERAGE(OFFSET($H$3,0,0,'Données projet'!$E$9+1,1))</f>
        <v>346.35147716792028</v>
      </c>
      <c r="T28" s="59">
        <f t="shared" si="34"/>
        <v>231.36959598460686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0.4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2.731850087471857</v>
      </c>
      <c r="AC28" s="22">
        <f t="shared" si="3"/>
        <v>2.731850087471857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160</v>
      </c>
      <c r="AG28" s="12">
        <f>VLOOKUP(A28,'Données projet'!$A$61:$I$81,9,0)</f>
        <v>17.666666666666668</v>
      </c>
      <c r="AH28" s="12">
        <f t="array" ref="AH28">INDEX(AG:AG,MIN(IF(ISNUMBER(AG28:AG224),ROW(AG28:AG224),"")))</f>
        <v>17.666666666666668</v>
      </c>
      <c r="AI28" s="13">
        <f>IF('Données projet'!$A$62&gt;35,AI27+AH28-AQ27,IF(A28&lt;'Données projet'!$A$62,$AF$205^A28,IF(A28='Données projet'!$A$62,'Données projet'!$B$62,AI27+AH28-AQ27)))</f>
        <v>159.99999999999997</v>
      </c>
      <c r="AJ28" s="13">
        <f>AI28*VLOOKUP('Données projet'!$B$10,Paramètres!$A$1:$I$89,3,0)*VLOOKUP('Données projet'!$B$10,Paramètres!$A$1:$I$89,5,0)</f>
        <v>95.679999999999993</v>
      </c>
      <c r="AK28" s="13">
        <f t="shared" si="35"/>
        <v>25.930186937101944</v>
      </c>
      <c r="AL28" s="20">
        <f t="shared" si="4"/>
        <v>211.80440891545254</v>
      </c>
      <c r="AM28" s="59">
        <f t="shared" si="5"/>
        <v>499.02663113767477</v>
      </c>
      <c r="AN28" s="59">
        <f ca="1">AVERAGE(OFFSET($AM$3,0,0,'Données projet'!$E$10+1,1))-AVERAGE(OFFSET($H$3,0,0,'Données projet'!$E$10+1,1))</f>
        <v>559.94918407141222</v>
      </c>
      <c r="AO28" s="59">
        <f t="shared" si="36"/>
        <v>334.6078891555664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17</v>
      </c>
      <c r="AR28" s="16">
        <f>IF(ISNA(VLOOKUP(A28,'Données projet'!$A$61:$I$81,5,0)),0%,VLOOKUP(A28,'Données projet'!$A$61:$I$81,5,0)*VLOOKUP('Données projet'!$B$10,Paramètres!$A$1:$I$89,7,0))</f>
        <v>0.22500000000000001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0.5</v>
      </c>
      <c r="AU28" s="21">
        <f>EXP(-LN(2)/35)*AU27+(1-EXP(-LN(2)/35))/(LN(2)/35)*AQ28*AR28*VLOOKUP('Données projet'!$B$10,Paramètres!$A$1:$I$89,3,0)*0.475*44/12</f>
        <v>3.0343172071496323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9.5852508723647425</v>
      </c>
      <c r="AX28" s="21">
        <f t="shared" si="6"/>
        <v>12.619568079514375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5.2912820512820513</v>
      </c>
      <c r="BD28" s="12">
        <f>IF('Données projet'!$A$88&gt;35,BD27+BC28-BL27,IF(A28&lt;'Données projet'!$A$88,$BA$205^A28,IF(A28='Données projet'!$A$88,'Données projet'!$B$88,BD27+BC28-BL27)))</f>
        <v>68.218443437490691</v>
      </c>
      <c r="BE28" s="13">
        <f>BD28*VLOOKUP('Données projet'!$B$11,Paramètres!$A$1:$I$89,3,0)*VLOOKUP('Données projet'!$B$11,Paramètres!$A$1:$I$89,5,0)</f>
        <v>31.926231528745642</v>
      </c>
      <c r="BF28" s="13">
        <f t="shared" si="37"/>
        <v>9.8314355422988982</v>
      </c>
      <c r="BG28" s="20">
        <f t="shared" si="7"/>
        <v>72.727936815402572</v>
      </c>
      <c r="BH28" s="59">
        <f t="shared" si="8"/>
        <v>359.95015903762481</v>
      </c>
      <c r="BI28" s="59">
        <f ca="1">AVERAGE(OFFSET($BH$3,0,0,'Données projet'!$E$11+1,1))-AVERAGE(OFFSET($H$3,0,0,'Données projet'!$E$11+1,1))</f>
        <v>276.78862011733338</v>
      </c>
      <c r="BJ28" s="59">
        <f t="shared" si="38"/>
        <v>202.1678469635836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89</v>
      </c>
      <c r="BW28" s="12">
        <f>VLOOKUP(A28,'Données projet'!$A$113:$I$133,9,0)</f>
        <v>3.56</v>
      </c>
      <c r="BX28" s="12">
        <f t="array" ref="BX28">INDEX(BW:BW,MIN(IF(ISNUMBER(BW28:BW224),ROW(BW28:BW224),"")))</f>
        <v>3.56</v>
      </c>
      <c r="BY28" s="12">
        <f>IF('Données projet'!$A$114&gt;35,BY27+BX28-CG27,IF(A28&lt;'Données projet'!$A$114,$BV$205^A28,IF(A28='Données projet'!$A$114,'Données projet'!$B$114,BY27+BX28-CG27)))</f>
        <v>89</v>
      </c>
      <c r="BZ28" s="13">
        <f>BY28*VLOOKUP('Données projet'!$B$12,Paramètres!$A$1:$I$89,3,0)*VLOOKUP('Données projet'!$B$12,Paramètres!$A$1:$I$89,5,0)</f>
        <v>69.42</v>
      </c>
      <c r="CA28" s="13">
        <f t="shared" si="39"/>
        <v>19.529353456978352</v>
      </c>
      <c r="CB28" s="20">
        <f t="shared" si="10"/>
        <v>154.92012393757065</v>
      </c>
      <c r="CC28" s="59">
        <f t="shared" si="11"/>
        <v>442.14234615979285</v>
      </c>
      <c r="CD28" s="59">
        <f ca="1">AVERAGE(OFFSET($CC$3,0,0,'Données projet'!$E$12+1,1))-AVERAGE(OFFSET($H$3,0,0,'Données projet'!$E$12+1,1))</f>
        <v>286.5685205631126</v>
      </c>
      <c r="CE28" s="59">
        <f t="shared" si="40"/>
        <v>264.17357326498581</v>
      </c>
      <c r="CF28" s="15">
        <f>IF(ISNA(VLOOKUP(A28,'Données projet'!$A$113:$I$133,3,0)),0,VLOOKUP(A28,'Données projet'!$A$113:$I$133,3,0))</f>
        <v>1</v>
      </c>
      <c r="CG28" s="15">
        <f>IF(ISNA(VLOOKUP(A28,'Données projet'!$A$113:$I$133,4,0)),0,VLOOKUP(A28,'Données projet'!$A$113:$I$133,4,0))</f>
        <v>28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7</v>
      </c>
      <c r="N29" s="13">
        <f>IF('Données projet'!$A$36&gt;35,N28+M29-V28,IF(A29&lt;'Données projet'!$A$36,$K$205^A29,IF(A29='Données projet'!$A$36,'Données projet'!$B$36,N28+M29-V28)))</f>
        <v>69</v>
      </c>
      <c r="O29" s="13">
        <f>N29*VLOOKUP('Données projet'!$B$9,Paramètres!$A$1:$I$89,3,0)*VLOOKUP('Données projet'!$B$9,Paramètres!$A$1:$I$89,5,0)</f>
        <v>62.431199999999997</v>
      </c>
      <c r="P29" s="13">
        <f t="shared" si="33"/>
        <v>17.781524466058684</v>
      </c>
      <c r="Q29" s="20">
        <f t="shared" si="2"/>
        <v>139.70382844505221</v>
      </c>
      <c r="R29" s="59">
        <f t="shared" si="0"/>
        <v>428.14827288949664</v>
      </c>
      <c r="S29" s="59">
        <f ca="1">AVERAGE(OFFSET($R$3,0,0,'Données projet'!$E$9+1,1))-AVERAGE(OFFSET($H$3,0,0,'Données projet'!$E$9+1,1))</f>
        <v>346.35147716792028</v>
      </c>
      <c r="T29" s="59">
        <f t="shared" si="34"/>
        <v>231.36959598460686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1.9317097220364132</v>
      </c>
      <c r="AC29" s="22">
        <f t="shared" si="3"/>
        <v>1.9317097220364132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16.8</v>
      </c>
      <c r="AI29" s="13">
        <f>IF('Données projet'!$A$62&gt;35,AI28+AH29-AQ28,IF(A29&lt;'Données projet'!$A$62,$AF$205^A29,IF(A29='Données projet'!$A$62,'Données projet'!$B$62,AI28+AH29-AQ28)))</f>
        <v>159.79999999999998</v>
      </c>
      <c r="AJ29" s="13">
        <f>AI29*VLOOKUP('Données projet'!$B$10,Paramètres!$A$1:$I$89,3,0)*VLOOKUP('Données projet'!$B$10,Paramètres!$A$1:$I$89,5,0)</f>
        <v>95.560400000000001</v>
      </c>
      <c r="AK29" s="13">
        <f t="shared" si="35"/>
        <v>25.901544961107959</v>
      </c>
      <c r="AL29" s="20">
        <f t="shared" si="4"/>
        <v>211.54622080726301</v>
      </c>
      <c r="AM29" s="59">
        <f t="shared" si="5"/>
        <v>499.99066525170747</v>
      </c>
      <c r="AN29" s="59">
        <f ca="1">AVERAGE(OFFSET($AM$3,0,0,'Données projet'!$E$10+1,1))-AVERAGE(OFFSET($H$3,0,0,'Données projet'!$E$10+1,1))</f>
        <v>559.94918407141222</v>
      </c>
      <c r="AO29" s="59">
        <f t="shared" si="36"/>
        <v>334.6078891555664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2.9748160974681781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6.7777958912233798</v>
      </c>
      <c r="AX29" s="21">
        <f t="shared" si="6"/>
        <v>9.7526119886915588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5.2912820512820513</v>
      </c>
      <c r="BD29" s="12">
        <f>IF('Données projet'!$A$88&gt;35,BD28+BC29-BL28,IF(A29&lt;'Données projet'!$A$88,$BA$205^A29,IF(A29='Données projet'!$A$88,'Données projet'!$B$88,BD28+BC29-BL28)))</f>
        <v>80.771449742989631</v>
      </c>
      <c r="BE29" s="13">
        <f>BD29*VLOOKUP('Données projet'!$B$11,Paramètres!$A$1:$I$89,3,0)*VLOOKUP('Données projet'!$B$11,Paramètres!$A$1:$I$89,5,0)</f>
        <v>37.801038479719146</v>
      </c>
      <c r="BF29" s="13">
        <f t="shared" si="37"/>
        <v>11.413907841250353</v>
      </c>
      <c r="BG29" s="20">
        <f t="shared" si="7"/>
        <v>85.716031509021889</v>
      </c>
      <c r="BH29" s="59">
        <f t="shared" si="8"/>
        <v>374.16047595346635</v>
      </c>
      <c r="BI29" s="59">
        <f ca="1">AVERAGE(OFFSET($BH$3,0,0,'Données projet'!$E$11+1,1))-AVERAGE(OFFSET($H$3,0,0,'Données projet'!$E$11+1,1))</f>
        <v>276.78862011733338</v>
      </c>
      <c r="BJ29" s="59">
        <f t="shared" si="38"/>
        <v>202.1678469635836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14.2</v>
      </c>
      <c r="BY29" s="12">
        <f>IF('Données projet'!$A$114&gt;35,BY28+BX29-CG28,IF(A29&lt;'Données projet'!$A$114,$BV$205^A29,IF(A29='Données projet'!$A$114,'Données projet'!$B$114,BY28+BX29-CG28)))</f>
        <v>75.2</v>
      </c>
      <c r="BZ29" s="13">
        <f>BY29*VLOOKUP('Données projet'!$B$12,Paramètres!$A$1:$I$89,3,0)*VLOOKUP('Données projet'!$B$12,Paramètres!$A$1:$I$89,5,0)</f>
        <v>58.656000000000006</v>
      </c>
      <c r="CA29" s="13">
        <f t="shared" si="39"/>
        <v>16.828016909929076</v>
      </c>
      <c r="CB29" s="20">
        <f t="shared" si="10"/>
        <v>131.46799611812648</v>
      </c>
      <c r="CC29" s="59">
        <f t="shared" si="11"/>
        <v>419.91244056257096</v>
      </c>
      <c r="CD29" s="59">
        <f ca="1">AVERAGE(OFFSET($CC$3,0,0,'Données projet'!$E$12+1,1))-AVERAGE(OFFSET($H$3,0,0,'Données projet'!$E$12+1,1))</f>
        <v>286.5685205631126</v>
      </c>
      <c r="CE29" s="59">
        <f t="shared" si="40"/>
        <v>264.17357326498581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7</v>
      </c>
      <c r="N30" s="13">
        <f>IF('Données projet'!$A$36&gt;35,N29+M30-V29,IF(A30&lt;'Données projet'!$A$36,$K$205^A30,IF(A30='Données projet'!$A$36,'Données projet'!$B$36,N29+M30-V29)))</f>
        <v>76</v>
      </c>
      <c r="O30" s="13">
        <f>N30*VLOOKUP('Données projet'!$B$9,Paramètres!$A$1:$I$89,3,0)*VLOOKUP('Données projet'!$B$9,Paramètres!$A$1:$I$89,5,0)</f>
        <v>68.764799999999994</v>
      </c>
      <c r="P30" s="13">
        <f t="shared" si="33"/>
        <v>19.366396769521369</v>
      </c>
      <c r="Q30" s="20">
        <f t="shared" si="2"/>
        <v>153.49516770691636</v>
      </c>
      <c r="R30" s="59">
        <f t="shared" si="0"/>
        <v>443.16183437358302</v>
      </c>
      <c r="S30" s="59">
        <f ca="1">AVERAGE(OFFSET($R$3,0,0,'Données projet'!$E$9+1,1))-AVERAGE(OFFSET($H$3,0,0,'Données projet'!$E$9+1,1))</f>
        <v>346.35147716792028</v>
      </c>
      <c r="T30" s="59">
        <f t="shared" si="34"/>
        <v>231.36959598460686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1.3659250437359287</v>
      </c>
      <c r="AC30" s="22">
        <f t="shared" si="3"/>
        <v>1.3659250437359287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16.8</v>
      </c>
      <c r="AI30" s="13">
        <f>IF('Données projet'!$A$62&gt;35,AI29+AH30-AQ29,IF(A30&lt;'Données projet'!$A$62,$AF$205^A30,IF(A30='Données projet'!$A$62,'Données projet'!$B$62,AI29+AH30-AQ29)))</f>
        <v>176.6</v>
      </c>
      <c r="AJ30" s="13">
        <f>AI30*VLOOKUP('Données projet'!$B$10,Paramètres!$A$1:$I$89,3,0)*VLOOKUP('Données projet'!$B$10,Paramètres!$A$1:$I$89,5,0)</f>
        <v>105.60680000000001</v>
      </c>
      <c r="AK30" s="13">
        <f t="shared" si="35"/>
        <v>28.2934699302388</v>
      </c>
      <c r="AL30" s="20">
        <f t="shared" si="4"/>
        <v>233.20963679516592</v>
      </c>
      <c r="AM30" s="59">
        <f t="shared" si="5"/>
        <v>522.87630346183255</v>
      </c>
      <c r="AN30" s="59">
        <f ca="1">AVERAGE(OFFSET($AM$3,0,0,'Données projet'!$E$10+1,1))-AVERAGE(OFFSET($H$3,0,0,'Données projet'!$E$10+1,1))</f>
        <v>559.94918407141222</v>
      </c>
      <c r="AO30" s="59">
        <f t="shared" si="36"/>
        <v>334.6078891555664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2.9164817682554838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4.7926254361823712</v>
      </c>
      <c r="AX30" s="21">
        <f t="shared" si="6"/>
        <v>7.7091072044378546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5.2912820512820513</v>
      </c>
      <c r="BD30" s="12">
        <f>IF('Données projet'!$A$88&gt;35,BD29+BC30-BL29,IF(A30&lt;'Données projet'!$A$88,$BA$205^A30,IF(A30='Données projet'!$A$88,'Données projet'!$B$88,BD29+BC30-BL29)))</f>
        <v>95.634358757574688</v>
      </c>
      <c r="BE30" s="13">
        <f>BD30*VLOOKUP('Données projet'!$B$11,Paramètres!$A$1:$I$89,3,0)*VLOOKUP('Données projet'!$B$11,Paramètres!$A$1:$I$89,5,0)</f>
        <v>44.756879898544952</v>
      </c>
      <c r="BF30" s="13">
        <f t="shared" si="37"/>
        <v>13.251095595149819</v>
      </c>
      <c r="BG30" s="20">
        <f t="shared" si="7"/>
        <v>101.03055731818506</v>
      </c>
      <c r="BH30" s="59">
        <f t="shared" si="8"/>
        <v>390.69722398485175</v>
      </c>
      <c r="BI30" s="59">
        <f ca="1">AVERAGE(OFFSET($BH$3,0,0,'Données projet'!$E$11+1,1))-AVERAGE(OFFSET($H$3,0,0,'Données projet'!$E$11+1,1))</f>
        <v>276.78862011733338</v>
      </c>
      <c r="BJ30" s="59">
        <f t="shared" si="38"/>
        <v>202.1678469635836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14.2</v>
      </c>
      <c r="BY30" s="12">
        <f>IF('Données projet'!$A$114&gt;35,BY29+BX30-CG29,IF(A30&lt;'Données projet'!$A$114,$BV$205^A30,IF(A30='Données projet'!$A$114,'Données projet'!$B$114,BY29+BX30-CG29)))</f>
        <v>89.4</v>
      </c>
      <c r="BZ30" s="13">
        <f>BY30*VLOOKUP('Données projet'!$B$12,Paramètres!$A$1:$I$89,3,0)*VLOOKUP('Données projet'!$B$12,Paramètres!$A$1:$I$89,5,0)</f>
        <v>69.732000000000014</v>
      </c>
      <c r="CA30" s="13">
        <f t="shared" si="39"/>
        <v>19.606888874982506</v>
      </c>
      <c r="CB30" s="20">
        <f t="shared" si="10"/>
        <v>155.59856479059454</v>
      </c>
      <c r="CC30" s="59">
        <f t="shared" si="11"/>
        <v>445.26523145726122</v>
      </c>
      <c r="CD30" s="59">
        <f ca="1">AVERAGE(OFFSET($CC$3,0,0,'Données projet'!$E$12+1,1))-AVERAGE(OFFSET($H$3,0,0,'Données projet'!$E$12+1,1))</f>
        <v>286.5685205631126</v>
      </c>
      <c r="CE30" s="59">
        <f t="shared" si="40"/>
        <v>264.17357326498581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7</v>
      </c>
      <c r="N31" s="13">
        <f>IF('Données projet'!$A$36&gt;35,N30+M31-V30,IF(A31&lt;'Données projet'!$A$36,$K$205^A31,IF(A31='Données projet'!$A$36,'Données projet'!$B$36,N30+M31-V30)))</f>
        <v>83</v>
      </c>
      <c r="O31" s="13">
        <f>N31*VLOOKUP('Données projet'!$B$9,Paramètres!$A$1:$I$89,3,0)*VLOOKUP('Données projet'!$B$9,Paramètres!$A$1:$I$89,5,0)</f>
        <v>75.098399999999998</v>
      </c>
      <c r="P31" s="13">
        <f t="shared" si="33"/>
        <v>20.934343091450742</v>
      </c>
      <c r="Q31" s="20">
        <f t="shared" si="2"/>
        <v>167.25702755094335</v>
      </c>
      <c r="R31" s="59">
        <f t="shared" si="0"/>
        <v>458.14591643983221</v>
      </c>
      <c r="S31" s="59">
        <f ca="1">AVERAGE(OFFSET($R$3,0,0,'Données projet'!$E$9+1,1))-AVERAGE(OFFSET($H$3,0,0,'Données projet'!$E$9+1,1))</f>
        <v>346.35147716792028</v>
      </c>
      <c r="T31" s="59">
        <f t="shared" si="34"/>
        <v>231.36959598460686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0.96585486101820672</v>
      </c>
      <c r="AC31" s="22">
        <f t="shared" si="3"/>
        <v>0.96585486101820672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16.8</v>
      </c>
      <c r="AI31" s="13">
        <f>IF('Données projet'!$A$62&gt;35,AI30+AH31-AQ30,IF(A31&lt;'Données projet'!$A$62,$AF$205^A31,IF(A31='Données projet'!$A$62,'Données projet'!$B$62,AI30+AH31-AQ30)))</f>
        <v>193.4</v>
      </c>
      <c r="AJ31" s="13">
        <f>AI31*VLOOKUP('Données projet'!$B$10,Paramètres!$A$1:$I$89,3,0)*VLOOKUP('Données projet'!$B$10,Paramètres!$A$1:$I$89,5,0)</f>
        <v>115.65320000000003</v>
      </c>
      <c r="AK31" s="13">
        <f t="shared" si="35"/>
        <v>30.659012867959063</v>
      </c>
      <c r="AL31" s="20">
        <f t="shared" si="4"/>
        <v>254.82710407836203</v>
      </c>
      <c r="AM31" s="59">
        <f t="shared" si="5"/>
        <v>545.71599296725094</v>
      </c>
      <c r="AN31" s="59">
        <f ca="1">AVERAGE(OFFSET($AM$3,0,0,'Données projet'!$E$10+1,1))-AVERAGE(OFFSET($H$3,0,0,'Données projet'!$E$10+1,1))</f>
        <v>559.94918407141222</v>
      </c>
      <c r="AO31" s="59">
        <f t="shared" si="36"/>
        <v>334.6078891555664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2.8592913396582227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3.3888979456116899</v>
      </c>
      <c r="AX31" s="21">
        <f t="shared" si="6"/>
        <v>6.2481892852699126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5.2912820512820513</v>
      </c>
      <c r="BD31" s="12">
        <f>IF('Données projet'!$A$88&gt;35,BD30+BC31-BL30,IF(A31&lt;'Données projet'!$A$88,$BA$205^A31,IF(A31='Données projet'!$A$88,'Données projet'!$B$88,BD30+BC31-BL30)))</f>
        <v>113.23222009849215</v>
      </c>
      <c r="BE31" s="13">
        <f>BD31*VLOOKUP('Données projet'!$B$11,Paramètres!$A$1:$I$89,3,0)*VLOOKUP('Données projet'!$B$11,Paramètres!$A$1:$I$89,5,0)</f>
        <v>52.992679006094328</v>
      </c>
      <c r="BF31" s="13">
        <f t="shared" si="37"/>
        <v>15.383997918504607</v>
      </c>
      <c r="BG31" s="20">
        <f t="shared" si="7"/>
        <v>119.08937897700982</v>
      </c>
      <c r="BH31" s="59">
        <f t="shared" si="8"/>
        <v>409.97826786589866</v>
      </c>
      <c r="BI31" s="59">
        <f ca="1">AVERAGE(OFFSET($BH$3,0,0,'Données projet'!$E$11+1,1))-AVERAGE(OFFSET($H$3,0,0,'Données projet'!$E$11+1,1))</f>
        <v>276.78862011733338</v>
      </c>
      <c r="BJ31" s="59">
        <f t="shared" si="38"/>
        <v>202.1678469635836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14.2</v>
      </c>
      <c r="BY31" s="12">
        <f>IF('Données projet'!$A$114&gt;35,BY30+BX31-CG30,IF(A31&lt;'Données projet'!$A$114,$BV$205^A31,IF(A31='Données projet'!$A$114,'Données projet'!$B$114,BY30+BX31-CG30)))</f>
        <v>103.60000000000001</v>
      </c>
      <c r="BZ31" s="13">
        <f>BY31*VLOOKUP('Données projet'!$B$12,Paramètres!$A$1:$I$89,3,0)*VLOOKUP('Données projet'!$B$12,Paramètres!$A$1:$I$89,5,0)</f>
        <v>80.808000000000007</v>
      </c>
      <c r="CA31" s="13">
        <f t="shared" si="39"/>
        <v>22.334628633536209</v>
      </c>
      <c r="CB31" s="20">
        <f t="shared" si="10"/>
        <v>179.64007820340893</v>
      </c>
      <c r="CC31" s="59">
        <f t="shared" si="11"/>
        <v>470.52896709229776</v>
      </c>
      <c r="CD31" s="59">
        <f ca="1">AVERAGE(OFFSET($CC$3,0,0,'Données projet'!$E$12+1,1))-AVERAGE(OFFSET($H$3,0,0,'Données projet'!$E$12+1,1))</f>
        <v>286.5685205631126</v>
      </c>
      <c r="CE31" s="59">
        <f t="shared" si="40"/>
        <v>264.17357326498581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7</v>
      </c>
      <c r="N32" s="13">
        <f>IF('Données projet'!$A$36&gt;35,N31+M32-V31,IF(A32&lt;'Données projet'!$A$36,$K$205^A32,IF(A32='Données projet'!$A$36,'Données projet'!$B$36,N31+M32-V31)))</f>
        <v>90</v>
      </c>
      <c r="O32" s="13">
        <f>N32*VLOOKUP('Données projet'!$B$9,Paramètres!$A$1:$I$89,3,0)*VLOOKUP('Données projet'!$B$9,Paramètres!$A$1:$I$89,5,0)</f>
        <v>81.432000000000002</v>
      </c>
      <c r="P32" s="13">
        <f t="shared" si="33"/>
        <v>22.486953220240881</v>
      </c>
      <c r="Q32" s="20">
        <f t="shared" si="2"/>
        <v>180.99217685858619</v>
      </c>
      <c r="R32" s="59">
        <f t="shared" si="0"/>
        <v>473.10328796969736</v>
      </c>
      <c r="S32" s="59">
        <f ca="1">AVERAGE(OFFSET($R$3,0,0,'Données projet'!$E$9+1,1))-AVERAGE(OFFSET($H$3,0,0,'Données projet'!$E$9+1,1))</f>
        <v>346.35147716792028</v>
      </c>
      <c r="T32" s="59">
        <f t="shared" si="34"/>
        <v>231.36959598460686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0.68296252186796447</v>
      </c>
      <c r="AC32" s="22">
        <f t="shared" si="3"/>
        <v>0.68296252186796447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16.8</v>
      </c>
      <c r="AI32" s="13">
        <f>IF('Données projet'!$A$62&gt;35,AI31+AH32-AQ31,IF(A32&lt;'Données projet'!$A$62,$AF$205^A32,IF(A32='Données projet'!$A$62,'Données projet'!$B$62,AI31+AH32-AQ31)))</f>
        <v>210.20000000000002</v>
      </c>
      <c r="AJ32" s="13">
        <f>AI32*VLOOKUP('Données projet'!$B$10,Paramètres!$A$1:$I$89,3,0)*VLOOKUP('Données projet'!$B$10,Paramètres!$A$1:$I$89,5,0)</f>
        <v>125.69960000000002</v>
      </c>
      <c r="AK32" s="13">
        <f t="shared" si="35"/>
        <v>33.000726063948186</v>
      </c>
      <c r="AL32" s="20">
        <f t="shared" si="4"/>
        <v>276.40306789470981</v>
      </c>
      <c r="AM32" s="59">
        <f t="shared" si="5"/>
        <v>568.51417900582101</v>
      </c>
      <c r="AN32" s="59">
        <f ca="1">AVERAGE(OFFSET($AM$3,0,0,'Données projet'!$E$10+1,1))-AVERAGE(OFFSET($H$3,0,0,'Données projet'!$E$10+1,1))</f>
        <v>559.94918407141222</v>
      </c>
      <c r="AO32" s="59">
        <f t="shared" si="36"/>
        <v>334.6078891555664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2.803222380483037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2.3963127180911856</v>
      </c>
      <c r="AX32" s="21">
        <f t="shared" si="6"/>
        <v>5.1995350985742226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5.2912820512820513</v>
      </c>
      <c r="BD32" s="12">
        <f>IF('Données projet'!$A$88&gt;35,BD31+BC32-BL31,IF(A32&lt;'Données projet'!$A$88,$BA$205^A32,IF(A32='Données projet'!$A$88,'Données projet'!$B$88,BD31+BC32-BL31)))</f>
        <v>134.06829757634409</v>
      </c>
      <c r="BE32" s="13">
        <f>BD32*VLOOKUP('Données projet'!$B$11,Paramètres!$A$1:$I$89,3,0)*VLOOKUP('Données projet'!$B$11,Paramètres!$A$1:$I$89,5,0)</f>
        <v>62.743963265729036</v>
      </c>
      <c r="BF32" s="13">
        <f t="shared" si="37"/>
        <v>17.860213161784099</v>
      </c>
      <c r="BG32" s="20">
        <f t="shared" si="7"/>
        <v>140.38560727791869</v>
      </c>
      <c r="BH32" s="59">
        <f t="shared" si="8"/>
        <v>432.49671838902987</v>
      </c>
      <c r="BI32" s="59">
        <f ca="1">AVERAGE(OFFSET($BH$3,0,0,'Données projet'!$E$11+1,1))-AVERAGE(OFFSET($H$3,0,0,'Données projet'!$E$11+1,1))</f>
        <v>276.78862011733338</v>
      </c>
      <c r="BJ32" s="59">
        <f t="shared" si="38"/>
        <v>202.1678469635836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14.2</v>
      </c>
      <c r="BY32" s="12">
        <f>IF('Données projet'!$A$114&gt;35,BY31+BX32-CG31,IF(A32&lt;'Données projet'!$A$114,$BV$205^A32,IF(A32='Données projet'!$A$114,'Données projet'!$B$114,BY31+BX32-CG31)))</f>
        <v>117.80000000000001</v>
      </c>
      <c r="BZ32" s="13">
        <f>BY32*VLOOKUP('Données projet'!$B$12,Paramètres!$A$1:$I$89,3,0)*VLOOKUP('Données projet'!$B$12,Paramètres!$A$1:$I$89,5,0)</f>
        <v>91.884000000000015</v>
      </c>
      <c r="CA32" s="13">
        <f t="shared" si="39"/>
        <v>25.019051117801563</v>
      </c>
      <c r="CB32" s="20">
        <f t="shared" si="10"/>
        <v>203.60614736350442</v>
      </c>
      <c r="CC32" s="59">
        <f t="shared" si="11"/>
        <v>495.71725847461556</v>
      </c>
      <c r="CD32" s="59">
        <f ca="1">AVERAGE(OFFSET($CC$3,0,0,'Données projet'!$E$12+1,1))-AVERAGE(OFFSET($H$3,0,0,'Données projet'!$E$12+1,1))</f>
        <v>286.5685205631126</v>
      </c>
      <c r="CE32" s="59">
        <f t="shared" si="40"/>
        <v>264.17357326498581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97</v>
      </c>
      <c r="L33" s="12">
        <f>VLOOKUP(A33,'Données projet'!$A$35:$I$55,9,0)</f>
        <v>7</v>
      </c>
      <c r="M33" s="12">
        <f t="array" ref="M33">INDEX(L:L,MIN(IF(ISNUMBER(L33:L229),ROW(L33:L229),"")))</f>
        <v>7</v>
      </c>
      <c r="N33" s="13">
        <f>IF('Données projet'!$A$36&gt;35,N32+M33-V32,IF(A33&lt;'Données projet'!$A$36,$K$205^A33,IF(A33='Données projet'!$A$36,'Données projet'!$B$36,N32+M33-V32)))</f>
        <v>97</v>
      </c>
      <c r="O33" s="13">
        <f>N33*VLOOKUP('Données projet'!$B$9,Paramètres!$A$1:$I$89,3,0)*VLOOKUP('Données projet'!$B$9,Paramètres!$A$1:$I$89,5,0)</f>
        <v>87.765600000000006</v>
      </c>
      <c r="P33" s="13">
        <f t="shared" si="33"/>
        <v>24.025555589247954</v>
      </c>
      <c r="Q33" s="20">
        <f t="shared" si="2"/>
        <v>194.7029293179402</v>
      </c>
      <c r="R33" s="59">
        <f t="shared" si="0"/>
        <v>488.03626265127355</v>
      </c>
      <c r="S33" s="59">
        <f ca="1">AVERAGE(OFFSET($R$3,0,0,'Données projet'!$E$9+1,1))-AVERAGE(OFFSET($H$3,0,0,'Données projet'!$E$9+1,1))</f>
        <v>346.35147716792028</v>
      </c>
      <c r="T33" s="59">
        <f t="shared" si="34"/>
        <v>231.36959598460686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21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7.6540339101227266</v>
      </c>
      <c r="AC33" s="22">
        <f t="shared" si="3"/>
        <v>7.6540339101227266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227</v>
      </c>
      <c r="AG33" s="12">
        <f>VLOOKUP(A33,'Données projet'!$A$61:$I$81,9,0)</f>
        <v>16.8</v>
      </c>
      <c r="AH33" s="12">
        <f t="array" ref="AH33">INDEX(AG:AG,MIN(IF(ISNUMBER(AG33:AG229),ROW(AG33:AG229),"")))</f>
        <v>16.8</v>
      </c>
      <c r="AI33" s="13">
        <f>IF('Données projet'!$A$62&gt;35,AI32+AH33-AQ32,IF(A33&lt;'Données projet'!$A$62,$AF$205^A33,IF(A33='Données projet'!$A$62,'Données projet'!$B$62,AI32+AH33-AQ32)))</f>
        <v>227.00000000000003</v>
      </c>
      <c r="AJ33" s="13">
        <f>AI33*VLOOKUP('Données projet'!$B$10,Paramètres!$A$1:$I$89,3,0)*VLOOKUP('Données projet'!$B$10,Paramètres!$A$1:$I$89,5,0)</f>
        <v>135.74600000000004</v>
      </c>
      <c r="AK33" s="13">
        <f t="shared" si="35"/>
        <v>35.320730615636222</v>
      </c>
      <c r="AL33" s="20">
        <f t="shared" si="4"/>
        <v>297.94122248889977</v>
      </c>
      <c r="AM33" s="59">
        <f t="shared" si="5"/>
        <v>591.27455582223308</v>
      </c>
      <c r="AN33" s="59">
        <f ca="1">AVERAGE(OFFSET($AM$3,0,0,'Données projet'!$E$10+1,1))-AVERAGE(OFFSET($H$3,0,0,'Données projet'!$E$10+1,1))</f>
        <v>559.94918407141222</v>
      </c>
      <c r="AO33" s="59">
        <f t="shared" si="36"/>
        <v>334.6078891555664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34</v>
      </c>
      <c r="AR33" s="16">
        <f>IF(ISNA(VLOOKUP(A33,'Données projet'!$A$61:$I$81,5,0)),0%,VLOOKUP(A33,'Données projet'!$A$61:$I$81,5,0)*VLOOKUP('Données projet'!$B$10,Paramètres!$A$1:$I$89,7,0))</f>
        <v>0.22500000000000001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0.5</v>
      </c>
      <c r="AU33" s="21">
        <f>EXP(-LN(2)/35)*AU32+(1-EXP(-LN(2)/35))/(LN(2)/35)*AQ33*AR33*VLOOKUP('Données projet'!$B$10,Paramètres!$A$1:$I$89,3,0)*0.475*44/12</f>
        <v>8.8168873136978529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13.204722509459897</v>
      </c>
      <c r="AX33" s="21">
        <f t="shared" si="6"/>
        <v>22.02160982315775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158.73846153846154</v>
      </c>
      <c r="BB33" s="12">
        <f>VLOOKUP(A33,'Données projet'!$A$87:$I$107,9,0)</f>
        <v>5.2912820512820513</v>
      </c>
      <c r="BC33" s="12">
        <f t="array" ref="BC33">INDEX(BB:BB,MIN(IF(ISNUMBER(BB33:BB229),ROW(BB33:BB229),"")))</f>
        <v>5.2912820512820513</v>
      </c>
      <c r="BD33" s="12">
        <f>IF('Données projet'!$A$88&gt;35,BD32+BC33-BL32,IF(A33&lt;'Données projet'!$A$88,$BA$205^A33,IF(A33='Données projet'!$A$88,'Données projet'!$B$88,BD32+BC33-BL32)))</f>
        <v>158.73846153846154</v>
      </c>
      <c r="BE33" s="13">
        <f>BD33*VLOOKUP('Données projet'!$B$11,Paramètres!$A$1:$I$89,3,0)*VLOOKUP('Données projet'!$B$11,Paramètres!$A$1:$I$89,5,0)</f>
        <v>74.289599999999993</v>
      </c>
      <c r="BF33" s="13">
        <f t="shared" si="37"/>
        <v>20.735001127416453</v>
      </c>
      <c r="BG33" s="20">
        <f t="shared" si="7"/>
        <v>165.50118029691697</v>
      </c>
      <c r="BH33" s="59">
        <f t="shared" si="8"/>
        <v>458.83451363025029</v>
      </c>
      <c r="BI33" s="59">
        <f ca="1">AVERAGE(OFFSET($BH$3,0,0,'Données projet'!$E$11+1,1))-AVERAGE(OFFSET($H$3,0,0,'Données projet'!$E$11+1,1))</f>
        <v>276.78862011733338</v>
      </c>
      <c r="BJ33" s="59">
        <f t="shared" si="38"/>
        <v>202.1678469635836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132</v>
      </c>
      <c r="BW33" s="12">
        <f>VLOOKUP(A33,'Données projet'!$A$113:$I$133,9,0)</f>
        <v>14.2</v>
      </c>
      <c r="BX33" s="12">
        <f t="array" ref="BX33">INDEX(BW:BW,MIN(IF(ISNUMBER(BW33:BW229),ROW(BW33:BW229),"")))</f>
        <v>14.2</v>
      </c>
      <c r="BY33" s="12">
        <f>IF('Données projet'!$A$114&gt;35,BY32+BX33-CG32,IF(A33&lt;'Données projet'!$A$114,$BV$205^A33,IF(A33='Données projet'!$A$114,'Données projet'!$B$114,BY32+BX33-CG32)))</f>
        <v>132</v>
      </c>
      <c r="BZ33" s="13">
        <f>BY33*VLOOKUP('Données projet'!$B$12,Paramètres!$A$1:$I$89,3,0)*VLOOKUP('Données projet'!$B$12,Paramètres!$A$1:$I$89,5,0)</f>
        <v>102.96000000000001</v>
      </c>
      <c r="CA33" s="13">
        <f t="shared" si="39"/>
        <v>27.665975080374633</v>
      </c>
      <c r="CB33" s="20">
        <f t="shared" si="10"/>
        <v>227.50690659831915</v>
      </c>
      <c r="CC33" s="59">
        <f t="shared" si="11"/>
        <v>520.84023993165249</v>
      </c>
      <c r="CD33" s="59">
        <f ca="1">AVERAGE(OFFSET($CC$3,0,0,'Données projet'!$E$12+1,1))-AVERAGE(OFFSET($H$3,0,0,'Données projet'!$E$12+1,1))</f>
        <v>286.5685205631126</v>
      </c>
      <c r="CE33" s="59">
        <f t="shared" si="40"/>
        <v>264.17357326498581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24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8.1999999999999993</v>
      </c>
      <c r="N34" s="13">
        <f>IF('Données projet'!$A$36&gt;35,N33+M34-V33,IF(A34&lt;'Données projet'!$A$36,$K$205^A34,IF(A34='Données projet'!$A$36,'Données projet'!$B$36,N33+M34-V33)))</f>
        <v>84.2</v>
      </c>
      <c r="O34" s="13">
        <f>N34*VLOOKUP('Données projet'!$B$9,Paramètres!$A$1:$I$89,3,0)*VLOOKUP('Données projet'!$B$9,Paramètres!$A$1:$I$89,5,0)</f>
        <v>76.184160000000006</v>
      </c>
      <c r="P34" s="13">
        <f t="shared" si="33"/>
        <v>21.201554232857223</v>
      </c>
      <c r="Q34" s="20">
        <f t="shared" si="2"/>
        <v>169.613452288893</v>
      </c>
      <c r="R34" s="59">
        <f t="shared" si="0"/>
        <v>462.94678562222634</v>
      </c>
      <c r="S34" s="59">
        <f ca="1">AVERAGE(OFFSET($R$3,0,0,'Données projet'!$E$9+1,1))-AVERAGE(OFFSET($H$3,0,0,'Données projet'!$E$9+1,1))</f>
        <v>346.35147716792028</v>
      </c>
      <c r="T34" s="59">
        <f t="shared" si="34"/>
        <v>231.36959598460686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5.4122192812795662</v>
      </c>
      <c r="AC34" s="22">
        <f t="shared" si="3"/>
        <v>5.4122192812795662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21.4</v>
      </c>
      <c r="AI34" s="13">
        <f>IF('Données projet'!$A$62&gt;35,AI33+AH34-AQ33,IF(A34&lt;'Données projet'!$A$62,$AF$205^A34,IF(A34='Données projet'!$A$62,'Données projet'!$B$62,AI33+AH34-AQ33)))</f>
        <v>214.40000000000003</v>
      </c>
      <c r="AJ34" s="13">
        <f>AI34*VLOOKUP('Données projet'!$B$10,Paramètres!$A$1:$I$89,3,0)*VLOOKUP('Données projet'!$B$10,Paramètres!$A$1:$I$89,5,0)</f>
        <v>128.21120000000005</v>
      </c>
      <c r="AK34" s="13">
        <f t="shared" si="35"/>
        <v>33.582687450155959</v>
      </c>
      <c r="AL34" s="20">
        <f t="shared" si="4"/>
        <v>281.79102064235502</v>
      </c>
      <c r="AM34" s="59">
        <f t="shared" si="5"/>
        <v>575.12435397568834</v>
      </c>
      <c r="AN34" s="59">
        <f ca="1">AVERAGE(OFFSET($AM$3,0,0,'Données projet'!$E$10+1,1))-AVERAGE(OFFSET($H$3,0,0,'Données projet'!$E$10+1,1))</f>
        <v>559.94918407141222</v>
      </c>
      <c r="AO34" s="59">
        <f t="shared" si="36"/>
        <v>334.6078891555664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8.6439935312464886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9.3371488301257379</v>
      </c>
      <c r="AX34" s="21">
        <f t="shared" si="6"/>
        <v>17.981142361372228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13.753846153846149</v>
      </c>
      <c r="BD34" s="12">
        <f>IF('Données projet'!$A$88&gt;35,BD33+BC34-BL33,IF(A34&lt;'Données projet'!$A$88,$BA$205^A34,IF(A34='Données projet'!$A$88,'Données projet'!$B$88,BD33+BC34-BL33)))</f>
        <v>172.49230769230769</v>
      </c>
      <c r="BE34" s="13">
        <f>BD34*VLOOKUP('Données projet'!$B$11,Paramètres!$A$1:$I$89,3,0)*VLOOKUP('Données projet'!$B$11,Paramètres!$A$1:$I$89,5,0)</f>
        <v>80.726399999999998</v>
      </c>
      <c r="BF34" s="13">
        <f t="shared" si="37"/>
        <v>22.314699162309424</v>
      </c>
      <c r="BG34" s="20">
        <f t="shared" si="7"/>
        <v>179.46324770768891</v>
      </c>
      <c r="BH34" s="59">
        <f t="shared" si="8"/>
        <v>472.79658104102225</v>
      </c>
      <c r="BI34" s="59">
        <f ca="1">AVERAGE(OFFSET($BH$3,0,0,'Données projet'!$E$11+1,1))-AVERAGE(OFFSET($H$3,0,0,'Données projet'!$E$11+1,1))</f>
        <v>276.78862011733338</v>
      </c>
      <c r="BJ34" s="59">
        <f t="shared" si="38"/>
        <v>202.1678469635836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13</v>
      </c>
      <c r="BY34" s="12">
        <f>IF('Données projet'!$A$114&gt;35,BY33+BX34-CG33,IF(A34&lt;'Données projet'!$A$114,$BV$205^A34,IF(A34='Données projet'!$A$114,'Données projet'!$B$114,BY33+BX34-CG33)))</f>
        <v>121</v>
      </c>
      <c r="BZ34" s="13">
        <f>BY34*VLOOKUP('Données projet'!$B$12,Paramètres!$A$1:$I$89,3,0)*VLOOKUP('Données projet'!$B$12,Paramètres!$A$1:$I$89,5,0)</f>
        <v>94.38000000000001</v>
      </c>
      <c r="CA34" s="13">
        <f t="shared" si="39"/>
        <v>25.618636348883211</v>
      </c>
      <c r="CB34" s="20">
        <f t="shared" si="10"/>
        <v>208.99762497430493</v>
      </c>
      <c r="CC34" s="59">
        <f t="shared" si="11"/>
        <v>502.33095830763824</v>
      </c>
      <c r="CD34" s="59">
        <f ca="1">AVERAGE(OFFSET($CC$3,0,0,'Données projet'!$E$12+1,1))-AVERAGE(OFFSET($H$3,0,0,'Données projet'!$E$12+1,1))</f>
        <v>286.5685205631126</v>
      </c>
      <c r="CE34" s="59">
        <f t="shared" si="40"/>
        <v>264.17357326498581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8.1999999999999993</v>
      </c>
      <c r="N35" s="13">
        <f>IF('Données projet'!$A$36&gt;35,N34+M35-V34,IF(A35&lt;'Données projet'!$A$36,$K$205^A35,IF(A35='Données projet'!$A$36,'Données projet'!$B$36,N34+M35-V34)))</f>
        <v>92.4</v>
      </c>
      <c r="O35" s="13">
        <f>N35*VLOOKUP('Données projet'!$B$9,Paramètres!$A$1:$I$89,3,0)*VLOOKUP('Données projet'!$B$9,Paramètres!$A$1:$I$89,5,0)</f>
        <v>83.603520000000003</v>
      </c>
      <c r="P35" s="13">
        <f t="shared" si="33"/>
        <v>23.0159915192997</v>
      </c>
      <c r="Q35" s="20">
        <f t="shared" ref="Q35:Q66" si="53">(O35+P35)*0.475*44/12</f>
        <v>185.69564922944699</v>
      </c>
      <c r="R35" s="59">
        <f t="shared" si="0"/>
        <v>479.0289825627803</v>
      </c>
      <c r="S35" s="59">
        <f ca="1">AVERAGE(OFFSET($R$3,0,0,'Données projet'!$E$9+1,1))-AVERAGE(OFFSET($H$3,0,0,'Données projet'!$E$9+1,1))</f>
        <v>346.35147716792028</v>
      </c>
      <c r="T35" s="59">
        <f t="shared" si="34"/>
        <v>231.36959598460686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3.8270169550613642</v>
      </c>
      <c r="AC35" s="22">
        <f t="shared" si="3"/>
        <v>3.8270169550613642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21.4</v>
      </c>
      <c r="AI35" s="13">
        <f>IF('Données projet'!$A$62&gt;35,AI34+AH35-AQ34,IF(A35&lt;'Données projet'!$A$62,$AF$205^A35,IF(A35='Données projet'!$A$62,'Données projet'!$B$62,AI34+AH35-AQ34)))</f>
        <v>235.80000000000004</v>
      </c>
      <c r="AJ35" s="13">
        <f>AI35*VLOOKUP('Données projet'!$B$10,Paramètres!$A$1:$I$89,3,0)*VLOOKUP('Données projet'!$B$10,Paramètres!$A$1:$I$89,5,0)</f>
        <v>141.00840000000002</v>
      </c>
      <c r="AK35" s="13">
        <f t="shared" si="35"/>
        <v>36.527919192218484</v>
      </c>
      <c r="AL35" s="20">
        <f t="shared" si="4"/>
        <v>309.20908925978057</v>
      </c>
      <c r="AM35" s="59">
        <f t="shared" si="5"/>
        <v>602.54242259311388</v>
      </c>
      <c r="AN35" s="59">
        <f ca="1">AVERAGE(OFFSET($AM$3,0,0,'Données projet'!$E$10+1,1))-AVERAGE(OFFSET($H$3,0,0,'Données projet'!$E$10+1,1))</f>
        <v>559.94918407141222</v>
      </c>
      <c r="AO35" s="59">
        <f t="shared" si="36"/>
        <v>334.6078891555664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8.4744900904142018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6.6023612547299484</v>
      </c>
      <c r="AX35" s="21">
        <f t="shared" si="6"/>
        <v>15.076851345144149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13.753846153846149</v>
      </c>
      <c r="BD35" s="12">
        <f>IF('Données projet'!$A$88&gt;35,BD34+BC35-BL34,IF(A35&lt;'Données projet'!$A$88,$BA$205^A35,IF(A35='Données projet'!$A$88,'Données projet'!$B$88,BD34+BC35-BL34)))</f>
        <v>186.24615384615385</v>
      </c>
      <c r="BE35" s="13">
        <f>BD35*VLOOKUP('Données projet'!$B$11,Paramètres!$A$1:$I$89,3,0)*VLOOKUP('Données projet'!$B$11,Paramètres!$A$1:$I$89,5,0)</f>
        <v>87.163200000000003</v>
      </c>
      <c r="BF35" s="13">
        <f t="shared" si="37"/>
        <v>23.879787090515428</v>
      </c>
      <c r="BG35" s="20">
        <f t="shared" si="7"/>
        <v>193.39986918264768</v>
      </c>
      <c r="BH35" s="59">
        <f t="shared" si="8"/>
        <v>486.73320251598102</v>
      </c>
      <c r="BI35" s="59">
        <f ca="1">AVERAGE(OFFSET($BH$3,0,0,'Données projet'!$E$11+1,1))-AVERAGE(OFFSET($H$3,0,0,'Données projet'!$E$11+1,1))</f>
        <v>276.78862011733338</v>
      </c>
      <c r="BJ35" s="59">
        <f t="shared" si="38"/>
        <v>202.1678469635836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13</v>
      </c>
      <c r="BY35" s="12">
        <f>IF('Données projet'!$A$114&gt;35,BY34+BX35-CG34,IF(A35&lt;'Données projet'!$A$114,$BV$205^A35,IF(A35='Données projet'!$A$114,'Données projet'!$B$114,BY34+BX35-CG34)))</f>
        <v>134</v>
      </c>
      <c r="BZ35" s="13">
        <f>BY35*VLOOKUP('Données projet'!$B$12,Paramètres!$A$1:$I$89,3,0)*VLOOKUP('Données projet'!$B$12,Paramètres!$A$1:$I$89,5,0)</f>
        <v>104.52000000000001</v>
      </c>
      <c r="CA35" s="13">
        <f t="shared" si="39"/>
        <v>28.036039012748962</v>
      </c>
      <c r="CB35" s="20">
        <f t="shared" si="10"/>
        <v>230.86843461387113</v>
      </c>
      <c r="CC35" s="59">
        <f t="shared" si="11"/>
        <v>524.20176794720442</v>
      </c>
      <c r="CD35" s="59">
        <f ca="1">AVERAGE(OFFSET($CC$3,0,0,'Données projet'!$E$12+1,1))-AVERAGE(OFFSET($H$3,0,0,'Données projet'!$E$12+1,1))</f>
        <v>286.5685205631126</v>
      </c>
      <c r="CE35" s="59">
        <f t="shared" si="40"/>
        <v>264.17357326498581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8.1999999999999993</v>
      </c>
      <c r="N36" s="13">
        <f>IF('Données projet'!$A$36&gt;35,N35+M36-V35,IF(A36&lt;'Données projet'!$A$36,$K$205^A36,IF(A36='Données projet'!$A$36,'Données projet'!$B$36,N35+M36-V35)))</f>
        <v>100.60000000000001</v>
      </c>
      <c r="O36" s="13">
        <f>N36*VLOOKUP('Données projet'!$B$9,Paramètres!$A$1:$I$89,3,0)*VLOOKUP('Données projet'!$B$9,Paramètres!$A$1:$I$89,5,0)</f>
        <v>91.022880000000001</v>
      </c>
      <c r="P36" s="13">
        <f t="shared" si="33"/>
        <v>24.811756526220293</v>
      </c>
      <c r="Q36" s="20">
        <f t="shared" si="53"/>
        <v>201.74532528316698</v>
      </c>
      <c r="R36" s="59">
        <f t="shared" si="0"/>
        <v>495.07865861650032</v>
      </c>
      <c r="S36" s="59">
        <f ca="1">AVERAGE(OFFSET($R$3,0,0,'Données projet'!$E$9+1,1))-AVERAGE(OFFSET($H$3,0,0,'Données projet'!$E$9+1,1))</f>
        <v>346.35147716792028</v>
      </c>
      <c r="T36" s="59">
        <f t="shared" si="34"/>
        <v>231.36959598460686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2.7061096406397835</v>
      </c>
      <c r="AC36" s="22">
        <f t="shared" si="3"/>
        <v>2.7061096406397835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21.4</v>
      </c>
      <c r="AI36" s="13">
        <f>IF('Données projet'!$A$62&gt;35,AI35+AH36-AQ35,IF(A36&lt;'Données projet'!$A$62,$AF$205^A36,IF(A36='Données projet'!$A$62,'Données projet'!$B$62,AI35+AH36-AQ35)))</f>
        <v>257.20000000000005</v>
      </c>
      <c r="AJ36" s="13">
        <f>AI36*VLOOKUP('Données projet'!$B$10,Paramètres!$A$1:$I$89,3,0)*VLOOKUP('Données projet'!$B$10,Paramètres!$A$1:$I$89,5,0)</f>
        <v>153.80560000000003</v>
      </c>
      <c r="AK36" s="13">
        <f t="shared" si="35"/>
        <v>39.44215678015707</v>
      </c>
      <c r="AL36" s="20">
        <f t="shared" si="4"/>
        <v>336.57317639210692</v>
      </c>
      <c r="AM36" s="59">
        <f t="shared" si="5"/>
        <v>629.90650972544017</v>
      </c>
      <c r="AN36" s="59">
        <f ca="1">AVERAGE(OFFSET($AM$3,0,0,'Données projet'!$E$10+1,1))-AVERAGE(OFFSET($H$3,0,0,'Données projet'!$E$10+1,1))</f>
        <v>559.94918407141222</v>
      </c>
      <c r="AO36" s="59">
        <f t="shared" si="36"/>
        <v>334.6078891555664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8.3083105086697451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4.668574415062869</v>
      </c>
      <c r="AX36" s="21">
        <f t="shared" si="6"/>
        <v>12.976884923732614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13.753846153846149</v>
      </c>
      <c r="BD36" s="12">
        <f>IF('Données projet'!$A$88&gt;35,BD35+BC36-BL35,IF(A36&lt;'Données projet'!$A$88,$BA$205^A36,IF(A36='Données projet'!$A$88,'Données projet'!$B$88,BD35+BC36-BL35)))</f>
        <v>200</v>
      </c>
      <c r="BE36" s="13">
        <f>BD36*VLOOKUP('Données projet'!$B$11,Paramètres!$A$1:$I$89,3,0)*VLOOKUP('Données projet'!$B$11,Paramètres!$A$1:$I$89,5,0)</f>
        <v>93.600000000000009</v>
      </c>
      <c r="BF36" s="13">
        <f t="shared" si="37"/>
        <v>25.431466524572937</v>
      </c>
      <c r="BG36" s="20">
        <f t="shared" si="7"/>
        <v>207.31313753029789</v>
      </c>
      <c r="BH36" s="59">
        <f t="shared" si="8"/>
        <v>500.64647086363118</v>
      </c>
      <c r="BI36" s="59">
        <f ca="1">AVERAGE(OFFSET($BH$3,0,0,'Données projet'!$E$11+1,1))-AVERAGE(OFFSET($H$3,0,0,'Données projet'!$E$11+1,1))</f>
        <v>276.78862011733338</v>
      </c>
      <c r="BJ36" s="59">
        <f t="shared" si="38"/>
        <v>202.1678469635836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13</v>
      </c>
      <c r="BY36" s="12">
        <f>IF('Données projet'!$A$114&gt;35,BY35+BX36-CG35,IF(A36&lt;'Données projet'!$A$114,$BV$205^A36,IF(A36='Données projet'!$A$114,'Données projet'!$B$114,BY35+BX36-CG35)))</f>
        <v>147</v>
      </c>
      <c r="BZ36" s="13">
        <f>BY36*VLOOKUP('Données projet'!$B$12,Paramètres!$A$1:$I$89,3,0)*VLOOKUP('Données projet'!$B$12,Paramètres!$A$1:$I$89,5,0)</f>
        <v>114.66000000000001</v>
      </c>
      <c r="CA36" s="13">
        <f t="shared" si="39"/>
        <v>30.426251641117418</v>
      </c>
      <c r="CB36" s="20">
        <f t="shared" si="10"/>
        <v>252.69188827494614</v>
      </c>
      <c r="CC36" s="59">
        <f t="shared" si="11"/>
        <v>546.02522160827948</v>
      </c>
      <c r="CD36" s="59">
        <f ca="1">AVERAGE(OFFSET($CC$3,0,0,'Données projet'!$E$12+1,1))-AVERAGE(OFFSET($H$3,0,0,'Données projet'!$E$12+1,1))</f>
        <v>286.5685205631126</v>
      </c>
      <c r="CE36" s="59">
        <f t="shared" si="40"/>
        <v>264.17357326498581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8.1999999999999993</v>
      </c>
      <c r="N37" s="13">
        <f>IF('Données projet'!$A$36&gt;35,N36+M37-V36,IF(A37&lt;'Données projet'!$A$36,$K$205^A37,IF(A37='Données projet'!$A$36,'Données projet'!$B$36,N36+M37-V36)))</f>
        <v>108.80000000000001</v>
      </c>
      <c r="O37" s="13">
        <f>N37*VLOOKUP('Données projet'!$B$9,Paramètres!$A$1:$I$89,3,0)*VLOOKUP('Données projet'!$B$9,Paramètres!$A$1:$I$89,5,0)</f>
        <v>98.442239999999998</v>
      </c>
      <c r="P37" s="13">
        <f t="shared" si="33"/>
        <v>26.590544283900247</v>
      </c>
      <c r="Q37" s="20">
        <f t="shared" si="53"/>
        <v>217.76543262779288</v>
      </c>
      <c r="R37" s="59">
        <f t="shared" si="0"/>
        <v>511.09876596112622</v>
      </c>
      <c r="S37" s="59">
        <f ca="1">AVERAGE(OFFSET($R$3,0,0,'Données projet'!$E$9+1,1))-AVERAGE(OFFSET($H$3,0,0,'Données projet'!$E$9+1,1))</f>
        <v>346.35147716792028</v>
      </c>
      <c r="T37" s="59">
        <f t="shared" si="34"/>
        <v>231.36959598460686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1.9135084775306823</v>
      </c>
      <c r="AC37" s="22">
        <f t="shared" si="3"/>
        <v>1.9135084775306823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21.4</v>
      </c>
      <c r="AI37" s="13">
        <f>IF('Données projet'!$A$62&gt;35,AI36+AH37-AQ36,IF(A37&lt;'Données projet'!$A$62,$AF$205^A37,IF(A37='Données projet'!$A$62,'Données projet'!$B$62,AI36+AH37-AQ36)))</f>
        <v>278.60000000000002</v>
      </c>
      <c r="AJ37" s="13">
        <f>AI37*VLOOKUP('Données projet'!$B$10,Paramètres!$A$1:$I$89,3,0)*VLOOKUP('Données projet'!$B$10,Paramètres!$A$1:$I$89,5,0)</f>
        <v>166.6028</v>
      </c>
      <c r="AK37" s="13">
        <f t="shared" si="35"/>
        <v>42.328272232789288</v>
      </c>
      <c r="AL37" s="20">
        <f t="shared" si="4"/>
        <v>363.88828413877468</v>
      </c>
      <c r="AM37" s="59">
        <f t="shared" si="5"/>
        <v>657.22161747210794</v>
      </c>
      <c r="AN37" s="59">
        <f ca="1">AVERAGE(OFFSET($AM$3,0,0,'Données projet'!$E$10+1,1))-AVERAGE(OFFSET($H$3,0,0,'Données projet'!$E$10+1,1))</f>
        <v>559.94918407141222</v>
      </c>
      <c r="AO37" s="59">
        <f t="shared" si="36"/>
        <v>334.6078891555664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8.1453896071637608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3.3011806273649742</v>
      </c>
      <c r="AX37" s="21">
        <f t="shared" si="6"/>
        <v>11.446570234528735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13.753846153846149</v>
      </c>
      <c r="BD37" s="12">
        <f>IF('Données projet'!$A$88&gt;35,BD36+BC37-BL36,IF(A37&lt;'Données projet'!$A$88,$BA$205^A37,IF(A37='Données projet'!$A$88,'Données projet'!$B$88,BD36+BC37-BL36)))</f>
        <v>213.75384615384615</v>
      </c>
      <c r="BE37" s="13">
        <f>BD37*VLOOKUP('Données projet'!$B$11,Paramètres!$A$1:$I$89,3,0)*VLOOKUP('Données projet'!$B$11,Paramètres!$A$1:$I$89,5,0)</f>
        <v>100.0368</v>
      </c>
      <c r="BF37" s="13">
        <f t="shared" si="37"/>
        <v>26.970764453147012</v>
      </c>
      <c r="BG37" s="20">
        <f t="shared" si="7"/>
        <v>221.20484142256439</v>
      </c>
      <c r="BH37" s="59">
        <f t="shared" si="8"/>
        <v>514.53817475589767</v>
      </c>
      <c r="BI37" s="59">
        <f ca="1">AVERAGE(OFFSET($BH$3,0,0,'Données projet'!$E$11+1,1))-AVERAGE(OFFSET($H$3,0,0,'Données projet'!$E$11+1,1))</f>
        <v>276.78862011733338</v>
      </c>
      <c r="BJ37" s="59">
        <f t="shared" si="38"/>
        <v>202.1678469635836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13</v>
      </c>
      <c r="BY37" s="12">
        <f>IF('Données projet'!$A$114&gt;35,BY36+BX37-CG36,IF(A37&lt;'Données projet'!$A$114,$BV$205^A37,IF(A37='Données projet'!$A$114,'Données projet'!$B$114,BY36+BX37-CG36)))</f>
        <v>160</v>
      </c>
      <c r="BZ37" s="13">
        <f>BY37*VLOOKUP('Données projet'!$B$12,Paramètres!$A$1:$I$89,3,0)*VLOOKUP('Données projet'!$B$12,Paramètres!$A$1:$I$89,5,0)</f>
        <v>124.80000000000001</v>
      </c>
      <c r="CA37" s="13">
        <f t="shared" si="39"/>
        <v>32.791952217579265</v>
      </c>
      <c r="CB37" s="20">
        <f t="shared" si="10"/>
        <v>274.47265011228387</v>
      </c>
      <c r="CC37" s="59">
        <f t="shared" si="11"/>
        <v>567.80598344561713</v>
      </c>
      <c r="CD37" s="59">
        <f ca="1">AVERAGE(OFFSET($CC$3,0,0,'Données projet'!$E$12+1,1))-AVERAGE(OFFSET($H$3,0,0,'Données projet'!$E$12+1,1))</f>
        <v>286.5685205631126</v>
      </c>
      <c r="CE37" s="59">
        <f t="shared" si="40"/>
        <v>264.17357326498581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8.1999999999999993</v>
      </c>
      <c r="N38" s="13">
        <f>IF('Données projet'!$A$36&gt;35,N37+M38-V37,IF(A38&lt;'Données projet'!$A$36,$K$205^A38,IF(A38='Données projet'!$A$36,'Données projet'!$B$36,N37+M38-V37)))</f>
        <v>117.00000000000001</v>
      </c>
      <c r="O38" s="13">
        <f>N38*VLOOKUP('Données projet'!$B$9,Paramètres!$A$1:$I$89,3,0)*VLOOKUP('Données projet'!$B$9,Paramètres!$A$1:$I$89,5,0)</f>
        <v>105.8616</v>
      </c>
      <c r="P38" s="13">
        <f t="shared" si="33"/>
        <v>28.353779818951288</v>
      </c>
      <c r="Q38" s="20">
        <f t="shared" si="53"/>
        <v>233.75845318467347</v>
      </c>
      <c r="R38" s="59">
        <f t="shared" si="0"/>
        <v>527.09178651800676</v>
      </c>
      <c r="S38" s="59">
        <f ca="1">AVERAGE(OFFSET($R$3,0,0,'Données projet'!$E$9+1,1))-AVERAGE(OFFSET($H$3,0,0,'Données projet'!$E$9+1,1))</f>
        <v>346.35147716792028</v>
      </c>
      <c r="T38" s="59">
        <f t="shared" si="34"/>
        <v>231.36959598460686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1.353054820319892</v>
      </c>
      <c r="AC38" s="22">
        <f t="shared" si="3"/>
        <v>1.353054820319892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300</v>
      </c>
      <c r="AG38" s="12">
        <f>VLOOKUP(A38,'Données projet'!$A$61:$I$81,9,0)</f>
        <v>21.4</v>
      </c>
      <c r="AH38" s="12">
        <f t="array" ref="AH38">INDEX(AG:AG,MIN(IF(ISNUMBER(AG38:AG234),ROW(AG38:AG234),"")))</f>
        <v>21.4</v>
      </c>
      <c r="AI38" s="13">
        <f>IF('Données projet'!$A$62&gt;35,AI37+AH38-AQ37,IF(A38&lt;'Données projet'!$A$62,$AF$205^A38,IF(A38='Données projet'!$A$62,'Données projet'!$B$62,AI37+AH38-AQ37)))</f>
        <v>300</v>
      </c>
      <c r="AJ38" s="13">
        <f>AI38*VLOOKUP('Données projet'!$B$10,Paramètres!$A$1:$I$89,3,0)*VLOOKUP('Données projet'!$B$10,Paramètres!$A$1:$I$89,5,0)</f>
        <v>179.4</v>
      </c>
      <c r="AK38" s="13">
        <f t="shared" si="35"/>
        <v>45.188671291872232</v>
      </c>
      <c r="AL38" s="20">
        <f t="shared" si="4"/>
        <v>391.15860250001077</v>
      </c>
      <c r="AM38" s="59">
        <f t="shared" si="5"/>
        <v>684.49193583334409</v>
      </c>
      <c r="AN38" s="59">
        <f ca="1">AVERAGE(OFFSET($AM$3,0,0,'Données projet'!$E$10+1,1))-AVERAGE(OFFSET($H$3,0,0,'Données projet'!$E$10+1,1))</f>
        <v>559.94918407141222</v>
      </c>
      <c r="AO38" s="59">
        <f t="shared" si="36"/>
        <v>334.6078891555664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41</v>
      </c>
      <c r="AR38" s="16">
        <f>IF(ISNA(VLOOKUP(A38,'Données projet'!$A$61:$I$81,5,0)),0%,VLOOKUP(A38,'Données projet'!$A$61:$I$81,5,0)*VLOOKUP('Données projet'!$B$10,Paramètres!$A$1:$I$89,7,0))</f>
        <v>0.27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0.4</v>
      </c>
      <c r="AU38" s="21">
        <f>EXP(-LN(2)/35)*AU37+(1-EXP(-LN(2)/35))/(LN(2)/35)*AQ38*AR38*VLOOKUP('Données projet'!$B$10,Paramètres!$A$1:$I$89,3,0)*0.475*44/12</f>
        <v>16.767334461150369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13.438315795832992</v>
      </c>
      <c r="AX38" s="21">
        <f t="shared" si="6"/>
        <v>30.205650256983361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13.753846153846149</v>
      </c>
      <c r="BD38" s="12">
        <f>IF('Données projet'!$A$88&gt;35,BD37+BC38-BL37,IF(A38&lt;'Données projet'!$A$88,$BA$205^A38,IF(A38='Données projet'!$A$88,'Données projet'!$B$88,BD37+BC38-BL37)))</f>
        <v>227.50769230769231</v>
      </c>
      <c r="BE38" s="13">
        <f>BD38*VLOOKUP('Données projet'!$B$11,Paramètres!$A$1:$I$89,3,0)*VLOOKUP('Données projet'!$B$11,Paramètres!$A$1:$I$89,5,0)</f>
        <v>106.47359999999999</v>
      </c>
      <c r="BF38" s="13">
        <f t="shared" si="37"/>
        <v>28.498568230500929</v>
      </c>
      <c r="BG38" s="20">
        <f t="shared" si="7"/>
        <v>235.07652633478912</v>
      </c>
      <c r="BH38" s="59">
        <f t="shared" si="8"/>
        <v>528.40985966812241</v>
      </c>
      <c r="BI38" s="59">
        <f ca="1">AVERAGE(OFFSET($BH$3,0,0,'Données projet'!$E$11+1,1))-AVERAGE(OFFSET($H$3,0,0,'Données projet'!$E$11+1,1))</f>
        <v>276.78862011733338</v>
      </c>
      <c r="BJ38" s="59">
        <f t="shared" si="38"/>
        <v>202.1678469635836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173</v>
      </c>
      <c r="BW38" s="12">
        <f>VLOOKUP(A38,'Données projet'!$A$113:$I$133,9,0)</f>
        <v>13</v>
      </c>
      <c r="BX38" s="12">
        <f t="array" ref="BX38">INDEX(BW:BW,MIN(IF(ISNUMBER(BW38:BW234),ROW(BW38:BW234),"")))</f>
        <v>13</v>
      </c>
      <c r="BY38" s="12">
        <f>IF('Données projet'!$A$114&gt;35,BY37+BX38-CG37,IF(A38&lt;'Données projet'!$A$114,$BV$205^A38,IF(A38='Données projet'!$A$114,'Données projet'!$B$114,BY37+BX38-CG37)))</f>
        <v>173</v>
      </c>
      <c r="BZ38" s="13">
        <f>BY38*VLOOKUP('Données projet'!$B$12,Paramètres!$A$1:$I$89,3,0)*VLOOKUP('Données projet'!$B$12,Paramètres!$A$1:$I$89,5,0)</f>
        <v>134.94</v>
      </c>
      <c r="CA38" s="13">
        <f t="shared" si="39"/>
        <v>35.135358771568036</v>
      </c>
      <c r="CB38" s="20">
        <f t="shared" si="10"/>
        <v>296.21458319381429</v>
      </c>
      <c r="CC38" s="59">
        <f t="shared" si="11"/>
        <v>589.54791652714766</v>
      </c>
      <c r="CD38" s="59">
        <f ca="1">AVERAGE(OFFSET($CC$3,0,0,'Données projet'!$E$12+1,1))-AVERAGE(OFFSET($H$3,0,0,'Données projet'!$E$12+1,1))</f>
        <v>286.5685205631126</v>
      </c>
      <c r="CE38" s="59">
        <f t="shared" si="40"/>
        <v>264.17357326498581</v>
      </c>
      <c r="CF38" s="15">
        <f>IF(ISNA(VLOOKUP(A38,'Données projet'!$A$113:$I$133,3,0)),0,VLOOKUP(A38,'Données projet'!$A$113:$I$133,3,0))</f>
        <v>3</v>
      </c>
      <c r="CG38" s="15">
        <f>IF(ISNA(VLOOKUP(A38,'Données projet'!$A$113:$I$133,4,0)),0,VLOOKUP(A38,'Données projet'!$A$113:$I$133,4,0))</f>
        <v>27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8.1999999999999993</v>
      </c>
      <c r="N39" s="13">
        <f>IF('Données projet'!$A$36&gt;35,N38+M39-V38,IF(A39&lt;'Données projet'!$A$36,$K$205^A39,IF(A39='Données projet'!$A$36,'Données projet'!$B$36,N38+M39-V38)))</f>
        <v>125.20000000000002</v>
      </c>
      <c r="O39" s="13">
        <f>N39*VLOOKUP('Données projet'!$B$9,Paramètres!$A$1:$I$89,3,0)*VLOOKUP('Données projet'!$B$9,Paramètres!$A$1:$I$89,5,0)</f>
        <v>113.28096000000001</v>
      </c>
      <c r="P39" s="13">
        <f t="shared" si="33"/>
        <v>30.102677097724484</v>
      </c>
      <c r="Q39" s="20">
        <f t="shared" si="53"/>
        <v>249.7265012785368</v>
      </c>
      <c r="R39" s="59">
        <f t="shared" si="0"/>
        <v>543.05983461187009</v>
      </c>
      <c r="S39" s="59">
        <f ca="1">AVERAGE(OFFSET($R$3,0,0,'Données projet'!$E$9+1,1))-AVERAGE(OFFSET($H$3,0,0,'Données projet'!$E$9+1,1))</f>
        <v>346.35147716792028</v>
      </c>
      <c r="T39" s="59">
        <f t="shared" si="34"/>
        <v>231.36959598460686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0.95675423876534127</v>
      </c>
      <c r="AC39" s="22">
        <f t="shared" si="3"/>
        <v>0.95675423876534127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22.6</v>
      </c>
      <c r="AI39" s="13">
        <f>IF('Données projet'!$A$62&gt;35,AI38+AH39-AQ38,IF(A39&lt;'Données projet'!$A$62,$AF$205^A39,IF(A39='Données projet'!$A$62,'Données projet'!$B$62,AI38+AH39-AQ38)))</f>
        <v>281.60000000000002</v>
      </c>
      <c r="AJ39" s="13">
        <f>AI39*VLOOKUP('Données projet'!$B$10,Paramètres!$A$1:$I$89,3,0)*VLOOKUP('Données projet'!$B$10,Paramètres!$A$1:$I$89,5,0)</f>
        <v>168.39680000000004</v>
      </c>
      <c r="AK39" s="13">
        <f t="shared" si="35"/>
        <v>42.730762346041978</v>
      </c>
      <c r="AL39" s="20">
        <f t="shared" si="4"/>
        <v>367.71383775268987</v>
      </c>
      <c r="AM39" s="59">
        <f t="shared" si="5"/>
        <v>661.04717108602313</v>
      </c>
      <c r="AN39" s="59">
        <f ca="1">AVERAGE(OFFSET($AM$3,0,0,'Données projet'!$E$10+1,1))-AVERAGE(OFFSET($H$3,0,0,'Données projet'!$E$10+1,1))</f>
        <v>559.94918407141222</v>
      </c>
      <c r="AO39" s="59">
        <f t="shared" si="36"/>
        <v>334.6078891555664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16.438537259431392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9.5023242269598054</v>
      </c>
      <c r="AX39" s="21">
        <f t="shared" si="6"/>
        <v>25.940861486391199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241.26153846153844</v>
      </c>
      <c r="BB39" s="12">
        <f>VLOOKUP(A39,'Données projet'!$A$87:$I$107,9,0)</f>
        <v>13.753846153846149</v>
      </c>
      <c r="BC39" s="12">
        <f t="array" ref="BC39">INDEX(BB:BB,MIN(IF(ISNUMBER(BB39:BB235),ROW(BB39:BB235),"")))</f>
        <v>13.753846153846149</v>
      </c>
      <c r="BD39" s="12">
        <f>IF('Données projet'!$A$88&gt;35,BD38+BC39-BL38,IF(A39&lt;'Données projet'!$A$88,$BA$205^A39,IF(A39='Données projet'!$A$88,'Données projet'!$B$88,BD38+BC39-BL38)))</f>
        <v>241.26153846153846</v>
      </c>
      <c r="BE39" s="13">
        <f>BD39*VLOOKUP('Données projet'!$B$11,Paramètres!$A$1:$I$89,3,0)*VLOOKUP('Données projet'!$B$11,Paramètres!$A$1:$I$89,5,0)</f>
        <v>112.91040000000001</v>
      </c>
      <c r="BF39" s="13">
        <f t="shared" si="37"/>
        <v>30.015651859912975</v>
      </c>
      <c r="BG39" s="20">
        <f t="shared" si="7"/>
        <v>248.92954032268176</v>
      </c>
      <c r="BH39" s="59">
        <f t="shared" si="8"/>
        <v>542.26287365601502</v>
      </c>
      <c r="BI39" s="59">
        <f ca="1">AVERAGE(OFFSET($BH$3,0,0,'Données projet'!$E$11+1,1))-AVERAGE(OFFSET($H$3,0,0,'Données projet'!$E$11+1,1))</f>
        <v>276.78862011733338</v>
      </c>
      <c r="BJ39" s="59">
        <f t="shared" si="38"/>
        <v>202.1678469635836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12.4</v>
      </c>
      <c r="BY39" s="12">
        <f>IF('Données projet'!$A$114&gt;35,BY38+BX39-CG38,IF(A39&lt;'Données projet'!$A$114,$BV$205^A39,IF(A39='Données projet'!$A$114,'Données projet'!$B$114,BY38+BX39-CG38)))</f>
        <v>158.4</v>
      </c>
      <c r="BZ39" s="13">
        <f>BY39*VLOOKUP('Données projet'!$B$12,Paramètres!$A$1:$I$89,3,0)*VLOOKUP('Données projet'!$B$12,Paramètres!$A$1:$I$89,5,0)</f>
        <v>123.55200000000001</v>
      </c>
      <c r="CA39" s="13">
        <f t="shared" si="39"/>
        <v>32.502033262579566</v>
      </c>
      <c r="CB39" s="20">
        <f t="shared" si="10"/>
        <v>271.79410793232609</v>
      </c>
      <c r="CC39" s="59">
        <f t="shared" si="11"/>
        <v>565.1274412656594</v>
      </c>
      <c r="CD39" s="59">
        <f ca="1">AVERAGE(OFFSET($CC$3,0,0,'Données projet'!$E$12+1,1))-AVERAGE(OFFSET($H$3,0,0,'Données projet'!$E$12+1,1))</f>
        <v>286.5685205631126</v>
      </c>
      <c r="CE39" s="59">
        <f t="shared" si="40"/>
        <v>264.17357326498581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8.1999999999999993</v>
      </c>
      <c r="N40" s="13">
        <f>IF('Données projet'!$A$36&gt;35,N39+M40-V39,IF(A40&lt;'Données projet'!$A$36,$K$205^A40,IF(A40='Données projet'!$A$36,'Données projet'!$B$36,N39+M40-V39)))</f>
        <v>133.4</v>
      </c>
      <c r="O40" s="13">
        <f>N40*VLOOKUP('Données projet'!$B$9,Paramètres!$A$1:$I$89,3,0)*VLOOKUP('Données projet'!$B$9,Paramètres!$A$1:$I$89,5,0)</f>
        <v>120.70032</v>
      </c>
      <c r="P40" s="13">
        <f t="shared" si="33"/>
        <v>31.838282075030818</v>
      </c>
      <c r="Q40" s="20">
        <f t="shared" si="53"/>
        <v>265.67139861401199</v>
      </c>
      <c r="R40" s="59">
        <f t="shared" si="0"/>
        <v>559.00473194734536</v>
      </c>
      <c r="S40" s="59">
        <f ca="1">AVERAGE(OFFSET($R$3,0,0,'Données projet'!$E$9+1,1))-AVERAGE(OFFSET($H$3,0,0,'Données projet'!$E$9+1,1))</f>
        <v>346.35147716792028</v>
      </c>
      <c r="T40" s="59">
        <f t="shared" si="34"/>
        <v>231.36959598460686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0.67652741015994611</v>
      </c>
      <c r="AC40" s="22">
        <f t="shared" si="3"/>
        <v>0.67652741015994611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22.6</v>
      </c>
      <c r="AI40" s="13">
        <f>IF('Données projet'!$A$62&gt;35,AI39+AH40-AQ39,IF(A40&lt;'Données projet'!$A$62,$AF$205^A40,IF(A40='Données projet'!$A$62,'Données projet'!$B$62,AI39+AH40-AQ39)))</f>
        <v>304.20000000000005</v>
      </c>
      <c r="AJ40" s="13">
        <f>AI40*VLOOKUP('Données projet'!$B$10,Paramètres!$A$1:$I$89,3,0)*VLOOKUP('Données projet'!$B$10,Paramètres!$A$1:$I$89,5,0)</f>
        <v>181.91160000000002</v>
      </c>
      <c r="AK40" s="13">
        <f t="shared" si="35"/>
        <v>45.747220111978386</v>
      </c>
      <c r="AL40" s="20">
        <f t="shared" si="4"/>
        <v>396.50577836169572</v>
      </c>
      <c r="AM40" s="59">
        <f t="shared" si="5"/>
        <v>689.83911169502903</v>
      </c>
      <c r="AN40" s="59">
        <f ca="1">AVERAGE(OFFSET($AM$3,0,0,'Données projet'!$E$10+1,1))-AVERAGE(OFFSET($H$3,0,0,'Données projet'!$E$10+1,1))</f>
        <v>559.94918407141222</v>
      </c>
      <c r="AO40" s="59">
        <f t="shared" si="36"/>
        <v>334.6078891555664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16.116187570291633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6.7191578979164968</v>
      </c>
      <c r="AX40" s="21">
        <f t="shared" si="6"/>
        <v>22.835345468208128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15.626923076923072</v>
      </c>
      <c r="BD40" s="12">
        <f>IF('Données projet'!$A$88&gt;35,BD39+BC40-BL39,IF(A40&lt;'Données projet'!$A$88,$BA$205^A40,IF(A40='Données projet'!$A$88,'Données projet'!$B$88,BD39+BC40-BL39)))</f>
        <v>256.88846153846151</v>
      </c>
      <c r="BE40" s="13">
        <f>BD40*VLOOKUP('Données projet'!$B$11,Paramètres!$A$1:$I$89,3,0)*VLOOKUP('Données projet'!$B$11,Paramètres!$A$1:$I$89,5,0)</f>
        <v>120.22379999999998</v>
      </c>
      <c r="BF40" s="13">
        <f t="shared" si="37"/>
        <v>31.727191307145876</v>
      </c>
      <c r="BG40" s="20">
        <f t="shared" si="7"/>
        <v>264.64797652661235</v>
      </c>
      <c r="BH40" s="59">
        <f t="shared" si="8"/>
        <v>557.98130985994567</v>
      </c>
      <c r="BI40" s="59">
        <f ca="1">AVERAGE(OFFSET($BH$3,0,0,'Données projet'!$E$11+1,1))-AVERAGE(OFFSET($H$3,0,0,'Données projet'!$E$11+1,1))</f>
        <v>276.78862011733338</v>
      </c>
      <c r="BJ40" s="59">
        <f t="shared" si="38"/>
        <v>202.1678469635836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12.4</v>
      </c>
      <c r="BY40" s="12">
        <f>IF('Données projet'!$A$114&gt;35,BY39+BX40-CG39,IF(A40&lt;'Données projet'!$A$114,$BV$205^A40,IF(A40='Données projet'!$A$114,'Données projet'!$B$114,BY39+BX40-CG39)))</f>
        <v>170.8</v>
      </c>
      <c r="BZ40" s="13">
        <f>BY40*VLOOKUP('Données projet'!$B$12,Paramètres!$A$1:$I$89,3,0)*VLOOKUP('Données projet'!$B$12,Paramètres!$A$1:$I$89,5,0)</f>
        <v>133.22400000000002</v>
      </c>
      <c r="CA40" s="13">
        <f t="shared" si="39"/>
        <v>34.740265606230608</v>
      </c>
      <c r="CB40" s="20">
        <f t="shared" si="10"/>
        <v>292.53776259751834</v>
      </c>
      <c r="CC40" s="59">
        <f t="shared" si="11"/>
        <v>585.87109593085165</v>
      </c>
      <c r="CD40" s="59">
        <f ca="1">AVERAGE(OFFSET($CC$3,0,0,'Données projet'!$E$12+1,1))-AVERAGE(OFFSET($H$3,0,0,'Données projet'!$E$12+1,1))</f>
        <v>286.5685205631126</v>
      </c>
      <c r="CE40" s="59">
        <f t="shared" si="40"/>
        <v>264.17357326498581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8.1999999999999993</v>
      </c>
      <c r="N41" s="13">
        <f>IF('Données projet'!$A$36&gt;35,N40+M41-V40,IF(A41&lt;'Données projet'!$A$36,$K$205^A41,IF(A41='Données projet'!$A$36,'Données projet'!$B$36,N40+M41-V40)))</f>
        <v>141.6</v>
      </c>
      <c r="O41" s="13">
        <f>N41*VLOOKUP('Données projet'!$B$9,Paramètres!$A$1:$I$89,3,0)*VLOOKUP('Données projet'!$B$9,Paramètres!$A$1:$I$89,5,0)</f>
        <v>128.11967999999999</v>
      </c>
      <c r="P41" s="13">
        <f t="shared" si="33"/>
        <v>33.561504850994297</v>
      </c>
      <c r="Q41" s="20">
        <f t="shared" si="53"/>
        <v>281.5947302821483</v>
      </c>
      <c r="R41" s="59">
        <f t="shared" si="0"/>
        <v>574.92806361548162</v>
      </c>
      <c r="S41" s="59">
        <f ca="1">AVERAGE(OFFSET($R$3,0,0,'Données projet'!$E$9+1,1))-AVERAGE(OFFSET($H$3,0,0,'Données projet'!$E$9+1,1))</f>
        <v>346.35147716792028</v>
      </c>
      <c r="T41" s="59">
        <f t="shared" si="34"/>
        <v>231.36959598460686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0.47837711938267075</v>
      </c>
      <c r="AC41" s="22">
        <f t="shared" si="3"/>
        <v>0.47837711938267075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22.6</v>
      </c>
      <c r="AI41" s="13">
        <f>IF('Données projet'!$A$62&gt;35,AI40+AH41-AQ40,IF(A41&lt;'Données projet'!$A$62,$AF$205^A41,IF(A41='Données projet'!$A$62,'Données projet'!$B$62,AI40+AH41-AQ40)))</f>
        <v>326.80000000000007</v>
      </c>
      <c r="AJ41" s="13">
        <f>AI41*VLOOKUP('Données projet'!$B$10,Paramètres!$A$1:$I$89,3,0)*VLOOKUP('Données projet'!$B$10,Paramètres!$A$1:$I$89,5,0)</f>
        <v>195.42640000000006</v>
      </c>
      <c r="AK41" s="13">
        <f t="shared" si="35"/>
        <v>48.737679593521946</v>
      </c>
      <c r="AL41" s="20">
        <f t="shared" si="4"/>
        <v>425.25243862538406</v>
      </c>
      <c r="AM41" s="59">
        <f t="shared" si="5"/>
        <v>718.58577195871737</v>
      </c>
      <c r="AN41" s="59">
        <f ca="1">AVERAGE(OFFSET($AM$3,0,0,'Données projet'!$E$10+1,1))-AVERAGE(OFFSET($H$3,0,0,'Données projet'!$E$10+1,1))</f>
        <v>559.94918407141222</v>
      </c>
      <c r="AO41" s="59">
        <f t="shared" si="36"/>
        <v>334.6078891555664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15.800158961942008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4.7511621134799036</v>
      </c>
      <c r="AX41" s="21">
        <f t="shared" si="6"/>
        <v>20.55132107542191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15.626923076923072</v>
      </c>
      <c r="BD41" s="12">
        <f>IF('Données projet'!$A$88&gt;35,BD40+BC41-BL40,IF(A41&lt;'Données projet'!$A$88,$BA$205^A41,IF(A41='Données projet'!$A$88,'Données projet'!$B$88,BD40+BC41-BL40)))</f>
        <v>272.51538461538456</v>
      </c>
      <c r="BE41" s="13">
        <f>BD41*VLOOKUP('Données projet'!$B$11,Paramètres!$A$1:$I$89,3,0)*VLOOKUP('Données projet'!$B$11,Paramètres!$A$1:$I$89,5,0)</f>
        <v>127.53719999999998</v>
      </c>
      <c r="BF41" s="13">
        <f t="shared" si="37"/>
        <v>33.426646638407249</v>
      </c>
      <c r="BG41" s="20">
        <f t="shared" si="7"/>
        <v>280.34536622855927</v>
      </c>
      <c r="BH41" s="59">
        <f t="shared" si="8"/>
        <v>573.67869956189259</v>
      </c>
      <c r="BI41" s="59">
        <f ca="1">AVERAGE(OFFSET($BH$3,0,0,'Données projet'!$E$11+1,1))-AVERAGE(OFFSET($H$3,0,0,'Données projet'!$E$11+1,1))</f>
        <v>276.78862011733338</v>
      </c>
      <c r="BJ41" s="59">
        <f t="shared" si="38"/>
        <v>202.1678469635836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12.4</v>
      </c>
      <c r="BY41" s="12">
        <f>IF('Données projet'!$A$114&gt;35,BY40+BX41-CG40,IF(A41&lt;'Données projet'!$A$114,$BV$205^A41,IF(A41='Données projet'!$A$114,'Données projet'!$B$114,BY40+BX41-CG40)))</f>
        <v>183.20000000000002</v>
      </c>
      <c r="BZ41" s="13">
        <f>BY41*VLOOKUP('Données projet'!$B$12,Paramètres!$A$1:$I$89,3,0)*VLOOKUP('Données projet'!$B$12,Paramètres!$A$1:$I$89,5,0)</f>
        <v>142.89600000000002</v>
      </c>
      <c r="CA41" s="13">
        <f t="shared" si="39"/>
        <v>36.959645797372403</v>
      </c>
      <c r="CB41" s="20">
        <f t="shared" si="10"/>
        <v>313.24858309709026</v>
      </c>
      <c r="CC41" s="59">
        <f t="shared" si="11"/>
        <v>606.58191643042358</v>
      </c>
      <c r="CD41" s="59">
        <f ca="1">AVERAGE(OFFSET($CC$3,0,0,'Données projet'!$E$12+1,1))-AVERAGE(OFFSET($H$3,0,0,'Données projet'!$E$12+1,1))</f>
        <v>286.5685205631126</v>
      </c>
      <c r="CE41" s="59">
        <f t="shared" si="40"/>
        <v>264.17357326498581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8.1999999999999993</v>
      </c>
      <c r="N42" s="13">
        <f>IF('Données projet'!$A$36&gt;35,N41+M42-V41,IF(A42&lt;'Données projet'!$A$36,$K$205^A42,IF(A42='Données projet'!$A$36,'Données projet'!$B$36,N41+M42-V41)))</f>
        <v>149.79999999999998</v>
      </c>
      <c r="O42" s="13">
        <f>N42*VLOOKUP('Données projet'!$B$9,Paramètres!$A$1:$I$89,3,0)*VLOOKUP('Données projet'!$B$9,Paramètres!$A$1:$I$89,5,0)</f>
        <v>135.53903999999997</v>
      </c>
      <c r="P42" s="13">
        <f t="shared" si="33"/>
        <v>35.273144164630104</v>
      </c>
      <c r="Q42" s="20">
        <f t="shared" si="53"/>
        <v>297.49788742006405</v>
      </c>
      <c r="R42" s="59">
        <f t="shared" si="0"/>
        <v>590.83122075339736</v>
      </c>
      <c r="S42" s="59">
        <f ca="1">AVERAGE(OFFSET($R$3,0,0,'Données projet'!$E$9+1,1))-AVERAGE(OFFSET($H$3,0,0,'Données projet'!$E$9+1,1))</f>
        <v>346.35147716792028</v>
      </c>
      <c r="T42" s="59">
        <f t="shared" si="34"/>
        <v>231.36959598460686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0.33826370507997311</v>
      </c>
      <c r="AC42" s="22">
        <f t="shared" si="3"/>
        <v>0.33826370507997311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22.6</v>
      </c>
      <c r="AI42" s="13">
        <f>IF('Données projet'!$A$62&gt;35,AI41+AH42-AQ41,IF(A42&lt;'Données projet'!$A$62,$AF$205^A42,IF(A42='Données projet'!$A$62,'Données projet'!$B$62,AI41+AH42-AQ41)))</f>
        <v>349.40000000000009</v>
      </c>
      <c r="AJ42" s="13">
        <f>AI42*VLOOKUP('Données projet'!$B$10,Paramètres!$A$1:$I$89,3,0)*VLOOKUP('Données projet'!$B$10,Paramètres!$A$1:$I$89,5,0)</f>
        <v>208.94120000000007</v>
      </c>
      <c r="AK42" s="13">
        <f t="shared" si="35"/>
        <v>51.704143237301885</v>
      </c>
      <c r="AL42" s="20">
        <f t="shared" si="4"/>
        <v>453.95730613830091</v>
      </c>
      <c r="AM42" s="59">
        <f t="shared" si="5"/>
        <v>747.29063947163422</v>
      </c>
      <c r="AN42" s="59">
        <f ca="1">AVERAGE(OFFSET($AM$3,0,0,'Données projet'!$E$10+1,1))-AVERAGE(OFFSET($H$3,0,0,'Données projet'!$E$10+1,1))</f>
        <v>559.94918407141222</v>
      </c>
      <c r="AO42" s="59">
        <f t="shared" si="36"/>
        <v>334.6078891555664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15.490327481843703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3.3595789489582493</v>
      </c>
      <c r="AX42" s="21">
        <f t="shared" si="6"/>
        <v>18.849906430801951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15.626923076923072</v>
      </c>
      <c r="BD42" s="12">
        <f>IF('Données projet'!$A$88&gt;35,BD41+BC42-BL41,IF(A42&lt;'Données projet'!$A$88,$BA$205^A42,IF(A42='Données projet'!$A$88,'Données projet'!$B$88,BD41+BC42-BL41)))</f>
        <v>288.14230769230761</v>
      </c>
      <c r="BE42" s="13">
        <f>BD42*VLOOKUP('Données projet'!$B$11,Paramètres!$A$1:$I$89,3,0)*VLOOKUP('Données projet'!$B$11,Paramètres!$A$1:$I$89,5,0)</f>
        <v>134.85059999999996</v>
      </c>
      <c r="BF42" s="13">
        <f t="shared" si="37"/>
        <v>35.114789748641662</v>
      </c>
      <c r="BG42" s="20">
        <f t="shared" si="7"/>
        <v>296.02305381221748</v>
      </c>
      <c r="BH42" s="59">
        <f t="shared" si="8"/>
        <v>589.3563871455508</v>
      </c>
      <c r="BI42" s="59">
        <f ca="1">AVERAGE(OFFSET($BH$3,0,0,'Données projet'!$E$11+1,1))-AVERAGE(OFFSET($H$3,0,0,'Données projet'!$E$11+1,1))</f>
        <v>276.78862011733338</v>
      </c>
      <c r="BJ42" s="59">
        <f t="shared" si="38"/>
        <v>202.1678469635836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12.4</v>
      </c>
      <c r="BY42" s="12">
        <f>IF('Données projet'!$A$114&gt;35,BY41+BX42-CG41,IF(A42&lt;'Données projet'!$A$114,$BV$205^A42,IF(A42='Données projet'!$A$114,'Données projet'!$B$114,BY41+BX42-CG41)))</f>
        <v>195.60000000000002</v>
      </c>
      <c r="BZ42" s="13">
        <f>BY42*VLOOKUP('Données projet'!$B$12,Paramètres!$A$1:$I$89,3,0)*VLOOKUP('Données projet'!$B$12,Paramètres!$A$1:$I$89,5,0)</f>
        <v>152.56800000000001</v>
      </c>
      <c r="CA42" s="13">
        <f t="shared" si="39"/>
        <v>39.161595030150863</v>
      </c>
      <c r="CB42" s="20">
        <f t="shared" si="10"/>
        <v>333.92904467751276</v>
      </c>
      <c r="CC42" s="59">
        <f t="shared" si="11"/>
        <v>627.26237801084608</v>
      </c>
      <c r="CD42" s="59">
        <f ca="1">AVERAGE(OFFSET($CC$3,0,0,'Données projet'!$E$12+1,1))-AVERAGE(OFFSET($H$3,0,0,'Données projet'!$E$12+1,1))</f>
        <v>286.5685205631126</v>
      </c>
      <c r="CE42" s="59">
        <f t="shared" si="40"/>
        <v>264.17357326498581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158</v>
      </c>
      <c r="L43" s="12">
        <f>VLOOKUP(A43,'Données projet'!$A$35:$I$55,9,0)</f>
        <v>8.1999999999999993</v>
      </c>
      <c r="M43" s="12">
        <f t="array" ref="M43">INDEX(L:L,MIN(IF(ISNUMBER(L43:L239),ROW(L43:L239),"")))</f>
        <v>8.1999999999999993</v>
      </c>
      <c r="N43" s="13">
        <f>IF('Données projet'!$A$36&gt;35,N42+M43-V42,IF(A43&lt;'Données projet'!$A$36,$K$205^A43,IF(A43='Données projet'!$A$36,'Données projet'!$B$36,N42+M43-V42)))</f>
        <v>157.99999999999997</v>
      </c>
      <c r="O43" s="13">
        <f>N43*VLOOKUP('Données projet'!$B$9,Paramètres!$A$1:$I$89,3,0)*VLOOKUP('Données projet'!$B$9,Paramètres!$A$1:$I$89,5,0)</f>
        <v>142.95839999999995</v>
      </c>
      <c r="P43" s="13">
        <f t="shared" si="33"/>
        <v>36.973906370811264</v>
      </c>
      <c r="Q43" s="20">
        <f t="shared" si="53"/>
        <v>313.38210026249618</v>
      </c>
      <c r="R43" s="59">
        <f t="shared" si="0"/>
        <v>606.7154335958295</v>
      </c>
      <c r="S43" s="59">
        <f ca="1">AVERAGE(OFFSET($R$3,0,0,'Données projet'!$E$9+1,1))-AVERAGE(OFFSET($H$3,0,0,'Données projet'!$E$9+1,1))</f>
        <v>346.35147716792028</v>
      </c>
      <c r="T43" s="59">
        <f t="shared" si="34"/>
        <v>231.36959598460686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42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0.4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14.581401518918582</v>
      </c>
      <c r="AC43" s="22">
        <f t="shared" si="3"/>
        <v>14.581401518918582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372</v>
      </c>
      <c r="AG43" s="12">
        <f>VLOOKUP(A43,'Données projet'!$A$61:$I$81,9,0)</f>
        <v>22.6</v>
      </c>
      <c r="AH43" s="12">
        <f t="array" ref="AH43">INDEX(AG:AG,MIN(IF(ISNUMBER(AG43:AG239),ROW(AG43:AG239),"")))</f>
        <v>22.6</v>
      </c>
      <c r="AI43" s="13">
        <f>IF('Données projet'!$A$62&gt;35,AI42+AH43-AQ42,IF(A43&lt;'Données projet'!$A$62,$AF$205^A43,IF(A43='Données projet'!$A$62,'Données projet'!$B$62,AI42+AH43-AQ42)))</f>
        <v>372.00000000000011</v>
      </c>
      <c r="AJ43" s="13">
        <f>AI43*VLOOKUP('Données projet'!$B$10,Paramètres!$A$1:$I$89,3,0)*VLOOKUP('Données projet'!$B$10,Paramètres!$A$1:$I$89,5,0)</f>
        <v>222.45600000000007</v>
      </c>
      <c r="AK43" s="13">
        <f t="shared" si="35"/>
        <v>54.648339796219865</v>
      </c>
      <c r="AL43" s="20">
        <f t="shared" si="4"/>
        <v>482.62339181174974</v>
      </c>
      <c r="AM43" s="59">
        <f t="shared" si="5"/>
        <v>775.95672514508306</v>
      </c>
      <c r="AN43" s="59">
        <f ca="1">AVERAGE(OFFSET($AM$3,0,0,'Données projet'!$E$10+1,1))-AVERAGE(OFFSET($H$3,0,0,'Données projet'!$E$10+1,1))</f>
        <v>559.94918407141222</v>
      </c>
      <c r="AO43" s="59">
        <f t="shared" si="36"/>
        <v>334.6078891555664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41</v>
      </c>
      <c r="AR43" s="16">
        <f>IF(ISNA(VLOOKUP(A43,'Données projet'!$A$61:$I$81,5,0)),0%,VLOOKUP(A43,'Données projet'!$A$61:$I$81,5,0)*VLOOKUP('Données projet'!$B$10,Paramètres!$A$1:$I$89,7,0))</f>
        <v>0.40500000000000003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0.1</v>
      </c>
      <c r="AU43" s="21">
        <f>EXP(-LN(2)/35)*AU42+(1-EXP(-LN(2)/35))/(LN(2)/35)*AQ43*AR43*VLOOKUP('Données projet'!$B$10,Paramètres!$A$1:$I$89,3,0)*0.475*44/12</f>
        <v>28.359078072070574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5.1515882038153418</v>
      </c>
      <c r="AX43" s="21">
        <f t="shared" si="6"/>
        <v>33.510666275885917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15.626923076923072</v>
      </c>
      <c r="BD43" s="12">
        <f>IF('Données projet'!$A$88&gt;35,BD42+BC43-BL42,IF(A43&lt;'Données projet'!$A$88,$BA$205^A43,IF(A43='Données projet'!$A$88,'Données projet'!$B$88,BD42+BC43-BL42)))</f>
        <v>303.76923076923066</v>
      </c>
      <c r="BE43" s="13">
        <f>BD43*VLOOKUP('Données projet'!$B$11,Paramètres!$A$1:$I$89,3,0)*VLOOKUP('Données projet'!$B$11,Paramètres!$A$1:$I$89,5,0)</f>
        <v>142.16399999999996</v>
      </c>
      <c r="BF43" s="13">
        <f t="shared" si="37"/>
        <v>36.792304079280136</v>
      </c>
      <c r="BG43" s="20">
        <f t="shared" si="7"/>
        <v>311.68222960474617</v>
      </c>
      <c r="BH43" s="59">
        <f t="shared" si="8"/>
        <v>605.01556293807948</v>
      </c>
      <c r="BI43" s="59">
        <f ca="1">AVERAGE(OFFSET($BH$3,0,0,'Données projet'!$E$11+1,1))-AVERAGE(OFFSET($H$3,0,0,'Données projet'!$E$11+1,1))</f>
        <v>276.78862011733338</v>
      </c>
      <c r="BJ43" s="59">
        <f t="shared" si="38"/>
        <v>202.1678469635836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208</v>
      </c>
      <c r="BW43" s="12">
        <f>VLOOKUP(A43,'Données projet'!$A$113:$I$133,9,0)</f>
        <v>12.4</v>
      </c>
      <c r="BX43" s="12">
        <f t="array" ref="BX43">INDEX(BW:BW,MIN(IF(ISNUMBER(BW43:BW239),ROW(BW43:BW239),"")))</f>
        <v>12.4</v>
      </c>
      <c r="BY43" s="12">
        <f>IF('Données projet'!$A$114&gt;35,BY42+BX43-CG42,IF(A43&lt;'Données projet'!$A$114,$BV$205^A43,IF(A43='Données projet'!$A$114,'Données projet'!$B$114,BY42+BX43-CG42)))</f>
        <v>208.00000000000003</v>
      </c>
      <c r="BZ43" s="13">
        <f>BY43*VLOOKUP('Données projet'!$B$12,Paramètres!$A$1:$I$89,3,0)*VLOOKUP('Données projet'!$B$12,Paramètres!$A$1:$I$89,5,0)</f>
        <v>162.24000000000004</v>
      </c>
      <c r="CA43" s="13">
        <f t="shared" si="39"/>
        <v>41.347344120141088</v>
      </c>
      <c r="CB43" s="20">
        <f t="shared" si="10"/>
        <v>354.58129100924572</v>
      </c>
      <c r="CC43" s="59">
        <f t="shared" si="11"/>
        <v>647.91462434257903</v>
      </c>
      <c r="CD43" s="59">
        <f ca="1">AVERAGE(OFFSET($CC$3,0,0,'Données projet'!$E$12+1,1))-AVERAGE(OFFSET($H$3,0,0,'Données projet'!$E$12+1,1))</f>
        <v>286.5685205631126</v>
      </c>
      <c r="CE43" s="59">
        <f t="shared" si="40"/>
        <v>264.17357326498581</v>
      </c>
      <c r="CF43" s="15">
        <f>IF(ISNA(VLOOKUP(A43,'Données projet'!$A$113:$I$133,3,0)),0,VLOOKUP(A43,'Données projet'!$A$113:$I$133,3,0))</f>
        <v>4</v>
      </c>
      <c r="CG43" s="15">
        <f>IF(ISNA(VLOOKUP(A43,'Données projet'!$A$113:$I$133,4,0)),0,VLOOKUP(A43,'Données projet'!$A$113:$I$133,4,0))</f>
        <v>32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8.3000000000000007</v>
      </c>
      <c r="N44" s="13">
        <f>IF('Données projet'!$A$36&gt;35,N43+M44-V43,IF(A44&lt;'Données projet'!$A$36,$K$205^A44,IF(A44='Données projet'!$A$36,'Données projet'!$B$36,N43+M44-V43)))</f>
        <v>124.29999999999998</v>
      </c>
      <c r="O44" s="13">
        <f>N44*VLOOKUP('Données projet'!$B$9,Paramètres!$A$1:$I$89,3,0)*VLOOKUP('Données projet'!$B$9,Paramètres!$A$1:$I$89,5,0)</f>
        <v>112.46663999999997</v>
      </c>
      <c r="P44" s="13">
        <f t="shared" si="33"/>
        <v>29.911391992758421</v>
      </c>
      <c r="Q44" s="20">
        <f t="shared" si="53"/>
        <v>247.97507238738754</v>
      </c>
      <c r="R44" s="59">
        <f t="shared" si="0"/>
        <v>541.30840572072088</v>
      </c>
      <c r="S44" s="59">
        <f ca="1">AVERAGE(OFFSET($R$3,0,0,'Données projet'!$E$9+1,1))-AVERAGE(OFFSET($H$3,0,0,'Données projet'!$E$9+1,1))</f>
        <v>346.35147716792028</v>
      </c>
      <c r="T44" s="59">
        <f t="shared" si="34"/>
        <v>231.36959598460686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10.310607893231154</v>
      </c>
      <c r="AC44" s="22">
        <f t="shared" si="3"/>
        <v>10.310607893231154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24.8</v>
      </c>
      <c r="AI44" s="13">
        <f>IF('Données projet'!$A$62&gt;35,AI43+AH44-AQ43,IF(A44&lt;'Données projet'!$A$62,$AF$205^A44,IF(A44='Données projet'!$A$62,'Données projet'!$B$62,AI43+AH44-AQ43)))</f>
        <v>355.80000000000013</v>
      </c>
      <c r="AJ44" s="13">
        <f>AI44*VLOOKUP('Données projet'!$B$10,Paramètres!$A$1:$I$89,3,0)*VLOOKUP('Données projet'!$B$10,Paramètres!$A$1:$I$89,5,0)</f>
        <v>212.7684000000001</v>
      </c>
      <c r="AK44" s="13">
        <f t="shared" si="35"/>
        <v>52.540088856749236</v>
      </c>
      <c r="AL44" s="20">
        <f t="shared" si="4"/>
        <v>462.07895142550507</v>
      </c>
      <c r="AM44" s="59">
        <f t="shared" si="5"/>
        <v>755.41228475883838</v>
      </c>
      <c r="AN44" s="59">
        <f ca="1">AVERAGE(OFFSET($AM$3,0,0,'Données projet'!$E$10+1,1))-AVERAGE(OFFSET($H$3,0,0,'Données projet'!$E$10+1,1))</f>
        <v>559.94918407141222</v>
      </c>
      <c r="AO44" s="59">
        <f t="shared" si="36"/>
        <v>334.6078891555664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27.802973848406925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3.6427229527984544</v>
      </c>
      <c r="AX44" s="21">
        <f t="shared" si="6"/>
        <v>31.445696801205379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15.626923076923072</v>
      </c>
      <c r="BD44" s="12">
        <f>IF('Données projet'!$A$88&gt;35,BD43+BC44-BL43,IF(A44&lt;'Données projet'!$A$88,$BA$205^A44,IF(A44='Données projet'!$A$88,'Données projet'!$B$88,BD43+BC44-BL43)))</f>
        <v>319.39615384615371</v>
      </c>
      <c r="BE44" s="13">
        <f>BD44*VLOOKUP('Données projet'!$B$11,Paramètres!$A$1:$I$89,3,0)*VLOOKUP('Données projet'!$B$11,Paramètres!$A$1:$I$89,5,0)</f>
        <v>149.47739999999993</v>
      </c>
      <c r="BF44" s="13">
        <f t="shared" si="37"/>
        <v>38.459798782919904</v>
      </c>
      <c r="BG44" s="20">
        <f t="shared" si="7"/>
        <v>327.32395454691869</v>
      </c>
      <c r="BH44" s="59">
        <f t="shared" si="8"/>
        <v>620.65728788025194</v>
      </c>
      <c r="BI44" s="59">
        <f ca="1">AVERAGE(OFFSET($BH$3,0,0,'Données projet'!$E$11+1,1))-AVERAGE(OFFSET($H$3,0,0,'Données projet'!$E$11+1,1))</f>
        <v>276.78862011733338</v>
      </c>
      <c r="BJ44" s="59">
        <f t="shared" si="38"/>
        <v>202.1678469635836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11.4</v>
      </c>
      <c r="BY44" s="12">
        <f>IF('Données projet'!$A$114&gt;35,BY43+BX44-CG43,IF(A44&lt;'Données projet'!$A$114,$BV$205^A44,IF(A44='Données projet'!$A$114,'Données projet'!$B$114,BY43+BX44-CG43)))</f>
        <v>187.40000000000003</v>
      </c>
      <c r="BZ44" s="13">
        <f>BY44*VLOOKUP('Données projet'!$B$12,Paramètres!$A$1:$I$89,3,0)*VLOOKUP('Données projet'!$B$12,Paramètres!$A$1:$I$89,5,0)</f>
        <v>146.17200000000003</v>
      </c>
      <c r="CA44" s="13">
        <f t="shared" si="39"/>
        <v>37.707354374771185</v>
      </c>
      <c r="CB44" s="20">
        <f t="shared" si="10"/>
        <v>320.25654220272645</v>
      </c>
      <c r="CC44" s="59">
        <f t="shared" si="11"/>
        <v>613.58987553605971</v>
      </c>
      <c r="CD44" s="59">
        <f ca="1">AVERAGE(OFFSET($CC$3,0,0,'Données projet'!$E$12+1,1))-AVERAGE(OFFSET($H$3,0,0,'Données projet'!$E$12+1,1))</f>
        <v>286.5685205631126</v>
      </c>
      <c r="CE44" s="59">
        <f t="shared" si="40"/>
        <v>264.17357326498581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8.3000000000000007</v>
      </c>
      <c r="N45" s="13">
        <f>IF('Données projet'!$A$36&gt;35,N44+M45-V44,IF(A45&lt;'Données projet'!$A$36,$K$205^A45,IF(A45='Données projet'!$A$36,'Données projet'!$B$36,N44+M45-V44)))</f>
        <v>132.6</v>
      </c>
      <c r="O45" s="13">
        <f>N45*VLOOKUP('Données projet'!$B$9,Paramètres!$A$1:$I$89,3,0)*VLOOKUP('Données projet'!$B$9,Paramètres!$A$1:$I$89,5,0)</f>
        <v>119.97647999999998</v>
      </c>
      <c r="P45" s="13">
        <f t="shared" si="33"/>
        <v>31.669513577784763</v>
      </c>
      <c r="Q45" s="20">
        <f t="shared" si="53"/>
        <v>264.11677214797504</v>
      </c>
      <c r="R45" s="59">
        <f t="shared" si="0"/>
        <v>557.45010548130836</v>
      </c>
      <c r="S45" s="59">
        <f ca="1">AVERAGE(OFFSET($R$3,0,0,'Données projet'!$E$9+1,1))-AVERAGE(OFFSET($H$3,0,0,'Données projet'!$E$9+1,1))</f>
        <v>346.35147716792028</v>
      </c>
      <c r="T45" s="59">
        <f t="shared" si="34"/>
        <v>231.36959598460686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7.2907007594592921</v>
      </c>
      <c r="AC45" s="22">
        <f t="shared" si="3"/>
        <v>7.2907007594592921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24.8</v>
      </c>
      <c r="AI45" s="13">
        <f>IF('Données projet'!$A$62&gt;35,AI44+AH45-AQ44,IF(A45&lt;'Données projet'!$A$62,$AF$205^A45,IF(A45='Données projet'!$A$62,'Données projet'!$B$62,AI44+AH45-AQ44)))</f>
        <v>380.60000000000014</v>
      </c>
      <c r="AJ45" s="13">
        <f>AI45*VLOOKUP('Données projet'!$B$10,Paramètres!$A$1:$I$89,3,0)*VLOOKUP('Données projet'!$B$10,Paramètres!$A$1:$I$89,5,0)</f>
        <v>227.5988000000001</v>
      </c>
      <c r="AK45" s="13">
        <f t="shared" si="35"/>
        <v>55.763169251259505</v>
      </c>
      <c r="AL45" s="20">
        <f t="shared" si="4"/>
        <v>493.52209644594382</v>
      </c>
      <c r="AM45" s="59">
        <f t="shared" si="5"/>
        <v>786.85542977927707</v>
      </c>
      <c r="AN45" s="59">
        <f ca="1">AVERAGE(OFFSET($AM$3,0,0,'Données projet'!$E$10+1,1))-AVERAGE(OFFSET($H$3,0,0,'Données projet'!$E$10+1,1))</f>
        <v>559.94918407141222</v>
      </c>
      <c r="AO45" s="59">
        <f t="shared" si="36"/>
        <v>334.6078891555664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27.257774489379237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2.5757941019076713</v>
      </c>
      <c r="AX45" s="21">
        <f t="shared" si="6"/>
        <v>29.833568591286909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335.02307692307687</v>
      </c>
      <c r="BB45" s="12">
        <f>VLOOKUP(A45,'Données projet'!$A$87:$I$107,9,0)</f>
        <v>15.626923076923072</v>
      </c>
      <c r="BC45" s="12">
        <f t="array" ref="BC45">INDEX(BB:BB,MIN(IF(ISNUMBER(BB45:BB241),ROW(BB45:BB241),"")))</f>
        <v>15.626923076923072</v>
      </c>
      <c r="BD45" s="12">
        <f>IF('Données projet'!$A$88&gt;35,BD44+BC45-BL44,IF(A45&lt;'Données projet'!$A$88,$BA$205^A45,IF(A45='Données projet'!$A$88,'Données projet'!$B$88,BD44+BC45-BL44)))</f>
        <v>335.02307692307676</v>
      </c>
      <c r="BE45" s="13">
        <f>BD45*VLOOKUP('Données projet'!$B$11,Paramètres!$A$1:$I$89,3,0)*VLOOKUP('Données projet'!$B$11,Paramètres!$A$1:$I$89,5,0)</f>
        <v>156.79079999999993</v>
      </c>
      <c r="BF45" s="13">
        <f t="shared" si="37"/>
        <v>40.117820037225876</v>
      </c>
      <c r="BG45" s="20">
        <f t="shared" si="7"/>
        <v>342.94917989816827</v>
      </c>
      <c r="BH45" s="59">
        <f t="shared" si="8"/>
        <v>636.28251323150153</v>
      </c>
      <c r="BI45" s="59">
        <f ca="1">AVERAGE(OFFSET($BH$3,0,0,'Données projet'!$E$11+1,1))-AVERAGE(OFFSET($H$3,0,0,'Données projet'!$E$11+1,1))</f>
        <v>276.78862011733338</v>
      </c>
      <c r="BJ45" s="59">
        <f t="shared" si="38"/>
        <v>202.1678469635836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104.98461538461537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11.4</v>
      </c>
      <c r="BY45" s="12">
        <f>IF('Données projet'!$A$114&gt;35,BY44+BX45-CG44,IF(A45&lt;'Données projet'!$A$114,$BV$205^A45,IF(A45='Données projet'!$A$114,'Données projet'!$B$114,BY44+BX45-CG44)))</f>
        <v>198.80000000000004</v>
      </c>
      <c r="BZ45" s="13">
        <f>BY45*VLOOKUP('Données projet'!$B$12,Paramètres!$A$1:$I$89,3,0)*VLOOKUP('Données projet'!$B$12,Paramètres!$A$1:$I$89,5,0)</f>
        <v>155.06400000000005</v>
      </c>
      <c r="CA45" s="13">
        <f t="shared" si="39"/>
        <v>39.727164550120094</v>
      </c>
      <c r="CB45" s="20">
        <f t="shared" si="10"/>
        <v>339.26127825812586</v>
      </c>
      <c r="CC45" s="59">
        <f t="shared" si="11"/>
        <v>632.59461159145917</v>
      </c>
      <c r="CD45" s="59">
        <f ca="1">AVERAGE(OFFSET($CC$3,0,0,'Données projet'!$E$12+1,1))-AVERAGE(OFFSET($H$3,0,0,'Données projet'!$E$12+1,1))</f>
        <v>286.5685205631126</v>
      </c>
      <c r="CE45" s="59">
        <f t="shared" si="40"/>
        <v>264.17357326498581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8.3000000000000007</v>
      </c>
      <c r="N46" s="13">
        <f>IF('Données projet'!$A$36&gt;35,N45+M46-V45,IF(A46&lt;'Données projet'!$A$36,$K$205^A46,IF(A46='Données projet'!$A$36,'Données projet'!$B$36,N45+M46-V45)))</f>
        <v>140.9</v>
      </c>
      <c r="O46" s="13">
        <f>N46*VLOOKUP('Données projet'!$B$9,Paramètres!$A$1:$I$89,3,0)*VLOOKUP('Données projet'!$B$9,Paramètres!$A$1:$I$89,5,0)</f>
        <v>127.48631999999999</v>
      </c>
      <c r="P46" s="13">
        <f t="shared" si="33"/>
        <v>33.414863287066048</v>
      </c>
      <c r="Q46" s="20">
        <f t="shared" si="53"/>
        <v>280.23622755830667</v>
      </c>
      <c r="R46" s="59">
        <f t="shared" si="0"/>
        <v>573.56956089163998</v>
      </c>
      <c r="S46" s="59">
        <f ca="1">AVERAGE(OFFSET($R$3,0,0,'Données projet'!$E$9+1,1))-AVERAGE(OFFSET($H$3,0,0,'Données projet'!$E$9+1,1))</f>
        <v>346.35147716792028</v>
      </c>
      <c r="T46" s="59">
        <f t="shared" si="34"/>
        <v>231.36959598460686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5.1553039466155779</v>
      </c>
      <c r="AC46" s="22">
        <f t="shared" si="3"/>
        <v>5.1553039466155779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24.8</v>
      </c>
      <c r="AI46" s="13">
        <f>IF('Données projet'!$A$62&gt;35,AI45+AH46-AQ45,IF(A46&lt;'Données projet'!$A$62,$AF$205^A46,IF(A46='Données projet'!$A$62,'Données projet'!$B$62,AI45+AH46-AQ45)))</f>
        <v>405.40000000000015</v>
      </c>
      <c r="AJ46" s="13">
        <f>AI46*VLOOKUP('Données projet'!$B$10,Paramètres!$A$1:$I$89,3,0)*VLOOKUP('Données projet'!$B$10,Paramètres!$A$1:$I$89,5,0)</f>
        <v>242.42920000000009</v>
      </c>
      <c r="AK46" s="13">
        <f t="shared" si="35"/>
        <v>58.961877963646693</v>
      </c>
      <c r="AL46" s="20">
        <f t="shared" si="4"/>
        <v>524.92279412001824</v>
      </c>
      <c r="AM46" s="59">
        <f t="shared" si="5"/>
        <v>818.25612745335161</v>
      </c>
      <c r="AN46" s="59">
        <f ca="1">AVERAGE(OFFSET($AM$3,0,0,'Données projet'!$E$10+1,1))-AVERAGE(OFFSET($H$3,0,0,'Données projet'!$E$10+1,1))</f>
        <v>559.94918407141222</v>
      </c>
      <c r="AO46" s="59">
        <f t="shared" si="36"/>
        <v>334.6078891555664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26.723266157243309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1.8213614763992276</v>
      </c>
      <c r="AX46" s="21">
        <f t="shared" si="6"/>
        <v>28.544627633642538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14.623076923076923</v>
      </c>
      <c r="BD46" s="12">
        <f>IF('Données projet'!$A$88&gt;35,BD45+BC46-BL45,IF(A46&lt;'Données projet'!$A$88,$BA$205^A46,IF(A46='Données projet'!$A$88,'Données projet'!$B$88,BD45+BC46-BL45)))</f>
        <v>244.66153846153827</v>
      </c>
      <c r="BE46" s="13">
        <f>BD46*VLOOKUP('Données projet'!$B$11,Paramètres!$A$1:$I$89,3,0)*VLOOKUP('Données projet'!$B$11,Paramètres!$A$1:$I$89,5,0)</f>
        <v>114.5015999999999</v>
      </c>
      <c r="BF46" s="13">
        <f t="shared" si="37"/>
        <v>30.389108183031023</v>
      </c>
      <c r="BG46" s="20">
        <f t="shared" si="7"/>
        <v>252.35131675211218</v>
      </c>
      <c r="BH46" s="59">
        <f t="shared" si="8"/>
        <v>545.68465008544547</v>
      </c>
      <c r="BI46" s="59">
        <f ca="1">AVERAGE(OFFSET($BH$3,0,0,'Données projet'!$E$11+1,1))-AVERAGE(OFFSET($H$3,0,0,'Données projet'!$E$11+1,1))</f>
        <v>276.78862011733338</v>
      </c>
      <c r="BJ46" s="59">
        <f t="shared" si="38"/>
        <v>202.1678469635836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11.4</v>
      </c>
      <c r="BY46" s="12">
        <f>IF('Données projet'!$A$114&gt;35,BY45+BX46-CG45,IF(A46&lt;'Données projet'!$A$114,$BV$205^A46,IF(A46='Données projet'!$A$114,'Données projet'!$B$114,BY45+BX46-CG45)))</f>
        <v>210.20000000000005</v>
      </c>
      <c r="BZ46" s="13">
        <f>BY46*VLOOKUP('Données projet'!$B$12,Paramètres!$A$1:$I$89,3,0)*VLOOKUP('Données projet'!$B$12,Paramètres!$A$1:$I$89,5,0)</f>
        <v>163.95600000000005</v>
      </c>
      <c r="CA46" s="13">
        <f t="shared" si="39"/>
        <v>41.733529914742604</v>
      </c>
      <c r="CB46" s="20">
        <f t="shared" si="10"/>
        <v>358.24259793484339</v>
      </c>
      <c r="CC46" s="59">
        <f t="shared" si="11"/>
        <v>651.57593126817665</v>
      </c>
      <c r="CD46" s="59">
        <f ca="1">AVERAGE(OFFSET($CC$3,0,0,'Données projet'!$E$12+1,1))-AVERAGE(OFFSET($H$3,0,0,'Données projet'!$E$12+1,1))</f>
        <v>286.5685205631126</v>
      </c>
      <c r="CE46" s="59">
        <f t="shared" si="40"/>
        <v>264.17357326498581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8.3000000000000007</v>
      </c>
      <c r="N47" s="13">
        <f>IF('Données projet'!$A$36&gt;35,N46+M47-V46,IF(A47&lt;'Données projet'!$A$36,$K$205^A47,IF(A47='Données projet'!$A$36,'Données projet'!$B$36,N46+M47-V46)))</f>
        <v>149.20000000000002</v>
      </c>
      <c r="O47" s="13">
        <f>N47*VLOOKUP('Données projet'!$B$9,Paramètres!$A$1:$I$89,3,0)*VLOOKUP('Données projet'!$B$9,Paramètres!$A$1:$I$89,5,0)</f>
        <v>134.99616</v>
      </c>
      <c r="P47" s="13">
        <f t="shared" si="33"/>
        <v>35.148279172043118</v>
      </c>
      <c r="Q47" s="20">
        <f t="shared" si="53"/>
        <v>296.33489822464173</v>
      </c>
      <c r="R47" s="59">
        <f t="shared" si="0"/>
        <v>589.6682315579751</v>
      </c>
      <c r="S47" s="59">
        <f ca="1">AVERAGE(OFFSET($R$3,0,0,'Données projet'!$E$9+1,1))-AVERAGE(OFFSET($H$3,0,0,'Données projet'!$E$9+1,1))</f>
        <v>346.35147716792028</v>
      </c>
      <c r="T47" s="59">
        <f t="shared" si="34"/>
        <v>231.36959598460686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3.6453503797296465</v>
      </c>
      <c r="AC47" s="22">
        <f t="shared" si="3"/>
        <v>3.6453503797296465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24.8</v>
      </c>
      <c r="AI47" s="13">
        <f>IF('Données projet'!$A$62&gt;35,AI46+AH47-AQ46,IF(A47&lt;'Données projet'!$A$62,$AF$205^A47,IF(A47='Données projet'!$A$62,'Données projet'!$B$62,AI46+AH47-AQ46)))</f>
        <v>430.20000000000016</v>
      </c>
      <c r="AJ47" s="13">
        <f>AI47*VLOOKUP('Données projet'!$B$10,Paramètres!$A$1:$I$89,3,0)*VLOOKUP('Données projet'!$B$10,Paramètres!$A$1:$I$89,5,0)</f>
        <v>257.25960000000009</v>
      </c>
      <c r="AK47" s="13">
        <f t="shared" si="35"/>
        <v>62.137875675485915</v>
      </c>
      <c r="AL47" s="20">
        <f t="shared" si="4"/>
        <v>556.28393680147144</v>
      </c>
      <c r="AM47" s="59">
        <f t="shared" si="5"/>
        <v>849.61727013480481</v>
      </c>
      <c r="AN47" s="59">
        <f ca="1">AVERAGE(OFFSET($AM$3,0,0,'Données projet'!$E$10+1,1))-AVERAGE(OFFSET($H$3,0,0,'Données projet'!$E$10+1,1))</f>
        <v>559.94918407141222</v>
      </c>
      <c r="AO47" s="59">
        <f t="shared" si="36"/>
        <v>334.6078891555664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26.199239207482673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1.2878970509538359</v>
      </c>
      <c r="AX47" s="21">
        <f t="shared" si="6"/>
        <v>27.487136258436507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14.623076923076923</v>
      </c>
      <c r="BD47" s="12">
        <f>IF('Données projet'!$A$88&gt;35,BD46+BC47-BL46,IF(A47&lt;'Données projet'!$A$88,$BA$205^A47,IF(A47='Données projet'!$A$88,'Données projet'!$B$88,BD46+BC47-BL46)))</f>
        <v>259.28461538461522</v>
      </c>
      <c r="BE47" s="13">
        <f>BD47*VLOOKUP('Données projet'!$B$11,Paramètres!$A$1:$I$89,3,0)*VLOOKUP('Données projet'!$B$11,Paramètres!$A$1:$I$89,5,0)</f>
        <v>121.34519999999992</v>
      </c>
      <c r="BF47" s="13">
        <f t="shared" si="37"/>
        <v>31.988541257640492</v>
      </c>
      <c r="BG47" s="20">
        <f t="shared" si="7"/>
        <v>267.05626602372371</v>
      </c>
      <c r="BH47" s="59">
        <f t="shared" si="8"/>
        <v>560.38959935705702</v>
      </c>
      <c r="BI47" s="59">
        <f ca="1">AVERAGE(OFFSET($BH$3,0,0,'Données projet'!$E$11+1,1))-AVERAGE(OFFSET($H$3,0,0,'Données projet'!$E$11+1,1))</f>
        <v>276.78862011733338</v>
      </c>
      <c r="BJ47" s="59">
        <f t="shared" si="38"/>
        <v>202.1678469635836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11.4</v>
      </c>
      <c r="BY47" s="12">
        <f>IF('Données projet'!$A$114&gt;35,BY46+BX47-CG46,IF(A47&lt;'Données projet'!$A$114,$BV$205^A47,IF(A47='Données projet'!$A$114,'Données projet'!$B$114,BY46+BX47-CG46)))</f>
        <v>221.60000000000005</v>
      </c>
      <c r="BZ47" s="13">
        <f>BY47*VLOOKUP('Données projet'!$B$12,Paramètres!$A$1:$I$89,3,0)*VLOOKUP('Données projet'!$B$12,Paramètres!$A$1:$I$89,5,0)</f>
        <v>172.84800000000004</v>
      </c>
      <c r="CA47" s="13">
        <f t="shared" si="39"/>
        <v>43.727262763680358</v>
      </c>
      <c r="CB47" s="20">
        <f t="shared" si="10"/>
        <v>377.20191598007665</v>
      </c>
      <c r="CC47" s="59">
        <f t="shared" si="11"/>
        <v>670.53524931340996</v>
      </c>
      <c r="CD47" s="59">
        <f ca="1">AVERAGE(OFFSET($CC$3,0,0,'Données projet'!$E$12+1,1))-AVERAGE(OFFSET($H$3,0,0,'Données projet'!$E$12+1,1))</f>
        <v>286.5685205631126</v>
      </c>
      <c r="CE47" s="59">
        <f t="shared" si="40"/>
        <v>264.17357326498581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8.3000000000000007</v>
      </c>
      <c r="N48" s="13">
        <f>IF('Données projet'!$A$36&gt;35,N47+M48-V47,IF(A48&lt;'Données projet'!$A$36,$K$205^A48,IF(A48='Données projet'!$A$36,'Données projet'!$B$36,N47+M48-V47)))</f>
        <v>157.50000000000003</v>
      </c>
      <c r="O48" s="13">
        <f>N48*VLOOKUP('Données projet'!$B$9,Paramètres!$A$1:$I$89,3,0)*VLOOKUP('Données projet'!$B$9,Paramètres!$A$1:$I$89,5,0)</f>
        <v>142.50600000000003</v>
      </c>
      <c r="P48" s="13">
        <f t="shared" si="33"/>
        <v>36.870500776307573</v>
      </c>
      <c r="Q48" s="20">
        <f t="shared" si="53"/>
        <v>312.4140721854024</v>
      </c>
      <c r="R48" s="59">
        <f t="shared" si="0"/>
        <v>605.74740551873572</v>
      </c>
      <c r="S48" s="59">
        <f ca="1">AVERAGE(OFFSET($R$3,0,0,'Données projet'!$E$9+1,1))-AVERAGE(OFFSET($H$3,0,0,'Données projet'!$E$9+1,1))</f>
        <v>346.35147716792028</v>
      </c>
      <c r="T48" s="59">
        <f t="shared" si="34"/>
        <v>231.36959598460686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2.5776519733077894</v>
      </c>
      <c r="AC48" s="22">
        <f t="shared" si="3"/>
        <v>2.5776519733077894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455</v>
      </c>
      <c r="AG48" s="12">
        <f>VLOOKUP(A48,'Données projet'!$A$61:$I$81,9,0)</f>
        <v>24.8</v>
      </c>
      <c r="AH48" s="12">
        <f t="array" ref="AH48">INDEX(AG:AG,MIN(IF(ISNUMBER(AG48:AG244),ROW(AG48:AG244),"")))</f>
        <v>24.8</v>
      </c>
      <c r="AI48" s="13">
        <f>IF('Données projet'!$A$62&gt;35,AI47+AH48-AQ47,IF(A48&lt;'Données projet'!$A$62,$AF$205^A48,IF(A48='Données projet'!$A$62,'Données projet'!$B$62,AI47+AH48-AQ47)))</f>
        <v>455.00000000000017</v>
      </c>
      <c r="AJ48" s="13">
        <f>AI48*VLOOKUP('Données projet'!$B$10,Paramètres!$A$1:$I$89,3,0)*VLOOKUP('Données projet'!$B$10,Paramètres!$A$1:$I$89,5,0)</f>
        <v>272.09000000000015</v>
      </c>
      <c r="AK48" s="13">
        <f t="shared" si="35"/>
        <v>65.292620784624759</v>
      </c>
      <c r="AL48" s="20">
        <f t="shared" si="4"/>
        <v>587.60806453322164</v>
      </c>
      <c r="AM48" s="59">
        <f t="shared" si="5"/>
        <v>880.94139786655501</v>
      </c>
      <c r="AN48" s="59">
        <f ca="1">AVERAGE(OFFSET($AM$3,0,0,'Données projet'!$E$10+1,1))-AVERAGE(OFFSET($H$3,0,0,'Données projet'!$E$10+1,1))</f>
        <v>559.94918407141222</v>
      </c>
      <c r="AO48" s="59">
        <f t="shared" si="36"/>
        <v>334.6078891555664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53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25.685488106581964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0.91068073819961393</v>
      </c>
      <c r="AX48" s="21">
        <f t="shared" si="6"/>
        <v>26.596168844781577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14.623076923076923</v>
      </c>
      <c r="BD48" s="12">
        <f>IF('Données projet'!$A$88&gt;35,BD47+BC48-BL47,IF(A48&lt;'Données projet'!$A$88,$BA$205^A48,IF(A48='Données projet'!$A$88,'Données projet'!$B$88,BD47+BC48-BL47)))</f>
        <v>273.90769230769217</v>
      </c>
      <c r="BE48" s="13">
        <f>BD48*VLOOKUP('Données projet'!$B$11,Paramètres!$A$1:$I$89,3,0)*VLOOKUP('Données projet'!$B$11,Paramètres!$A$1:$I$89,5,0)</f>
        <v>128.18879999999993</v>
      </c>
      <c r="BF48" s="13">
        <f t="shared" si="37"/>
        <v>33.577503060632324</v>
      </c>
      <c r="BG48" s="20">
        <f t="shared" si="7"/>
        <v>281.74297783060115</v>
      </c>
      <c r="BH48" s="59">
        <f t="shared" si="8"/>
        <v>575.07631116393441</v>
      </c>
      <c r="BI48" s="59">
        <f ca="1">AVERAGE(OFFSET($BH$3,0,0,'Données projet'!$E$11+1,1))-AVERAGE(OFFSET($H$3,0,0,'Données projet'!$E$11+1,1))</f>
        <v>276.78862011733338</v>
      </c>
      <c r="BJ48" s="59">
        <f t="shared" si="38"/>
        <v>202.1678469635836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233</v>
      </c>
      <c r="BW48" s="12">
        <f>VLOOKUP(A48,'Données projet'!$A$113:$I$133,9,0)</f>
        <v>11.4</v>
      </c>
      <c r="BX48" s="12">
        <f t="array" ref="BX48">INDEX(BW:BW,MIN(IF(ISNUMBER(BW48:BW244),ROW(BW48:BW244),"")))</f>
        <v>11.4</v>
      </c>
      <c r="BY48" s="12">
        <f>IF('Données projet'!$A$114&gt;35,BY47+BX48-CG47,IF(A48&lt;'Données projet'!$A$114,$BV$205^A48,IF(A48='Données projet'!$A$114,'Données projet'!$B$114,BY47+BX48-CG47)))</f>
        <v>233.00000000000006</v>
      </c>
      <c r="BZ48" s="13">
        <f>BY48*VLOOKUP('Données projet'!$B$12,Paramètres!$A$1:$I$89,3,0)*VLOOKUP('Données projet'!$B$12,Paramètres!$A$1:$I$89,5,0)</f>
        <v>181.74000000000004</v>
      </c>
      <c r="CA48" s="13">
        <f t="shared" si="39"/>
        <v>45.709087095891377</v>
      </c>
      <c r="CB48" s="20">
        <f t="shared" si="10"/>
        <v>396.14049335867753</v>
      </c>
      <c r="CC48" s="59">
        <f t="shared" si="11"/>
        <v>689.47382669201079</v>
      </c>
      <c r="CD48" s="59">
        <f ca="1">AVERAGE(OFFSET($CC$3,0,0,'Données projet'!$E$12+1,1))-AVERAGE(OFFSET($H$3,0,0,'Données projet'!$E$12+1,1))</f>
        <v>286.5685205631126</v>
      </c>
      <c r="CE48" s="59">
        <f t="shared" si="40"/>
        <v>264.17357326498581</v>
      </c>
      <c r="CF48" s="15">
        <f>IF(ISNA(VLOOKUP(A48,'Données projet'!$A$113:$I$133,3,0)),0,VLOOKUP(A48,'Données projet'!$A$113:$I$133,3,0))</f>
        <v>5</v>
      </c>
      <c r="CG48" s="15">
        <f>IF(ISNA(VLOOKUP(A48,'Données projet'!$A$113:$I$133,4,0)),0,VLOOKUP(A48,'Données projet'!$A$113:$I$133,4,0))</f>
        <v>31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8.3000000000000007</v>
      </c>
      <c r="N49" s="13">
        <f>IF('Données projet'!$A$36&gt;35,N48+M49-V48,IF(A49&lt;'Données projet'!$A$36,$K$205^A49,IF(A49='Données projet'!$A$36,'Données projet'!$B$36,N48+M49-V48)))</f>
        <v>165.80000000000004</v>
      </c>
      <c r="O49" s="13">
        <f>N49*VLOOKUP('Données projet'!$B$9,Paramètres!$A$1:$I$89,3,0)*VLOOKUP('Données projet'!$B$9,Paramètres!$A$1:$I$89,5,0)</f>
        <v>150.01584000000003</v>
      </c>
      <c r="P49" s="13">
        <f t="shared" si="33"/>
        <v>38.582185295570788</v>
      </c>
      <c r="Q49" s="20">
        <f t="shared" si="53"/>
        <v>328.47489405645246</v>
      </c>
      <c r="R49" s="59">
        <f t="shared" si="0"/>
        <v>621.80822738978577</v>
      </c>
      <c r="S49" s="59">
        <f ca="1">AVERAGE(OFFSET($R$3,0,0,'Données projet'!$E$9+1,1))-AVERAGE(OFFSET($H$3,0,0,'Données projet'!$E$9+1,1))</f>
        <v>346.35147716792028</v>
      </c>
      <c r="T49" s="59">
        <f t="shared" si="34"/>
        <v>231.36959598460686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1.8226751898648237</v>
      </c>
      <c r="AC49" s="22">
        <f t="shared" si="3"/>
        <v>1.8226751898648237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28</v>
      </c>
      <c r="AI49" s="13">
        <f>IF('Données projet'!$A$62&gt;35,AI48+AH49-AQ48,IF(A49&lt;'Données projet'!$A$62,$AF$205^A49,IF(A49='Données projet'!$A$62,'Données projet'!$B$62,AI48+AH49-AQ48)))</f>
        <v>430.00000000000017</v>
      </c>
      <c r="AJ49" s="13">
        <f>AI49*VLOOKUP('Données projet'!$B$10,Paramètres!$A$1:$I$89,3,0)*VLOOKUP('Données projet'!$B$10,Paramètres!$A$1:$I$89,5,0)</f>
        <v>257.14000000000016</v>
      </c>
      <c r="AK49" s="13">
        <f t="shared" si="35"/>
        <v>62.112349635142238</v>
      </c>
      <c r="AL49" s="20">
        <f t="shared" si="4"/>
        <v>556.03117561453962</v>
      </c>
      <c r="AM49" s="59">
        <f t="shared" si="5"/>
        <v>849.36450894787299</v>
      </c>
      <c r="AN49" s="59">
        <f ca="1">AVERAGE(OFFSET($AM$3,0,0,'Données projet'!$E$10+1,1))-AVERAGE(OFFSET($H$3,0,0,'Données projet'!$E$10+1,1))</f>
        <v>559.94918407141222</v>
      </c>
      <c r="AO49" s="59">
        <f t="shared" si="36"/>
        <v>334.6078891555664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25.181811351412687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0.64394852547691805</v>
      </c>
      <c r="AX49" s="21">
        <f t="shared" si="6"/>
        <v>25.825759876889606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>
        <f>VLOOKUP(A49,'Données projet'!$A$87:$I$107,2,0)</f>
        <v>288.53076923076918</v>
      </c>
      <c r="BB49" s="12">
        <f>VLOOKUP(A49,'Données projet'!$A$87:$I$107,9,0)</f>
        <v>14.623076923076923</v>
      </c>
      <c r="BC49" s="12">
        <f t="array" ref="BC49">INDEX(BB:BB,MIN(IF(ISNUMBER(BB49:BB245),ROW(BB49:BB245),"")))</f>
        <v>14.623076923076923</v>
      </c>
      <c r="BD49" s="12">
        <f>IF('Données projet'!$A$88&gt;35,BD48+BC49-BL48,IF(A49&lt;'Données projet'!$A$88,$BA$205^A49,IF(A49='Données projet'!$A$88,'Données projet'!$B$88,BD48+BC49-BL48)))</f>
        <v>288.53076923076912</v>
      </c>
      <c r="BE49" s="13">
        <f>BD49*VLOOKUP('Données projet'!$B$11,Paramètres!$A$1:$I$89,3,0)*VLOOKUP('Données projet'!$B$11,Paramètres!$A$1:$I$89,5,0)</f>
        <v>135.03239999999997</v>
      </c>
      <c r="BF49" s="13">
        <f t="shared" si="37"/>
        <v>35.156616363284463</v>
      </c>
      <c r="BG49" s="20">
        <f t="shared" si="7"/>
        <v>296.41253683272038</v>
      </c>
      <c r="BH49" s="59">
        <f t="shared" si="8"/>
        <v>589.74587016605369</v>
      </c>
      <c r="BI49" s="59">
        <f ca="1">AVERAGE(OFFSET($BH$3,0,0,'Données projet'!$E$11+1,1))-AVERAGE(OFFSET($H$3,0,0,'Données projet'!$E$11+1,1))</f>
        <v>276.78862011733338</v>
      </c>
      <c r="BJ49" s="59">
        <f t="shared" si="38"/>
        <v>202.1678469635836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10.199999999999999</v>
      </c>
      <c r="BY49" s="12">
        <f>IF('Données projet'!$A$114&gt;35,BY48+BX49-CG48,IF(A49&lt;'Données projet'!$A$114,$BV$205^A49,IF(A49='Données projet'!$A$114,'Données projet'!$B$114,BY48+BX49-CG48)))</f>
        <v>212.20000000000005</v>
      </c>
      <c r="BZ49" s="13">
        <f>BY49*VLOOKUP('Données projet'!$B$12,Paramètres!$A$1:$I$89,3,0)*VLOOKUP('Données projet'!$B$12,Paramètres!$A$1:$I$89,5,0)</f>
        <v>165.51600000000005</v>
      </c>
      <c r="CA49" s="13">
        <f t="shared" si="39"/>
        <v>42.084199740832013</v>
      </c>
      <c r="CB49" s="20">
        <f t="shared" si="10"/>
        <v>361.57034788194915</v>
      </c>
      <c r="CC49" s="59">
        <f t="shared" si="11"/>
        <v>654.9036812152824</v>
      </c>
      <c r="CD49" s="59">
        <f ca="1">AVERAGE(OFFSET($CC$3,0,0,'Données projet'!$E$12+1,1))-AVERAGE(OFFSET($H$3,0,0,'Données projet'!$E$12+1,1))</f>
        <v>286.5685205631126</v>
      </c>
      <c r="CE49" s="59">
        <f t="shared" si="40"/>
        <v>264.17357326498581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8.3000000000000007</v>
      </c>
      <c r="N50" s="13">
        <f>IF('Données projet'!$A$36&gt;35,N49+M50-V49,IF(A50&lt;'Données projet'!$A$36,$K$205^A50,IF(A50='Données projet'!$A$36,'Données projet'!$B$36,N49+M50-V49)))</f>
        <v>174.10000000000005</v>
      </c>
      <c r="O50" s="13">
        <f>N50*VLOOKUP('Données projet'!$B$9,Paramètres!$A$1:$I$89,3,0)*VLOOKUP('Données projet'!$B$9,Paramètres!$A$1:$I$89,5,0)</f>
        <v>157.52568000000005</v>
      </c>
      <c r="P50" s="13">
        <f t="shared" si="33"/>
        <v>40.283920409774808</v>
      </c>
      <c r="Q50" s="20">
        <f t="shared" si="53"/>
        <v>344.51838738035786</v>
      </c>
      <c r="R50" s="59">
        <f t="shared" si="0"/>
        <v>637.85172071369118</v>
      </c>
      <c r="S50" s="59">
        <f ca="1">AVERAGE(OFFSET($R$3,0,0,'Données projet'!$E$9+1,1))-AVERAGE(OFFSET($H$3,0,0,'Données projet'!$E$9+1,1))</f>
        <v>346.35147716792028</v>
      </c>
      <c r="T50" s="59">
        <f t="shared" si="34"/>
        <v>231.36959598460686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1.2888259866538949</v>
      </c>
      <c r="AC50" s="22">
        <f t="shared" si="3"/>
        <v>1.2888259866538949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28</v>
      </c>
      <c r="AI50" s="13">
        <f>IF('Données projet'!$A$62&gt;35,AI49+AH50-AQ49,IF(A50&lt;'Données projet'!$A$62,$AF$205^A50,IF(A50='Données projet'!$A$62,'Données projet'!$B$62,AI49+AH50-AQ49)))</f>
        <v>458.00000000000017</v>
      </c>
      <c r="AJ50" s="13">
        <f>AI50*VLOOKUP('Données projet'!$B$10,Paramètres!$A$1:$I$89,3,0)*VLOOKUP('Données projet'!$B$10,Paramètres!$A$1:$I$89,5,0)</f>
        <v>273.88400000000013</v>
      </c>
      <c r="AK50" s="13">
        <f t="shared" si="35"/>
        <v>65.672865675587943</v>
      </c>
      <c r="AL50" s="20">
        <f t="shared" si="4"/>
        <v>591.39487438498259</v>
      </c>
      <c r="AM50" s="59">
        <f t="shared" si="5"/>
        <v>884.72820771831584</v>
      </c>
      <c r="AN50" s="59">
        <f ca="1">AVERAGE(OFFSET($AM$3,0,0,'Données projet'!$E$10+1,1))-AVERAGE(OFFSET($H$3,0,0,'Données projet'!$E$10+1,1))</f>
        <v>559.94918407141222</v>
      </c>
      <c r="AO50" s="59">
        <f t="shared" si="36"/>
        <v>334.6078891555664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24.688011390199794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0.45534036909980707</v>
      </c>
      <c r="AX50" s="21">
        <f t="shared" si="6"/>
        <v>25.143351759299602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15.355769230769241</v>
      </c>
      <c r="BD50" s="12">
        <f>IF('Données projet'!$A$88&gt;35,BD49+BC50-BL49,IF(A50&lt;'Données projet'!$A$88,$BA$205^A50,IF(A50='Données projet'!$A$88,'Données projet'!$B$88,BD49+BC50-BL49)))</f>
        <v>303.88653846153835</v>
      </c>
      <c r="BE50" s="13">
        <f>BD50*VLOOKUP('Données projet'!$B$11,Paramètres!$A$1:$I$89,3,0)*VLOOKUP('Données projet'!$B$11,Paramètres!$A$1:$I$89,5,0)</f>
        <v>142.21889999999996</v>
      </c>
      <c r="BF50" s="13">
        <f t="shared" si="37"/>
        <v>36.804858181007042</v>
      </c>
      <c r="BG50" s="20">
        <f t="shared" si="7"/>
        <v>311.79971216525382</v>
      </c>
      <c r="BH50" s="59">
        <f t="shared" si="8"/>
        <v>605.13304549858708</v>
      </c>
      <c r="BI50" s="59">
        <f ca="1">AVERAGE(OFFSET($BH$3,0,0,'Données projet'!$E$11+1,1))-AVERAGE(OFFSET($H$3,0,0,'Données projet'!$E$11+1,1))</f>
        <v>276.78862011733338</v>
      </c>
      <c r="BJ50" s="59">
        <f t="shared" si="38"/>
        <v>202.1678469635836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10.199999999999999</v>
      </c>
      <c r="BY50" s="12">
        <f>IF('Données projet'!$A$114&gt;35,BY49+BX50-CG49,IF(A50&lt;'Données projet'!$A$114,$BV$205^A50,IF(A50='Données projet'!$A$114,'Données projet'!$B$114,BY49+BX50-CG49)))</f>
        <v>222.40000000000003</v>
      </c>
      <c r="BZ50" s="13">
        <f>BY50*VLOOKUP('Données projet'!$B$12,Paramètres!$A$1:$I$89,3,0)*VLOOKUP('Données projet'!$B$12,Paramètres!$A$1:$I$89,5,0)</f>
        <v>173.47200000000004</v>
      </c>
      <c r="CA50" s="13">
        <f t="shared" si="39"/>
        <v>43.866718728383574</v>
      </c>
      <c r="CB50" s="20">
        <f t="shared" si="10"/>
        <v>378.53160178526809</v>
      </c>
      <c r="CC50" s="59">
        <f t="shared" si="11"/>
        <v>671.86493511860135</v>
      </c>
      <c r="CD50" s="59">
        <f ca="1">AVERAGE(OFFSET($CC$3,0,0,'Données projet'!$E$12+1,1))-AVERAGE(OFFSET($H$3,0,0,'Données projet'!$E$12+1,1))</f>
        <v>286.5685205631126</v>
      </c>
      <c r="CE50" s="59">
        <f t="shared" si="40"/>
        <v>264.17357326498581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8.3000000000000007</v>
      </c>
      <c r="N51" s="13">
        <f>IF('Données projet'!$A$36&gt;35,N50+M51-V50,IF(A51&lt;'Données projet'!$A$36,$K$205^A51,IF(A51='Données projet'!$A$36,'Données projet'!$B$36,N50+M51-V50)))</f>
        <v>182.40000000000006</v>
      </c>
      <c r="O51" s="13">
        <f>N51*VLOOKUP('Données projet'!$B$9,Paramètres!$A$1:$I$89,3,0)*VLOOKUP('Données projet'!$B$9,Paramètres!$A$1:$I$89,5,0)</f>
        <v>165.03552000000005</v>
      </c>
      <c r="P51" s="13">
        <f t="shared" si="33"/>
        <v>41.976234598846517</v>
      </c>
      <c r="Q51" s="20">
        <f t="shared" si="53"/>
        <v>360.54547259299108</v>
      </c>
      <c r="R51" s="59">
        <f t="shared" si="0"/>
        <v>653.87880592632439</v>
      </c>
      <c r="S51" s="59">
        <f ca="1">AVERAGE(OFFSET($R$3,0,0,'Données projet'!$E$9+1,1))-AVERAGE(OFFSET($H$3,0,0,'Données projet'!$E$9+1,1))</f>
        <v>346.35147716792028</v>
      </c>
      <c r="T51" s="59">
        <f t="shared" si="34"/>
        <v>231.36959598460686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0.91133759493241195</v>
      </c>
      <c r="AC51" s="22">
        <f t="shared" si="3"/>
        <v>0.91133759493241195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28</v>
      </c>
      <c r="AI51" s="13">
        <f>IF('Données projet'!$A$62&gt;35,AI50+AH51-AQ50,IF(A51&lt;'Données projet'!$A$62,$AF$205^A51,IF(A51='Données projet'!$A$62,'Données projet'!$B$62,AI50+AH51-AQ50)))</f>
        <v>486.00000000000017</v>
      </c>
      <c r="AJ51" s="13">
        <f>AI51*VLOOKUP('Données projet'!$B$10,Paramètres!$A$1:$I$89,3,0)*VLOOKUP('Données projet'!$B$10,Paramètres!$A$1:$I$89,5,0)</f>
        <v>290.6280000000001</v>
      </c>
      <c r="AK51" s="13">
        <f t="shared" si="35"/>
        <v>69.208117853196939</v>
      </c>
      <c r="AL51" s="20">
        <f t="shared" si="4"/>
        <v>626.71457192765149</v>
      </c>
      <c r="AM51" s="59">
        <f t="shared" si="5"/>
        <v>920.04790526098486</v>
      </c>
      <c r="AN51" s="59">
        <f ca="1">AVERAGE(OFFSET($AM$3,0,0,'Données projet'!$E$10+1,1))-AVERAGE(OFFSET($H$3,0,0,'Données projet'!$E$10+1,1))</f>
        <v>559.94918407141222</v>
      </c>
      <c r="AO51" s="59">
        <f t="shared" si="36"/>
        <v>334.6078891555664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24.20389454503805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0.32197426273845908</v>
      </c>
      <c r="AX51" s="21">
        <f t="shared" si="6"/>
        <v>24.525868807776508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15.355769230769241</v>
      </c>
      <c r="BD51" s="12">
        <f>IF('Données projet'!$A$88&gt;35,BD50+BC51-BL50,IF(A51&lt;'Données projet'!$A$88,$BA$205^A51,IF(A51='Données projet'!$A$88,'Données projet'!$B$88,BD50+BC51-BL50)))</f>
        <v>319.24230769230758</v>
      </c>
      <c r="BE51" s="13">
        <f>BD51*VLOOKUP('Données projet'!$B$11,Paramètres!$A$1:$I$89,3,0)*VLOOKUP('Données projet'!$B$11,Paramètres!$A$1:$I$89,5,0)</f>
        <v>149.40539999999993</v>
      </c>
      <c r="BF51" s="13">
        <f t="shared" si="37"/>
        <v>38.443429417147598</v>
      </c>
      <c r="BG51" s="20">
        <f t="shared" si="7"/>
        <v>327.17004456819859</v>
      </c>
      <c r="BH51" s="59">
        <f t="shared" si="8"/>
        <v>620.50337790153185</v>
      </c>
      <c r="BI51" s="59">
        <f ca="1">AVERAGE(OFFSET($BH$3,0,0,'Données projet'!$E$11+1,1))-AVERAGE(OFFSET($H$3,0,0,'Données projet'!$E$11+1,1))</f>
        <v>276.78862011733338</v>
      </c>
      <c r="BJ51" s="59">
        <f t="shared" si="38"/>
        <v>202.1678469635836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10.199999999999999</v>
      </c>
      <c r="BY51" s="12">
        <f>IF('Données projet'!$A$114&gt;35,BY50+BX51-CG50,IF(A51&lt;'Données projet'!$A$114,$BV$205^A51,IF(A51='Données projet'!$A$114,'Données projet'!$B$114,BY50+BX51-CG50)))</f>
        <v>232.60000000000002</v>
      </c>
      <c r="BZ51" s="13">
        <f>BY51*VLOOKUP('Données projet'!$B$12,Paramètres!$A$1:$I$89,3,0)*VLOOKUP('Données projet'!$B$12,Paramètres!$A$1:$I$89,5,0)</f>
        <v>181.42800000000003</v>
      </c>
      <c r="CA51" s="13">
        <f t="shared" si="39"/>
        <v>45.639743598335336</v>
      </c>
      <c r="CB51" s="20">
        <f t="shared" si="10"/>
        <v>395.47632010043407</v>
      </c>
      <c r="CC51" s="59">
        <f t="shared" si="11"/>
        <v>688.80965343376738</v>
      </c>
      <c r="CD51" s="59">
        <f ca="1">AVERAGE(OFFSET($CC$3,0,0,'Données projet'!$E$12+1,1))-AVERAGE(OFFSET($H$3,0,0,'Données projet'!$E$12+1,1))</f>
        <v>286.5685205631126</v>
      </c>
      <c r="CE51" s="59">
        <f t="shared" si="40"/>
        <v>264.17357326498581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8.3000000000000007</v>
      </c>
      <c r="N52" s="13">
        <f>IF('Données projet'!$A$36&gt;35,N51+M52-V51,IF(A52&lt;'Données projet'!$A$36,$K$205^A52,IF(A52='Données projet'!$A$36,'Données projet'!$B$36,N51+M52-V51)))</f>
        <v>190.70000000000007</v>
      </c>
      <c r="O52" s="13">
        <f>N52*VLOOKUP('Données projet'!$B$9,Paramètres!$A$1:$I$89,3,0)*VLOOKUP('Données projet'!$B$9,Paramètres!$A$1:$I$89,5,0)</f>
        <v>172.54536000000007</v>
      </c>
      <c r="P52" s="13">
        <f t="shared" si="33"/>
        <v>43.65960552772448</v>
      </c>
      <c r="Q52" s="20">
        <f t="shared" si="53"/>
        <v>376.55698162745358</v>
      </c>
      <c r="R52" s="59">
        <f t="shared" si="0"/>
        <v>669.8903149607869</v>
      </c>
      <c r="S52" s="59">
        <f ca="1">AVERAGE(OFFSET($R$3,0,0,'Données projet'!$E$9+1,1))-AVERAGE(OFFSET($H$3,0,0,'Données projet'!$E$9+1,1))</f>
        <v>346.35147716792028</v>
      </c>
      <c r="T52" s="59">
        <f t="shared" si="34"/>
        <v>231.36959598460686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0.64441299332694757</v>
      </c>
      <c r="AC52" s="22">
        <f t="shared" si="3"/>
        <v>0.64441299332694757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28</v>
      </c>
      <c r="AI52" s="13">
        <f>IF('Données projet'!$A$62&gt;35,AI51+AH52-AQ51,IF(A52&lt;'Données projet'!$A$62,$AF$205^A52,IF(A52='Données projet'!$A$62,'Données projet'!$B$62,AI51+AH52-AQ51)))</f>
        <v>514.00000000000023</v>
      </c>
      <c r="AJ52" s="13">
        <f>AI52*VLOOKUP('Données projet'!$B$10,Paramètres!$A$1:$I$89,3,0)*VLOOKUP('Données projet'!$B$10,Paramètres!$A$1:$I$89,5,0)</f>
        <v>307.37200000000013</v>
      </c>
      <c r="AK52" s="13">
        <f t="shared" si="35"/>
        <v>72.719727530969081</v>
      </c>
      <c r="AL52" s="20">
        <f t="shared" si="4"/>
        <v>661.99309211643788</v>
      </c>
      <c r="AM52" s="59">
        <f t="shared" si="5"/>
        <v>955.32642544977125</v>
      </c>
      <c r="AN52" s="59">
        <f ca="1">AVERAGE(OFFSET($AM$3,0,0,'Données projet'!$E$10+1,1))-AVERAGE(OFFSET($H$3,0,0,'Données projet'!$E$10+1,1))</f>
        <v>559.94918407141222</v>
      </c>
      <c r="AO52" s="59">
        <f t="shared" si="36"/>
        <v>334.6078891555664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23.729270935927808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0.22767018454990356</v>
      </c>
      <c r="AX52" s="21">
        <f t="shared" si="6"/>
        <v>23.956941120477712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15.355769230769241</v>
      </c>
      <c r="BD52" s="12">
        <f>IF('Données projet'!$A$88&gt;35,BD51+BC52-BL51,IF(A52&lt;'Données projet'!$A$88,$BA$205^A52,IF(A52='Données projet'!$A$88,'Données projet'!$B$88,BD51+BC52-BL51)))</f>
        <v>334.5980769230768</v>
      </c>
      <c r="BE52" s="13">
        <f>BD52*VLOOKUP('Données projet'!$B$11,Paramètres!$A$1:$I$89,3,0)*VLOOKUP('Données projet'!$B$11,Paramètres!$A$1:$I$89,5,0)</f>
        <v>156.59189999999995</v>
      </c>
      <c r="BF52" s="13">
        <f t="shared" si="37"/>
        <v>40.072848335827679</v>
      </c>
      <c r="BG52" s="20">
        <f t="shared" si="7"/>
        <v>342.52443668489974</v>
      </c>
      <c r="BH52" s="59">
        <f t="shared" si="8"/>
        <v>635.85777001823305</v>
      </c>
      <c r="BI52" s="59">
        <f ca="1">AVERAGE(OFFSET($BH$3,0,0,'Données projet'!$E$11+1,1))-AVERAGE(OFFSET($H$3,0,0,'Données projet'!$E$11+1,1))</f>
        <v>276.78862011733338</v>
      </c>
      <c r="BJ52" s="59">
        <f t="shared" si="38"/>
        <v>202.1678469635836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10.199999999999999</v>
      </c>
      <c r="BY52" s="12">
        <f>IF('Données projet'!$A$114&gt;35,BY51+BX52-CG51,IF(A52&lt;'Données projet'!$A$114,$BV$205^A52,IF(A52='Données projet'!$A$114,'Données projet'!$B$114,BY51+BX52-CG51)))</f>
        <v>242.8</v>
      </c>
      <c r="BZ52" s="13">
        <f>BY52*VLOOKUP('Données projet'!$B$12,Paramètres!$A$1:$I$89,3,0)*VLOOKUP('Données projet'!$B$12,Paramètres!$A$1:$I$89,5,0)</f>
        <v>189.38400000000001</v>
      </c>
      <c r="CA52" s="13">
        <f t="shared" si="39"/>
        <v>47.403738268724076</v>
      </c>
      <c r="CB52" s="20">
        <f t="shared" si="10"/>
        <v>412.40531081802777</v>
      </c>
      <c r="CC52" s="59">
        <f t="shared" si="11"/>
        <v>705.73864415136109</v>
      </c>
      <c r="CD52" s="59">
        <f ca="1">AVERAGE(OFFSET($CC$3,0,0,'Données projet'!$E$12+1,1))-AVERAGE(OFFSET($H$3,0,0,'Données projet'!$E$12+1,1))</f>
        <v>286.5685205631126</v>
      </c>
      <c r="CE52" s="59">
        <f t="shared" si="40"/>
        <v>264.17357326498581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199</v>
      </c>
      <c r="L53" s="12">
        <f>VLOOKUP(A53,'Données projet'!$A$35:$I$55,9,0)</f>
        <v>8.3000000000000007</v>
      </c>
      <c r="M53" s="12">
        <f t="array" ref="M53">INDEX(L:L,MIN(IF(ISNUMBER(L53:L249),ROW(L53:L249),"")))</f>
        <v>8.3000000000000007</v>
      </c>
      <c r="N53" s="13">
        <f>IF('Données projet'!$A$36&gt;35,N52+M53-V52,IF(A53&lt;'Données projet'!$A$36,$K$205^A53,IF(A53='Données projet'!$A$36,'Données projet'!$B$36,N52+M53-V52)))</f>
        <v>199.00000000000009</v>
      </c>
      <c r="O53" s="13">
        <f>N53*VLOOKUP('Données projet'!$B$9,Paramètres!$A$1:$I$89,3,0)*VLOOKUP('Données projet'!$B$9,Paramètres!$A$1:$I$89,5,0)</f>
        <v>180.05520000000007</v>
      </c>
      <c r="P53" s="13">
        <f t="shared" si="33"/>
        <v>45.334466930398399</v>
      </c>
      <c r="Q53" s="20">
        <f t="shared" si="53"/>
        <v>392.55366990377735</v>
      </c>
      <c r="R53" s="59">
        <f t="shared" si="0"/>
        <v>685.88700323711066</v>
      </c>
      <c r="S53" s="59">
        <f ca="1">AVERAGE(OFFSET($R$3,0,0,'Données projet'!$E$9+1,1))-AVERAGE(OFFSET($H$3,0,0,'Données projet'!$E$9+1,1))</f>
        <v>346.35147716792028</v>
      </c>
      <c r="T53" s="59">
        <f t="shared" si="34"/>
        <v>231.36959598460686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42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0.45566879746620603</v>
      </c>
      <c r="AC53" s="22">
        <f t="shared" si="3"/>
        <v>0.45566879746620603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542</v>
      </c>
      <c r="AG53" s="12">
        <f>VLOOKUP(A53,'Données projet'!$A$61:$I$81,9,0)</f>
        <v>28</v>
      </c>
      <c r="AH53" s="12">
        <f t="array" ref="AH53">INDEX(AG:AG,MIN(IF(ISNUMBER(AG53:AG249),ROW(AG53:AG249),"")))</f>
        <v>28</v>
      </c>
      <c r="AI53" s="13">
        <f>IF('Données projet'!$A$62&gt;35,AI52+AH53-AQ52,IF(A53&lt;'Données projet'!$A$62,$AF$205^A53,IF(A53='Données projet'!$A$62,'Données projet'!$B$62,AI52+AH53-AQ52)))</f>
        <v>542.00000000000023</v>
      </c>
      <c r="AJ53" s="13">
        <f>AI53*VLOOKUP('Données projet'!$B$10,Paramètres!$A$1:$I$89,3,0)*VLOOKUP('Données projet'!$B$10,Paramètres!$A$1:$I$89,5,0)</f>
        <v>324.11600000000016</v>
      </c>
      <c r="AK53" s="13">
        <f t="shared" si="35"/>
        <v>76.209129448707984</v>
      </c>
      <c r="AL53" s="20">
        <f t="shared" si="4"/>
        <v>697.23293378983328</v>
      </c>
      <c r="AM53" s="59">
        <f t="shared" si="5"/>
        <v>990.56626712316665</v>
      </c>
      <c r="AN53" s="59">
        <f ca="1">AVERAGE(OFFSET($AM$3,0,0,'Données projet'!$E$10+1,1))-AVERAGE(OFFSET($H$3,0,0,'Données projet'!$E$10+1,1))</f>
        <v>559.94918407141222</v>
      </c>
      <c r="AO53" s="59">
        <f t="shared" si="36"/>
        <v>334.6078891555664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53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23.263954406300403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0.16098713136922957</v>
      </c>
      <c r="AX53" s="21">
        <f t="shared" si="6"/>
        <v>23.424941537669632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349.95384615384614</v>
      </c>
      <c r="BB53" s="12">
        <f>VLOOKUP(A53,'Données projet'!$A$87:$I$107,9,0)</f>
        <v>15.355769230769241</v>
      </c>
      <c r="BC53" s="12">
        <f t="array" ref="BC53">INDEX(BB:BB,MIN(IF(ISNUMBER(BB53:BB249),ROW(BB53:BB249),"")))</f>
        <v>15.355769230769241</v>
      </c>
      <c r="BD53" s="12">
        <f>IF('Données projet'!$A$88&gt;35,BD52+BC53-BL52,IF(A53&lt;'Données projet'!$A$88,$BA$205^A53,IF(A53='Données projet'!$A$88,'Données projet'!$B$88,BD52+BC53-BL52)))</f>
        <v>349.95384615384603</v>
      </c>
      <c r="BE53" s="13">
        <f>BD53*VLOOKUP('Données projet'!$B$11,Paramètres!$A$1:$I$89,3,0)*VLOOKUP('Données projet'!$B$11,Paramètres!$A$1:$I$89,5,0)</f>
        <v>163.77839999999995</v>
      </c>
      <c r="BF53" s="13">
        <f t="shared" si="37"/>
        <v>41.693582942883204</v>
      </c>
      <c r="BG53" s="20">
        <f t="shared" si="7"/>
        <v>357.86370362552151</v>
      </c>
      <c r="BH53" s="59">
        <f t="shared" si="8"/>
        <v>651.19703695885482</v>
      </c>
      <c r="BI53" s="59">
        <f ca="1">AVERAGE(OFFSET($BH$3,0,0,'Données projet'!$E$11+1,1))-AVERAGE(OFFSET($H$3,0,0,'Données projet'!$E$11+1,1))</f>
        <v>276.78862011733338</v>
      </c>
      <c r="BJ53" s="59">
        <f t="shared" si="38"/>
        <v>202.1678469635836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100.66923076923077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253</v>
      </c>
      <c r="BW53" s="12">
        <f>VLOOKUP(A53,'Données projet'!$A$113:$I$133,9,0)</f>
        <v>10.199999999999999</v>
      </c>
      <c r="BX53" s="12">
        <f t="array" ref="BX53">INDEX(BW:BW,MIN(IF(ISNUMBER(BW53:BW249),ROW(BW53:BW249),"")))</f>
        <v>10.199999999999999</v>
      </c>
      <c r="BY53" s="12">
        <f>IF('Données projet'!$A$114&gt;35,BY52+BX53-CG52,IF(A53&lt;'Données projet'!$A$114,$BV$205^A53,IF(A53='Données projet'!$A$114,'Données projet'!$B$114,BY52+BX53-CG52)))</f>
        <v>253</v>
      </c>
      <c r="BZ53" s="13">
        <f>BY53*VLOOKUP('Données projet'!$B$12,Paramètres!$A$1:$I$89,3,0)*VLOOKUP('Données projet'!$B$12,Paramètres!$A$1:$I$89,5,0)</f>
        <v>197.34</v>
      </c>
      <c r="CA53" s="13">
        <f t="shared" si="39"/>
        <v>49.159125474269977</v>
      </c>
      <c r="CB53" s="20">
        <f t="shared" si="10"/>
        <v>429.31931020102024</v>
      </c>
      <c r="CC53" s="59">
        <f t="shared" si="11"/>
        <v>722.6526435343535</v>
      </c>
      <c r="CD53" s="59">
        <f ca="1">AVERAGE(OFFSET($CC$3,0,0,'Données projet'!$E$12+1,1))-AVERAGE(OFFSET($H$3,0,0,'Données projet'!$E$12+1,1))</f>
        <v>286.5685205631126</v>
      </c>
      <c r="CE53" s="59">
        <f t="shared" si="40"/>
        <v>264.17357326498581</v>
      </c>
      <c r="CF53" s="15">
        <f>IF(ISNA(VLOOKUP(A53,'Données projet'!$A$113:$I$133,3,0)),0,VLOOKUP(A53,'Données projet'!$A$113:$I$133,3,0))</f>
        <v>6</v>
      </c>
      <c r="CG53" s="15">
        <f>IF(ISNA(VLOOKUP(A53,'Données projet'!$A$113:$I$133,4,0)),0,VLOOKUP(A53,'Données projet'!$A$113:$I$133,4,0))</f>
        <v>30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7.8</v>
      </c>
      <c r="N54" s="13">
        <f>IF('Données projet'!$A$36&gt;35,N53+M54-V53,IF(A54&lt;'Données projet'!$A$36,$K$205^A54,IF(A54='Données projet'!$A$36,'Données projet'!$B$36,N53+M54-V53)))</f>
        <v>164.8000000000001</v>
      </c>
      <c r="O54" s="13">
        <f>N54*VLOOKUP('Données projet'!$B$9,Paramètres!$A$1:$I$89,3,0)*VLOOKUP('Données projet'!$B$9,Paramètres!$A$1:$I$89,5,0)</f>
        <v>149.11104000000009</v>
      </c>
      <c r="P54" s="13">
        <f t="shared" si="33"/>
        <v>38.376496436982421</v>
      </c>
      <c r="Q54" s="20">
        <f t="shared" si="53"/>
        <v>326.54079262774457</v>
      </c>
      <c r="R54" s="59">
        <f t="shared" si="0"/>
        <v>619.87412596107788</v>
      </c>
      <c r="S54" s="59">
        <f ca="1">AVERAGE(OFFSET($R$3,0,0,'Données projet'!$E$9+1,1))-AVERAGE(OFFSET($H$3,0,0,'Données projet'!$E$9+1,1))</f>
        <v>346.35147716792028</v>
      </c>
      <c r="T54" s="59">
        <f t="shared" si="34"/>
        <v>231.36959598460686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0.32220649666347378</v>
      </c>
      <c r="AC54" s="22">
        <f t="shared" si="3"/>
        <v>0.32220649666347378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24.25</v>
      </c>
      <c r="AI54" s="13">
        <f>IF('Données projet'!$A$62&gt;35,AI53+AH54-AQ53,IF(A54&lt;'Données projet'!$A$62,$AF$205^A54,IF(A54='Données projet'!$A$62,'Données projet'!$B$62,AI53+AH54-AQ53)))</f>
        <v>513.25000000000023</v>
      </c>
      <c r="AJ54" s="13">
        <f>AI54*VLOOKUP('Données projet'!$B$10,Paramètres!$A$1:$I$89,3,0)*VLOOKUP('Données projet'!$B$10,Paramètres!$A$1:$I$89,5,0)</f>
        <v>306.92350000000016</v>
      </c>
      <c r="AK54" s="13">
        <f t="shared" si="35"/>
        <v>72.625962048139712</v>
      </c>
      <c r="AL54" s="20">
        <f t="shared" si="4"/>
        <v>661.04864640051017</v>
      </c>
      <c r="AM54" s="59">
        <f t="shared" si="5"/>
        <v>954.38197973384354</v>
      </c>
      <c r="AN54" s="59">
        <f ca="1">AVERAGE(OFFSET($AM$3,0,0,'Données projet'!$E$10+1,1))-AVERAGE(OFFSET($H$3,0,0,'Données projet'!$E$10+1,1))</f>
        <v>559.94918407141222</v>
      </c>
      <c r="AO54" s="59">
        <f t="shared" si="36"/>
        <v>334.6078891555664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22.807762450003931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0.1138350922749518</v>
      </c>
      <c r="AX54" s="21">
        <f t="shared" si="6"/>
        <v>22.921597542278882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13.932692307692307</v>
      </c>
      <c r="BD54" s="12">
        <f>IF('Données projet'!$A$88&gt;35,BD53+BC54-BL53,IF(A54&lt;'Données projet'!$A$88,$BA$205^A54,IF(A54='Données projet'!$A$88,'Données projet'!$B$88,BD53+BC54-BL53)))</f>
        <v>263.2173076923076</v>
      </c>
      <c r="BE54" s="13">
        <f>BD54*VLOOKUP('Données projet'!$B$11,Paramètres!$A$1:$I$89,3,0)*VLOOKUP('Données projet'!$B$11,Paramètres!$A$1:$I$89,5,0)</f>
        <v>123.18569999999995</v>
      </c>
      <c r="BF54" s="13">
        <f t="shared" si="37"/>
        <v>32.416874686836884</v>
      </c>
      <c r="BG54" s="20">
        <f t="shared" si="7"/>
        <v>271.00781757957418</v>
      </c>
      <c r="BH54" s="59">
        <f t="shared" si="8"/>
        <v>564.34115091290755</v>
      </c>
      <c r="BI54" s="59">
        <f ca="1">AVERAGE(OFFSET($BH$3,0,0,'Données projet'!$E$11+1,1))-AVERAGE(OFFSET($H$3,0,0,'Données projet'!$E$11+1,1))</f>
        <v>276.78862011733338</v>
      </c>
      <c r="BJ54" s="59">
        <f t="shared" si="38"/>
        <v>202.1678469635836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8.1999999999999993</v>
      </c>
      <c r="BY54" s="12">
        <f>IF('Données projet'!$A$114&gt;35,BY53+BX54-CG53,IF(A54&lt;'Données projet'!$A$114,$BV$205^A54,IF(A54='Données projet'!$A$114,'Données projet'!$B$114,BY53+BX54-CG53)))</f>
        <v>231.2</v>
      </c>
      <c r="BZ54" s="13">
        <f>BY54*VLOOKUP('Données projet'!$B$12,Paramètres!$A$1:$I$89,3,0)*VLOOKUP('Données projet'!$B$12,Paramètres!$A$1:$I$89,5,0)</f>
        <v>180.33599999999998</v>
      </c>
      <c r="CA54" s="13">
        <f t="shared" si="39"/>
        <v>45.396931860513298</v>
      </c>
      <c r="CB54" s="20">
        <f t="shared" si="10"/>
        <v>393.15152299039391</v>
      </c>
      <c r="CC54" s="59">
        <f t="shared" si="11"/>
        <v>686.48485632372717</v>
      </c>
      <c r="CD54" s="59">
        <f ca="1">AVERAGE(OFFSET($CC$3,0,0,'Données projet'!$E$12+1,1))-AVERAGE(OFFSET($H$3,0,0,'Données projet'!$E$12+1,1))</f>
        <v>286.5685205631126</v>
      </c>
      <c r="CE54" s="59">
        <f t="shared" si="40"/>
        <v>264.17357326498581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7.8</v>
      </c>
      <c r="N55" s="13">
        <f>IF('Données projet'!$A$36&gt;35,N54+M55-V54,IF(A55&lt;'Données projet'!$A$36,$K$205^A55,IF(A55='Données projet'!$A$36,'Données projet'!$B$36,N54+M55-V54)))</f>
        <v>172.60000000000011</v>
      </c>
      <c r="O55" s="13">
        <f>N55*VLOOKUP('Données projet'!$B$9,Paramètres!$A$1:$I$89,3,0)*VLOOKUP('Données projet'!$B$9,Paramètres!$A$1:$I$89,5,0)</f>
        <v>156.1684800000001</v>
      </c>
      <c r="P55" s="13">
        <f t="shared" si="33"/>
        <v>39.977090041212335</v>
      </c>
      <c r="Q55" s="20">
        <f t="shared" si="53"/>
        <v>341.6202011551116</v>
      </c>
      <c r="R55" s="59">
        <f t="shared" si="0"/>
        <v>634.95353448844492</v>
      </c>
      <c r="S55" s="59">
        <f ca="1">AVERAGE(OFFSET($R$3,0,0,'Données projet'!$E$9+1,1))-AVERAGE(OFFSET($H$3,0,0,'Données projet'!$E$9+1,1))</f>
        <v>346.35147716792028</v>
      </c>
      <c r="T55" s="59">
        <f t="shared" si="34"/>
        <v>231.36959598460686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0.22783439873310302</v>
      </c>
      <c r="AC55" s="22">
        <f t="shared" si="3"/>
        <v>0.22783439873310302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24.25</v>
      </c>
      <c r="AI55" s="13">
        <f>IF('Données projet'!$A$62&gt;35,AI54+AH55-AQ54,IF(A55&lt;'Données projet'!$A$62,$AF$205^A55,IF(A55='Données projet'!$A$62,'Données projet'!$B$62,AI54+AH55-AQ54)))</f>
        <v>537.50000000000023</v>
      </c>
      <c r="AJ55" s="13">
        <f>AI55*VLOOKUP('Données projet'!$B$10,Paramètres!$A$1:$I$89,3,0)*VLOOKUP('Données projet'!$B$10,Paramètres!$A$1:$I$89,5,0)</f>
        <v>321.42500000000018</v>
      </c>
      <c r="AK55" s="13">
        <f t="shared" si="35"/>
        <v>75.649775908797736</v>
      </c>
      <c r="AL55" s="20">
        <f t="shared" si="4"/>
        <v>691.57190137448958</v>
      </c>
      <c r="AM55" s="59">
        <f t="shared" si="5"/>
        <v>984.90523470782296</v>
      </c>
      <c r="AN55" s="59">
        <f ca="1">AVERAGE(OFFSET($AM$3,0,0,'Données projet'!$E$10+1,1))-AVERAGE(OFFSET($H$3,0,0,'Données projet'!$E$10+1,1))</f>
        <v>559.94918407141222</v>
      </c>
      <c r="AO55" s="59">
        <f t="shared" si="36"/>
        <v>334.6078891555664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22.360516139720815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8.0493565684614798E-2</v>
      </c>
      <c r="AX55" s="21">
        <f t="shared" si="6"/>
        <v>22.441009705405431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13.932692307692307</v>
      </c>
      <c r="BD55" s="12">
        <f>IF('Données projet'!$A$88&gt;35,BD54+BC55-BL54,IF(A55&lt;'Données projet'!$A$88,$BA$205^A55,IF(A55='Données projet'!$A$88,'Données projet'!$B$88,BD54+BC55-BL54)))</f>
        <v>277.14999999999992</v>
      </c>
      <c r="BE55" s="13">
        <f>BD55*VLOOKUP('Données projet'!$B$11,Paramètres!$A$1:$I$89,3,0)*VLOOKUP('Données projet'!$B$11,Paramètres!$A$1:$I$89,5,0)</f>
        <v>129.70619999999997</v>
      </c>
      <c r="BF55" s="13">
        <f t="shared" si="37"/>
        <v>33.928461841493885</v>
      </c>
      <c r="BG55" s="20">
        <f t="shared" si="7"/>
        <v>284.99703604060181</v>
      </c>
      <c r="BH55" s="59">
        <f t="shared" si="8"/>
        <v>578.33036937393513</v>
      </c>
      <c r="BI55" s="59">
        <f ca="1">AVERAGE(OFFSET($BH$3,0,0,'Données projet'!$E$11+1,1))-AVERAGE(OFFSET($H$3,0,0,'Données projet'!$E$11+1,1))</f>
        <v>276.78862011733338</v>
      </c>
      <c r="BJ55" s="59">
        <f t="shared" si="38"/>
        <v>202.1678469635836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8.1999999999999993</v>
      </c>
      <c r="BY55" s="12">
        <f>IF('Données projet'!$A$114&gt;35,BY54+BX55-CG54,IF(A55&lt;'Données projet'!$A$114,$BV$205^A55,IF(A55='Données projet'!$A$114,'Données projet'!$B$114,BY54+BX55-CG54)))</f>
        <v>239.39999999999998</v>
      </c>
      <c r="BZ55" s="13">
        <f>BY55*VLOOKUP('Données projet'!$B$12,Paramètres!$A$1:$I$89,3,0)*VLOOKUP('Données projet'!$B$12,Paramètres!$A$1:$I$89,5,0)</f>
        <v>186.732</v>
      </c>
      <c r="CA55" s="13">
        <f t="shared" si="39"/>
        <v>46.81671651923142</v>
      </c>
      <c r="CB55" s="20">
        <f t="shared" si="10"/>
        <v>406.764014604328</v>
      </c>
      <c r="CC55" s="59">
        <f t="shared" si="11"/>
        <v>700.09734793766131</v>
      </c>
      <c r="CD55" s="59">
        <f ca="1">AVERAGE(OFFSET($CC$3,0,0,'Données projet'!$E$12+1,1))-AVERAGE(OFFSET($H$3,0,0,'Données projet'!$E$12+1,1))</f>
        <v>286.5685205631126</v>
      </c>
      <c r="CE55" s="59">
        <f t="shared" si="40"/>
        <v>264.17357326498581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7.8</v>
      </c>
      <c r="N56" s="13">
        <f>IF('Données projet'!$A$36&gt;35,N55+M56-V55,IF(A56&lt;'Données projet'!$A$36,$K$205^A56,IF(A56='Données projet'!$A$36,'Données projet'!$B$36,N55+M56-V55)))</f>
        <v>180.40000000000012</v>
      </c>
      <c r="O56" s="13">
        <f>N56*VLOOKUP('Données projet'!$B$9,Paramètres!$A$1:$I$89,3,0)*VLOOKUP('Données projet'!$B$9,Paramètres!$A$1:$I$89,5,0)</f>
        <v>163.22592000000012</v>
      </c>
      <c r="P56" s="13">
        <f t="shared" si="33"/>
        <v>41.569283201466128</v>
      </c>
      <c r="Q56" s="20">
        <f t="shared" si="53"/>
        <v>356.68497890922032</v>
      </c>
      <c r="R56" s="59">
        <f t="shared" si="0"/>
        <v>650.01831224255363</v>
      </c>
      <c r="S56" s="59">
        <f ca="1">AVERAGE(OFFSET($R$3,0,0,'Données projet'!$E$9+1,1))-AVERAGE(OFFSET($H$3,0,0,'Données projet'!$E$9+1,1))</f>
        <v>346.35147716792028</v>
      </c>
      <c r="T56" s="59">
        <f t="shared" si="34"/>
        <v>231.36959598460686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0.16110324833173689</v>
      </c>
      <c r="AC56" s="22">
        <f t="shared" si="3"/>
        <v>0.16110324833173689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24.25</v>
      </c>
      <c r="AI56" s="13">
        <f>IF('Données projet'!$A$62&gt;35,AI55+AH56-AQ55,IF(A56&lt;'Données projet'!$A$62,$AF$205^A56,IF(A56='Données projet'!$A$62,'Données projet'!$B$62,AI55+AH56-AQ55)))</f>
        <v>561.75000000000023</v>
      </c>
      <c r="AJ56" s="13">
        <f>AI56*VLOOKUP('Données projet'!$B$10,Paramètres!$A$1:$I$89,3,0)*VLOOKUP('Données projet'!$B$10,Paramètres!$A$1:$I$89,5,0)</f>
        <v>335.9265000000002</v>
      </c>
      <c r="AK56" s="13">
        <f t="shared" si="35"/>
        <v>78.65774605327033</v>
      </c>
      <c r="AL56" s="20">
        <f t="shared" si="4"/>
        <v>722.06756187611279</v>
      </c>
      <c r="AM56" s="59">
        <f t="shared" si="5"/>
        <v>1015.4008952094462</v>
      </c>
      <c r="AN56" s="59">
        <f ca="1">AVERAGE(OFFSET($AM$3,0,0,'Données projet'!$E$10+1,1))-AVERAGE(OFFSET($H$3,0,0,'Données projet'!$E$10+1,1))</f>
        <v>559.94918407141222</v>
      </c>
      <c r="AO56" s="59">
        <f t="shared" si="36"/>
        <v>334.6078891555664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21.922040056789037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5.6917546137475912E-2</v>
      </c>
      <c r="AX56" s="21">
        <f t="shared" si="6"/>
        <v>21.978957602926513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13.932692307692307</v>
      </c>
      <c r="BD56" s="12">
        <f>IF('Données projet'!$A$88&gt;35,BD55+BC56-BL55,IF(A56&lt;'Données projet'!$A$88,$BA$205^A56,IF(A56='Données projet'!$A$88,'Données projet'!$B$88,BD55+BC56-BL55)))</f>
        <v>291.08269230769224</v>
      </c>
      <c r="BE56" s="13">
        <f>BD56*VLOOKUP('Données projet'!$B$11,Paramètres!$A$1:$I$89,3,0)*VLOOKUP('Données projet'!$B$11,Paramètres!$A$1:$I$89,5,0)</f>
        <v>136.22669999999997</v>
      </c>
      <c r="BF56" s="13">
        <f t="shared" si="37"/>
        <v>35.431225728201639</v>
      </c>
      <c r="BG56" s="20">
        <f t="shared" si="7"/>
        <v>298.97088730995114</v>
      </c>
      <c r="BH56" s="59">
        <f t="shared" si="8"/>
        <v>592.30422064328445</v>
      </c>
      <c r="BI56" s="59">
        <f ca="1">AVERAGE(OFFSET($BH$3,0,0,'Données projet'!$E$11+1,1))-AVERAGE(OFFSET($H$3,0,0,'Données projet'!$E$11+1,1))</f>
        <v>276.78862011733338</v>
      </c>
      <c r="BJ56" s="59">
        <f t="shared" si="38"/>
        <v>202.1678469635836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8.1999999999999993</v>
      </c>
      <c r="BY56" s="12">
        <f>IF('Données projet'!$A$114&gt;35,BY55+BX56-CG55,IF(A56&lt;'Données projet'!$A$114,$BV$205^A56,IF(A56='Données projet'!$A$114,'Données projet'!$B$114,BY55+BX56-CG55)))</f>
        <v>247.59999999999997</v>
      </c>
      <c r="BZ56" s="13">
        <f>BY56*VLOOKUP('Données projet'!$B$12,Paramètres!$A$1:$I$89,3,0)*VLOOKUP('Données projet'!$B$12,Paramètres!$A$1:$I$89,5,0)</f>
        <v>193.12799999999999</v>
      </c>
      <c r="CA56" s="13">
        <f t="shared" si="39"/>
        <v>48.230850644982517</v>
      </c>
      <c r="CB56" s="20">
        <f t="shared" si="10"/>
        <v>420.36666487334452</v>
      </c>
      <c r="CC56" s="59">
        <f t="shared" si="11"/>
        <v>713.69999820667783</v>
      </c>
      <c r="CD56" s="59">
        <f ca="1">AVERAGE(OFFSET($CC$3,0,0,'Données projet'!$E$12+1,1))-AVERAGE(OFFSET($H$3,0,0,'Données projet'!$E$12+1,1))</f>
        <v>286.5685205631126</v>
      </c>
      <c r="CE56" s="59">
        <f t="shared" si="40"/>
        <v>264.17357326498581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7.8</v>
      </c>
      <c r="N57" s="13">
        <f>IF('Données projet'!$A$36&gt;35,N56+M57-V56,IF(A57&lt;'Données projet'!$A$36,$K$205^A57,IF(A57='Données projet'!$A$36,'Données projet'!$B$36,N56+M57-V56)))</f>
        <v>188.20000000000013</v>
      </c>
      <c r="O57" s="13">
        <f>N57*VLOOKUP('Données projet'!$B$9,Paramètres!$A$1:$I$89,3,0)*VLOOKUP('Données projet'!$B$9,Paramètres!$A$1:$I$89,5,0)</f>
        <v>170.2833600000001</v>
      </c>
      <c r="P57" s="13">
        <f t="shared" si="33"/>
        <v>43.153480646462619</v>
      </c>
      <c r="Q57" s="20">
        <f t="shared" si="53"/>
        <v>371.73583079258918</v>
      </c>
      <c r="R57" s="59">
        <f t="shared" si="0"/>
        <v>665.0691641259225</v>
      </c>
      <c r="S57" s="59">
        <f ca="1">AVERAGE(OFFSET($R$3,0,0,'Données projet'!$E$9+1,1))-AVERAGE(OFFSET($H$3,0,0,'Données projet'!$E$9+1,1))</f>
        <v>346.35147716792028</v>
      </c>
      <c r="T57" s="59">
        <f t="shared" si="34"/>
        <v>231.36959598460686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0.11391719936655151</v>
      </c>
      <c r="AC57" s="22">
        <f t="shared" si="3"/>
        <v>0.11391719936655151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24.25</v>
      </c>
      <c r="AI57" s="13">
        <f>IF('Données projet'!$A$62&gt;35,AI56+AH57-AQ56,IF(A57&lt;'Données projet'!$A$62,$AF$205^A57,IF(A57='Données projet'!$A$62,'Données projet'!$B$62,AI56+AH57-AQ56)))</f>
        <v>586.00000000000023</v>
      </c>
      <c r="AJ57" s="13">
        <f>AI57*VLOOKUP('Données projet'!$B$10,Paramètres!$A$1:$I$89,3,0)*VLOOKUP('Données projet'!$B$10,Paramètres!$A$1:$I$89,5,0)</f>
        <v>350.42800000000017</v>
      </c>
      <c r="AK57" s="13">
        <f t="shared" si="35"/>
        <v>81.650634613695416</v>
      </c>
      <c r="AL57" s="20">
        <f t="shared" si="4"/>
        <v>752.53695528551987</v>
      </c>
      <c r="AM57" s="59">
        <f t="shared" si="5"/>
        <v>1045.8702886188532</v>
      </c>
      <c r="AN57" s="59">
        <f ca="1">AVERAGE(OFFSET($AM$3,0,0,'Données projet'!$E$10+1,1))-AVERAGE(OFFSET($H$3,0,0,'Données projet'!$E$10+1,1))</f>
        <v>559.94918407141222</v>
      </c>
      <c r="AO57" s="59">
        <f t="shared" si="36"/>
        <v>334.6078891555664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21.49216222239955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4.0246782842307406E-2</v>
      </c>
      <c r="AX57" s="21">
        <f t="shared" si="6"/>
        <v>21.532409005241856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>
        <f>VLOOKUP(A57,'Données projet'!$A$87:$I$107,2,0)</f>
        <v>305.01538461538462</v>
      </c>
      <c r="BB57" s="12">
        <f>VLOOKUP(A57,'Données projet'!$A$87:$I$107,9,0)</f>
        <v>13.932692307692307</v>
      </c>
      <c r="BC57" s="12">
        <f t="array" ref="BC57">INDEX(BB:BB,MIN(IF(ISNUMBER(BB57:BB253),ROW(BB57:BB253),"")))</f>
        <v>13.932692307692307</v>
      </c>
      <c r="BD57" s="12">
        <f>IF('Données projet'!$A$88&gt;35,BD56+BC57-BL56,IF(A57&lt;'Données projet'!$A$88,$BA$205^A57,IF(A57='Données projet'!$A$88,'Données projet'!$B$88,BD56+BC57-BL56)))</f>
        <v>305.01538461538456</v>
      </c>
      <c r="BE57" s="13">
        <f>BD57*VLOOKUP('Données projet'!$B$11,Paramètres!$A$1:$I$89,3,0)*VLOOKUP('Données projet'!$B$11,Paramètres!$A$1:$I$89,5,0)</f>
        <v>142.74719999999996</v>
      </c>
      <c r="BF57" s="13">
        <f t="shared" si="37"/>
        <v>36.92563688864665</v>
      </c>
      <c r="BG57" s="20">
        <f t="shared" si="7"/>
        <v>312.93019091439282</v>
      </c>
      <c r="BH57" s="59">
        <f t="shared" si="8"/>
        <v>606.26352424772608</v>
      </c>
      <c r="BI57" s="59">
        <f ca="1">AVERAGE(OFFSET($BH$3,0,0,'Données projet'!$E$11+1,1))-AVERAGE(OFFSET($H$3,0,0,'Données projet'!$E$11+1,1))</f>
        <v>276.78862011733338</v>
      </c>
      <c r="BJ57" s="59">
        <f t="shared" si="38"/>
        <v>202.1678469635836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8.1999999999999993</v>
      </c>
      <c r="BY57" s="12">
        <f>IF('Données projet'!$A$114&gt;35,BY56+BX57-CG56,IF(A57&lt;'Données projet'!$A$114,$BV$205^A57,IF(A57='Données projet'!$A$114,'Données projet'!$B$114,BY56+BX57-CG56)))</f>
        <v>255.79999999999995</v>
      </c>
      <c r="BZ57" s="13">
        <f>BY57*VLOOKUP('Données projet'!$B$12,Paramètres!$A$1:$I$89,3,0)*VLOOKUP('Données projet'!$B$12,Paramètres!$A$1:$I$89,5,0)</f>
        <v>199.52399999999997</v>
      </c>
      <c r="CA57" s="13">
        <f t="shared" si="39"/>
        <v>49.639542829407041</v>
      </c>
      <c r="CB57" s="20">
        <f t="shared" si="10"/>
        <v>433.95983709455049</v>
      </c>
      <c r="CC57" s="59">
        <f t="shared" si="11"/>
        <v>727.29317042788375</v>
      </c>
      <c r="CD57" s="59">
        <f ca="1">AVERAGE(OFFSET($CC$3,0,0,'Données projet'!$E$12+1,1))-AVERAGE(OFFSET($H$3,0,0,'Données projet'!$E$12+1,1))</f>
        <v>286.5685205631126</v>
      </c>
      <c r="CE57" s="59">
        <f t="shared" si="40"/>
        <v>264.17357326498581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7.8</v>
      </c>
      <c r="N58" s="13">
        <f>IF('Données projet'!$A$36&gt;35,N57+M58-V57,IF(A58&lt;'Données projet'!$A$36,$K$205^A58,IF(A58='Données projet'!$A$36,'Données projet'!$B$36,N57+M58-V57)))</f>
        <v>196.00000000000014</v>
      </c>
      <c r="O58" s="13">
        <f>N58*VLOOKUP('Données projet'!$B$9,Paramètres!$A$1:$I$89,3,0)*VLOOKUP('Données projet'!$B$9,Paramètres!$A$1:$I$89,5,0)</f>
        <v>177.34080000000012</v>
      </c>
      <c r="P58" s="13">
        <f t="shared" si="33"/>
        <v>44.730051658603102</v>
      </c>
      <c r="Q58" s="20">
        <f t="shared" si="53"/>
        <v>386.77339997206718</v>
      </c>
      <c r="R58" s="59">
        <f t="shared" si="0"/>
        <v>680.10673330540044</v>
      </c>
      <c r="S58" s="59">
        <f ca="1">AVERAGE(OFFSET($R$3,0,0,'Données projet'!$E$9+1,1))-AVERAGE(OFFSET($H$3,0,0,'Données projet'!$E$9+1,1))</f>
        <v>346.35147716792028</v>
      </c>
      <c r="T58" s="59">
        <f t="shared" si="34"/>
        <v>231.36959598460686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8.0551624165868446E-2</v>
      </c>
      <c r="AC58" s="22">
        <f t="shared" si="3"/>
        <v>8.0551624165868446E-2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24.25</v>
      </c>
      <c r="AI58" s="13">
        <f>IF('Données projet'!$A$62&gt;35,AI57+AH58-AQ57,IF(A58&lt;'Données projet'!$A$62,$AF$205^A58,IF(A58='Données projet'!$A$62,'Données projet'!$B$62,AI57+AH58-AQ57)))</f>
        <v>610.25000000000023</v>
      </c>
      <c r="AJ58" s="13">
        <f>AI58*VLOOKUP('Données projet'!$B$10,Paramètres!$A$1:$I$89,3,0)*VLOOKUP('Données projet'!$B$10,Paramètres!$A$1:$I$89,5,0)</f>
        <v>364.92950000000013</v>
      </c>
      <c r="AK58" s="13">
        <f t="shared" si="35"/>
        <v>84.629137075774949</v>
      </c>
      <c r="AL58" s="20">
        <f t="shared" si="4"/>
        <v>782.98129290697489</v>
      </c>
      <c r="AM58" s="59">
        <f t="shared" si="5"/>
        <v>1076.3146262403081</v>
      </c>
      <c r="AN58" s="59">
        <f ca="1">AVERAGE(OFFSET($AM$3,0,0,'Données projet'!$E$10+1,1))-AVERAGE(OFFSET($H$3,0,0,'Données projet'!$E$10+1,1))</f>
        <v>559.94918407141222</v>
      </c>
      <c r="AO58" s="59">
        <f t="shared" si="36"/>
        <v>334.6078891555664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21.070714030142852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2.8458773068737959E-2</v>
      </c>
      <c r="AX58" s="21">
        <f t="shared" si="6"/>
        <v>21.099172803211591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14.576923076923066</v>
      </c>
      <c r="BD58" s="12">
        <f>IF('Données projet'!$A$88&gt;35,BD57+BC58-BL57,IF(A58&lt;'Données projet'!$A$88,$BA$205^A58,IF(A58='Données projet'!$A$88,'Données projet'!$B$88,BD57+BC58-BL57)))</f>
        <v>319.5923076923076</v>
      </c>
      <c r="BE58" s="13">
        <f>BD58*VLOOKUP('Données projet'!$B$11,Paramètres!$A$1:$I$89,3,0)*VLOOKUP('Données projet'!$B$11,Paramètres!$A$1:$I$89,5,0)</f>
        <v>149.56919999999997</v>
      </c>
      <c r="BF58" s="13">
        <f t="shared" si="37"/>
        <v>38.480668393304832</v>
      </c>
      <c r="BG58" s="20">
        <f t="shared" si="7"/>
        <v>327.52018745167248</v>
      </c>
      <c r="BH58" s="59">
        <f t="shared" si="8"/>
        <v>620.8535207850058</v>
      </c>
      <c r="BI58" s="59">
        <f ca="1">AVERAGE(OFFSET($BH$3,0,0,'Données projet'!$E$11+1,1))-AVERAGE(OFFSET($H$3,0,0,'Données projet'!$E$11+1,1))</f>
        <v>276.78862011733338</v>
      </c>
      <c r="BJ58" s="59">
        <f t="shared" si="38"/>
        <v>202.1678469635836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264</v>
      </c>
      <c r="BW58" s="12">
        <f>VLOOKUP(A58,'Données projet'!$A$113:$I$133,9,0)</f>
        <v>8.1999999999999993</v>
      </c>
      <c r="BX58" s="12">
        <f t="array" ref="BX58">INDEX(BW:BW,MIN(IF(ISNUMBER(BW58:BW254),ROW(BW58:BW254),"")))</f>
        <v>8.1999999999999993</v>
      </c>
      <c r="BY58" s="12">
        <f>IF('Données projet'!$A$114&gt;35,BY57+BX58-CG57,IF(A58&lt;'Données projet'!$A$114,$BV$205^A58,IF(A58='Données projet'!$A$114,'Données projet'!$B$114,BY57+BX58-CG57)))</f>
        <v>263.99999999999994</v>
      </c>
      <c r="BZ58" s="13">
        <f>BY58*VLOOKUP('Données projet'!$B$12,Paramètres!$A$1:$I$89,3,0)*VLOOKUP('Données projet'!$B$12,Paramètres!$A$1:$I$89,5,0)</f>
        <v>205.91999999999996</v>
      </c>
      <c r="CA58" s="13">
        <f t="shared" si="39"/>
        <v>51.042987531485686</v>
      </c>
      <c r="CB58" s="20">
        <f t="shared" si="10"/>
        <v>447.5438699506708</v>
      </c>
      <c r="CC58" s="59">
        <f t="shared" si="11"/>
        <v>740.87720328400405</v>
      </c>
      <c r="CD58" s="59">
        <f ca="1">AVERAGE(OFFSET($CC$3,0,0,'Données projet'!$E$12+1,1))-AVERAGE(OFFSET($H$3,0,0,'Données projet'!$E$12+1,1))</f>
        <v>286.5685205631126</v>
      </c>
      <c r="CE58" s="59">
        <f t="shared" si="40"/>
        <v>264.17357326498581</v>
      </c>
      <c r="CF58" s="15">
        <f>IF(ISNA(VLOOKUP(A58,'Données projet'!$A$113:$I$133,3,0)),0,VLOOKUP(A58,'Données projet'!$A$113:$I$133,3,0))</f>
        <v>7</v>
      </c>
      <c r="CG58" s="15">
        <f>IF(ISNA(VLOOKUP(A58,'Données projet'!$A$113:$I$133,4,0)),0,VLOOKUP(A58,'Données projet'!$A$113:$I$133,4,0))</f>
        <v>30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7.8</v>
      </c>
      <c r="N59" s="13">
        <f>IF('Données projet'!$A$36&gt;35,N58+M59-V58,IF(A59&lt;'Données projet'!$A$36,$K$205^A59,IF(A59='Données projet'!$A$36,'Données projet'!$B$36,N58+M59-V58)))</f>
        <v>203.80000000000015</v>
      </c>
      <c r="O59" s="13">
        <f>N59*VLOOKUP('Données projet'!$B$9,Paramètres!$A$1:$I$89,3,0)*VLOOKUP('Données projet'!$B$9,Paramètres!$A$1:$I$89,5,0)</f>
        <v>184.39824000000013</v>
      </c>
      <c r="P59" s="13">
        <f t="shared" si="33"/>
        <v>46.299334464645959</v>
      </c>
      <c r="Q59" s="20">
        <f t="shared" si="53"/>
        <v>401.79827552592525</v>
      </c>
      <c r="R59" s="59">
        <f t="shared" si="0"/>
        <v>695.13160885925856</v>
      </c>
      <c r="S59" s="59">
        <f ca="1">AVERAGE(OFFSET($R$3,0,0,'Données projet'!$E$9+1,1))-AVERAGE(OFFSET($H$3,0,0,'Données projet'!$E$9+1,1))</f>
        <v>346.35147716792028</v>
      </c>
      <c r="T59" s="59">
        <f t="shared" si="34"/>
        <v>231.36959598460686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5.6958599683275754E-2</v>
      </c>
      <c r="AC59" s="22">
        <f t="shared" si="3"/>
        <v>5.6958599683275754E-2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24.25</v>
      </c>
      <c r="AI59" s="13">
        <f>IF('Données projet'!$A$62&gt;35,AI58+AH59-AQ58,IF(A59&lt;'Données projet'!$A$62,$AF$205^A59,IF(A59='Données projet'!$A$62,'Données projet'!$B$62,AI58+AH59-AQ58)))</f>
        <v>634.50000000000023</v>
      </c>
      <c r="AJ59" s="13">
        <f>AI59*VLOOKUP('Données projet'!$B$10,Paramètres!$A$1:$I$89,3,0)*VLOOKUP('Données projet'!$B$10,Paramètres!$A$1:$I$89,5,0)</f>
        <v>379.43100000000015</v>
      </c>
      <c r="AK59" s="13">
        <f t="shared" si="35"/>
        <v>87.593890522102882</v>
      </c>
      <c r="AL59" s="20">
        <f t="shared" si="4"/>
        <v>813.40168432599603</v>
      </c>
      <c r="AM59" s="59">
        <f t="shared" si="5"/>
        <v>1106.7350176593293</v>
      </c>
      <c r="AN59" s="59">
        <f ca="1">AVERAGE(OFFSET($AM$3,0,0,'Données projet'!$E$10+1,1))-AVERAGE(OFFSET($H$3,0,0,'Données projet'!$E$10+1,1))</f>
        <v>559.94918407141222</v>
      </c>
      <c r="AO59" s="59">
        <f t="shared" si="36"/>
        <v>334.6078891555664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20.657530179878293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2.0123391421153707E-2</v>
      </c>
      <c r="AX59" s="21">
        <f t="shared" si="6"/>
        <v>20.677653571299448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14.576923076923066</v>
      </c>
      <c r="BD59" s="12">
        <f>IF('Données projet'!$A$88&gt;35,BD58+BC59-BL58,IF(A59&lt;'Données projet'!$A$88,$BA$205^A59,IF(A59='Données projet'!$A$88,'Données projet'!$B$88,BD58+BC59-BL58)))</f>
        <v>334.16923076923069</v>
      </c>
      <c r="BE59" s="13">
        <f>BD59*VLOOKUP('Données projet'!$B$11,Paramètres!$A$1:$I$89,3,0)*VLOOKUP('Données projet'!$B$11,Paramètres!$A$1:$I$89,5,0)</f>
        <v>156.39119999999997</v>
      </c>
      <c r="BF59" s="13">
        <f t="shared" si="37"/>
        <v>40.027462910624614</v>
      </c>
      <c r="BG59" s="20">
        <f t="shared" si="7"/>
        <v>342.09583790267112</v>
      </c>
      <c r="BH59" s="59">
        <f t="shared" si="8"/>
        <v>635.42917123600444</v>
      </c>
      <c r="BI59" s="59">
        <f ca="1">AVERAGE(OFFSET($BH$3,0,0,'Données projet'!$E$11+1,1))-AVERAGE(OFFSET($H$3,0,0,'Données projet'!$E$11+1,1))</f>
        <v>276.78862011733338</v>
      </c>
      <c r="BJ59" s="59">
        <f t="shared" si="38"/>
        <v>202.1678469635836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7.4</v>
      </c>
      <c r="BY59" s="12">
        <f>IF('Données projet'!$A$114&gt;35,BY58+BX59-CG58,IF(A59&lt;'Données projet'!$A$114,$BV$205^A59,IF(A59='Données projet'!$A$114,'Données projet'!$B$114,BY58+BX59-CG58)))</f>
        <v>241.39999999999992</v>
      </c>
      <c r="BZ59" s="13">
        <f>BY59*VLOOKUP('Données projet'!$B$12,Paramètres!$A$1:$I$89,3,0)*VLOOKUP('Données projet'!$B$12,Paramètres!$A$1:$I$89,5,0)</f>
        <v>188.29199999999994</v>
      </c>
      <c r="CA59" s="13">
        <f t="shared" si="39"/>
        <v>47.162140074549235</v>
      </c>
      <c r="CB59" s="20">
        <f t="shared" si="10"/>
        <v>410.08262729650642</v>
      </c>
      <c r="CC59" s="59">
        <f t="shared" si="11"/>
        <v>703.41596062983967</v>
      </c>
      <c r="CD59" s="59">
        <f ca="1">AVERAGE(OFFSET($CC$3,0,0,'Données projet'!$E$12+1,1))-AVERAGE(OFFSET($H$3,0,0,'Données projet'!$E$12+1,1))</f>
        <v>286.5685205631126</v>
      </c>
      <c r="CE59" s="59">
        <f t="shared" si="40"/>
        <v>264.17357326498581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7.8</v>
      </c>
      <c r="N60" s="13">
        <f>IF('Données projet'!$A$36&gt;35,N59+M60-V59,IF(A60&lt;'Données projet'!$A$36,$K$205^A60,IF(A60='Données projet'!$A$36,'Données projet'!$B$36,N59+M60-V59)))</f>
        <v>211.60000000000016</v>
      </c>
      <c r="O60" s="13">
        <f>N60*VLOOKUP('Données projet'!$B$9,Paramètres!$A$1:$I$89,3,0)*VLOOKUP('Données projet'!$B$9,Paramètres!$A$1:$I$89,5,0)</f>
        <v>191.45568000000014</v>
      </c>
      <c r="P60" s="13">
        <f t="shared" si="33"/>
        <v>47.861639935303188</v>
      </c>
      <c r="Q60" s="20">
        <f t="shared" si="53"/>
        <v>416.81099888731995</v>
      </c>
      <c r="R60" s="59">
        <f t="shared" si="0"/>
        <v>710.14433222065327</v>
      </c>
      <c r="S60" s="59">
        <f ca="1">AVERAGE(OFFSET($R$3,0,0,'Données projet'!$E$9+1,1))-AVERAGE(OFFSET($H$3,0,0,'Données projet'!$E$9+1,1))</f>
        <v>346.35147716792028</v>
      </c>
      <c r="T60" s="59">
        <f t="shared" si="34"/>
        <v>231.36959598460686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4.0275812082934223E-2</v>
      </c>
      <c r="AC60" s="22">
        <f t="shared" si="3"/>
        <v>4.0275812082934223E-2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24.25</v>
      </c>
      <c r="AI60" s="13">
        <f>IF('Données projet'!$A$62&gt;35,AI59+AH60-AQ59,IF(A60&lt;'Données projet'!$A$62,$AF$205^A60,IF(A60='Données projet'!$A$62,'Données projet'!$B$62,AI59+AH60-AQ59)))</f>
        <v>658.75000000000023</v>
      </c>
      <c r="AJ60" s="13">
        <f>AI60*VLOOKUP('Données projet'!$B$10,Paramètres!$A$1:$I$89,3,0)*VLOOKUP('Données projet'!$B$10,Paramètres!$A$1:$I$89,5,0)</f>
        <v>393.93250000000012</v>
      </c>
      <c r="AK60" s="13">
        <f t="shared" si="35"/>
        <v>90.545480579840486</v>
      </c>
      <c r="AL60" s="20">
        <f t="shared" si="4"/>
        <v>843.79914950988905</v>
      </c>
      <c r="AM60" s="59">
        <f t="shared" si="5"/>
        <v>1137.1324828432223</v>
      </c>
      <c r="AN60" s="59">
        <f ca="1">AVERAGE(OFFSET($AM$3,0,0,'Données projet'!$E$10+1,1))-AVERAGE(OFFSET($H$3,0,0,'Données projet'!$E$10+1,1))</f>
        <v>559.94918407141222</v>
      </c>
      <c r="AO60" s="59">
        <f t="shared" si="36"/>
        <v>334.6078891555664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20.252448612900157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1.4229386534368983E-2</v>
      </c>
      <c r="AX60" s="21">
        <f t="shared" si="6"/>
        <v>20.266677999434524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14.576923076923066</v>
      </c>
      <c r="BD60" s="12">
        <f>IF('Données projet'!$A$88&gt;35,BD59+BC60-BL59,IF(A60&lt;'Données projet'!$A$88,$BA$205^A60,IF(A60='Données projet'!$A$88,'Données projet'!$B$88,BD59+BC60-BL59)))</f>
        <v>348.74615384615379</v>
      </c>
      <c r="BE60" s="13">
        <f>BD60*VLOOKUP('Données projet'!$B$11,Paramètres!$A$1:$I$89,3,0)*VLOOKUP('Données projet'!$B$11,Paramètres!$A$1:$I$89,5,0)</f>
        <v>163.21319999999997</v>
      </c>
      <c r="BF60" s="13">
        <f t="shared" si="37"/>
        <v>41.566420815466671</v>
      </c>
      <c r="BG60" s="20">
        <f t="shared" si="7"/>
        <v>356.65783958693765</v>
      </c>
      <c r="BH60" s="59">
        <f t="shared" si="8"/>
        <v>649.99117292027097</v>
      </c>
      <c r="BI60" s="59">
        <f ca="1">AVERAGE(OFFSET($BH$3,0,0,'Données projet'!$E$11+1,1))-AVERAGE(OFFSET($H$3,0,0,'Données projet'!$E$11+1,1))</f>
        <v>276.78862011733338</v>
      </c>
      <c r="BJ60" s="59">
        <f t="shared" si="38"/>
        <v>202.1678469635836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7.4</v>
      </c>
      <c r="BY60" s="12">
        <f>IF('Données projet'!$A$114&gt;35,BY59+BX60-CG59,IF(A60&lt;'Données projet'!$A$114,$BV$205^A60,IF(A60='Données projet'!$A$114,'Données projet'!$B$114,BY59+BX60-CG59)))</f>
        <v>248.79999999999993</v>
      </c>
      <c r="BZ60" s="13">
        <f>BY60*VLOOKUP('Données projet'!$B$12,Paramètres!$A$1:$I$89,3,0)*VLOOKUP('Données projet'!$B$12,Paramètres!$A$1:$I$89,5,0)</f>
        <v>194.06399999999994</v>
      </c>
      <c r="CA60" s="13">
        <f t="shared" si="39"/>
        <v>48.437335849011056</v>
      </c>
      <c r="CB60" s="20">
        <f t="shared" si="10"/>
        <v>422.35649327036077</v>
      </c>
      <c r="CC60" s="59">
        <f t="shared" si="11"/>
        <v>715.68982660369409</v>
      </c>
      <c r="CD60" s="59">
        <f ca="1">AVERAGE(OFFSET($CC$3,0,0,'Données projet'!$E$12+1,1))-AVERAGE(OFFSET($H$3,0,0,'Données projet'!$E$12+1,1))</f>
        <v>286.5685205631126</v>
      </c>
      <c r="CE60" s="59">
        <f t="shared" si="40"/>
        <v>264.17357326498581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7.8</v>
      </c>
      <c r="N61" s="13">
        <f>IF('Données projet'!$A$36&gt;35,N60+M61-V60,IF(A61&lt;'Données projet'!$A$36,$K$205^A61,IF(A61='Données projet'!$A$36,'Données projet'!$B$36,N60+M61-V60)))</f>
        <v>219.40000000000018</v>
      </c>
      <c r="O61" s="13">
        <f>N61*VLOOKUP('Données projet'!$B$9,Paramètres!$A$1:$I$89,3,0)*VLOOKUP('Données projet'!$B$9,Paramètres!$A$1:$I$89,5,0)</f>
        <v>198.51312000000016</v>
      </c>
      <c r="P61" s="13">
        <f t="shared" si="33"/>
        <v>49.417254724004458</v>
      </c>
      <c r="Q61" s="20">
        <f t="shared" si="53"/>
        <v>431.81206931097466</v>
      </c>
      <c r="R61" s="59">
        <f t="shared" si="0"/>
        <v>725.14540264430798</v>
      </c>
      <c r="S61" s="59">
        <f ca="1">AVERAGE(OFFSET($R$3,0,0,'Données projet'!$E$9+1,1))-AVERAGE(OFFSET($H$3,0,0,'Données projet'!$E$9+1,1))</f>
        <v>346.35147716792028</v>
      </c>
      <c r="T61" s="59">
        <f t="shared" si="34"/>
        <v>231.36959598460686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2.8479299841637877E-2</v>
      </c>
      <c r="AC61" s="22">
        <f t="shared" si="3"/>
        <v>2.8479299841637877E-2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683</v>
      </c>
      <c r="AG61" s="12">
        <f>VLOOKUP(A61,'Données projet'!$A$61:$I$81,9,0)</f>
        <v>24.25</v>
      </c>
      <c r="AH61" s="12">
        <f t="array" ref="AH61">INDEX(AG:AG,MIN(IF(ISNUMBER(AG61:AG257),ROW(AG61:AG257),"")))</f>
        <v>24.25</v>
      </c>
      <c r="AI61" s="13">
        <f>IF('Données projet'!$A$62&gt;35,AI60+AH61-AQ60,IF(A61&lt;'Données projet'!$A$62,$AF$205^A61,IF(A61='Données projet'!$A$62,'Données projet'!$B$62,AI60+AH61-AQ60)))</f>
        <v>683.00000000000023</v>
      </c>
      <c r="AJ61" s="13">
        <f>AI61*VLOOKUP('Données projet'!$B$10,Paramètres!$A$1:$I$89,3,0)*VLOOKUP('Données projet'!$B$10,Paramètres!$A$1:$I$89,5,0)</f>
        <v>408.4340000000002</v>
      </c>
      <c r="AK61" s="13">
        <f t="shared" si="35"/>
        <v>93.484447316600651</v>
      </c>
      <c r="AL61" s="20">
        <f t="shared" si="4"/>
        <v>874.17462907641311</v>
      </c>
      <c r="AM61" s="59">
        <f t="shared" si="5"/>
        <v>1167.5079624097464</v>
      </c>
      <c r="AN61" s="59">
        <f ca="1">AVERAGE(OFFSET($AM$3,0,0,'Données projet'!$E$10+1,1))-AVERAGE(OFFSET($H$3,0,0,'Données projet'!$E$10+1,1))</f>
        <v>559.94918407141222</v>
      </c>
      <c r="AO61" s="59">
        <f t="shared" si="36"/>
        <v>334.6078891555664</v>
      </c>
      <c r="AP61" s="15">
        <f>IF(ISNA(VLOOKUP(A61,'Données projet'!$A$61:$I$81,3,0)),0,VLOOKUP(A61,'Données projet'!$A$61:$I$81,3,0))</f>
        <v>8</v>
      </c>
      <c r="AQ61" s="15">
        <f>IF(ISNA(VLOOKUP(A61,'Données projet'!$A$61:$I$81,4,0)),0,VLOOKUP(A61,'Données projet'!$A$61:$I$81,4,0))</f>
        <v>78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19.855310448375104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1.0061695710576855E-2</v>
      </c>
      <c r="AX61" s="21">
        <f t="shared" si="6"/>
        <v>19.865372144085679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363.32307692307688</v>
      </c>
      <c r="BB61" s="12">
        <f>VLOOKUP(A61,'Données projet'!$A$87:$I$107,9,0)</f>
        <v>14.576923076923066</v>
      </c>
      <c r="BC61" s="12">
        <f t="array" ref="BC61">INDEX(BB:BB,MIN(IF(ISNUMBER(BB61:BB257),ROW(BB61:BB257),"")))</f>
        <v>14.576923076923066</v>
      </c>
      <c r="BD61" s="12">
        <f>IF('Données projet'!$A$88&gt;35,BD60+BC61-BL60,IF(A61&lt;'Données projet'!$A$88,$BA$205^A61,IF(A61='Données projet'!$A$88,'Données projet'!$B$88,BD60+BC61-BL60)))</f>
        <v>363.32307692307688</v>
      </c>
      <c r="BE61" s="13">
        <f>BD61*VLOOKUP('Données projet'!$B$11,Paramètres!$A$1:$I$89,3,0)*VLOOKUP('Données projet'!$B$11,Paramètres!$A$1:$I$89,5,0)</f>
        <v>170.03519999999997</v>
      </c>
      <c r="BF61" s="13">
        <f t="shared" si="37"/>
        <v>43.097907119364415</v>
      </c>
      <c r="BG61" s="20">
        <f t="shared" si="7"/>
        <v>371.20682823289297</v>
      </c>
      <c r="BH61" s="59">
        <f t="shared" si="8"/>
        <v>664.54016156622629</v>
      </c>
      <c r="BI61" s="59">
        <f ca="1">AVERAGE(OFFSET($BH$3,0,0,'Données projet'!$E$11+1,1))-AVERAGE(OFFSET($H$3,0,0,'Données projet'!$E$11+1,1))</f>
        <v>276.78862011733338</v>
      </c>
      <c r="BJ61" s="59">
        <f t="shared" si="38"/>
        <v>202.1678469635836</v>
      </c>
      <c r="BK61" s="15">
        <f>IF(ISNA(VLOOKUP(A61,'Données projet'!$A$87:$I$107,3,0)),0,VLOOKUP(A61,'Données projet'!$A$87:$I$107,3,0))</f>
        <v>3</v>
      </c>
      <c r="BL61" s="15">
        <f>IF(ISNA(VLOOKUP(A61,'Données projet'!$A$87:$I$107,4,0)),0,VLOOKUP(A61,'Données projet'!$A$87:$I$107,4,0))</f>
        <v>80.315384615384616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7.4</v>
      </c>
      <c r="BY61" s="12">
        <f>IF('Données projet'!$A$114&gt;35,BY60+BX61-CG60,IF(A61&lt;'Données projet'!$A$114,$BV$205^A61,IF(A61='Données projet'!$A$114,'Données projet'!$B$114,BY60+BX61-CG60)))</f>
        <v>256.19999999999993</v>
      </c>
      <c r="BZ61" s="13">
        <f>BY61*VLOOKUP('Données projet'!$B$12,Paramètres!$A$1:$I$89,3,0)*VLOOKUP('Données projet'!$B$12,Paramètres!$A$1:$I$89,5,0)</f>
        <v>199.83599999999996</v>
      </c>
      <c r="CA61" s="13">
        <f t="shared" si="39"/>
        <v>49.708123768564604</v>
      </c>
      <c r="CB61" s="20">
        <f t="shared" si="10"/>
        <v>434.62268223024995</v>
      </c>
      <c r="CC61" s="59">
        <f t="shared" si="11"/>
        <v>727.95601556358326</v>
      </c>
      <c r="CD61" s="59">
        <f ca="1">AVERAGE(OFFSET($CC$3,0,0,'Données projet'!$E$12+1,1))-AVERAGE(OFFSET($H$3,0,0,'Données projet'!$E$12+1,1))</f>
        <v>286.5685205631126</v>
      </c>
      <c r="CE61" s="59">
        <f t="shared" si="40"/>
        <v>264.17357326498581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7.8</v>
      </c>
      <c r="N62" s="13">
        <f>IF('Données projet'!$A$36&gt;35,N61+M62-V61,IF(A62&lt;'Données projet'!$A$36,$K$205^A62,IF(A62='Données projet'!$A$36,'Données projet'!$B$36,N61+M62-V61)))</f>
        <v>227.20000000000019</v>
      </c>
      <c r="O62" s="13">
        <f>N62*VLOOKUP('Données projet'!$B$9,Paramètres!$A$1:$I$89,3,0)*VLOOKUP('Données projet'!$B$9,Paramètres!$A$1:$I$89,5,0)</f>
        <v>205.57056000000014</v>
      </c>
      <c r="P62" s="13">
        <f t="shared" si="33"/>
        <v>50.966443946767434</v>
      </c>
      <c r="Q62" s="20">
        <f t="shared" si="53"/>
        <v>446.80194854062023</v>
      </c>
      <c r="R62" s="59">
        <f t="shared" si="0"/>
        <v>740.13528187395355</v>
      </c>
      <c r="S62" s="59">
        <f ca="1">AVERAGE(OFFSET($R$3,0,0,'Données projet'!$E$9+1,1))-AVERAGE(OFFSET($H$3,0,0,'Données projet'!$E$9+1,1))</f>
        <v>346.35147716792028</v>
      </c>
      <c r="T62" s="59">
        <f t="shared" si="34"/>
        <v>231.36959598460686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2.0137906041467112E-2</v>
      </c>
      <c r="AC62" s="22">
        <f t="shared" si="3"/>
        <v>2.0137906041467112E-2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26.375</v>
      </c>
      <c r="AI62" s="13">
        <f>IF('Données projet'!$A$62&gt;35,AI61+AH62-AQ61,IF(A62&lt;'Données projet'!$A$62,$AF$205^A62,IF(A62='Données projet'!$A$62,'Données projet'!$B$62,AI61+AH62-AQ61)))</f>
        <v>631.37500000000023</v>
      </c>
      <c r="AJ62" s="13">
        <f>AI62*VLOOKUP('Données projet'!$B$10,Paramètres!$A$1:$I$89,3,0)*VLOOKUP('Données projet'!$B$10,Paramètres!$A$1:$I$89,5,0)</f>
        <v>377.56225000000018</v>
      </c>
      <c r="AK62" s="13">
        <f t="shared" si="35"/>
        <v>87.212585419564064</v>
      </c>
      <c r="AL62" s="20">
        <f t="shared" si="4"/>
        <v>809.48283835574102</v>
      </c>
      <c r="AM62" s="59">
        <f t="shared" si="5"/>
        <v>1102.8161716890743</v>
      </c>
      <c r="AN62" s="59">
        <f ca="1">AVERAGE(OFFSET($AM$3,0,0,'Données projet'!$E$10+1,1))-AVERAGE(OFFSET($H$3,0,0,'Données projet'!$E$10+1,1))</f>
        <v>559.94918407141222</v>
      </c>
      <c r="AO62" s="59">
        <f t="shared" si="36"/>
        <v>334.6078891555664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19.465959921026023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7.1146932671844925E-3</v>
      </c>
      <c r="AX62" s="21">
        <f t="shared" si="6"/>
        <v>19.473074614293207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13.494230769230782</v>
      </c>
      <c r="BD62" s="12">
        <f>IF('Données projet'!$A$88&gt;35,BD61+BC62-BL61,IF(A62&lt;'Données projet'!$A$88,$BA$205^A62,IF(A62='Données projet'!$A$88,'Données projet'!$B$88,BD61+BC62-BL61)))</f>
        <v>296.50192307692305</v>
      </c>
      <c r="BE62" s="13">
        <f>BD62*VLOOKUP('Données projet'!$B$11,Paramètres!$A$1:$I$89,3,0)*VLOOKUP('Données projet'!$B$11,Paramètres!$A$1:$I$89,5,0)</f>
        <v>138.7629</v>
      </c>
      <c r="BF62" s="13">
        <f t="shared" si="37"/>
        <v>36.01345702727253</v>
      </c>
      <c r="BG62" s="20">
        <f t="shared" si="7"/>
        <v>304.40215515583299</v>
      </c>
      <c r="BH62" s="59">
        <f t="shared" si="8"/>
        <v>597.7354884891663</v>
      </c>
      <c r="BI62" s="59">
        <f ca="1">AVERAGE(OFFSET($BH$3,0,0,'Données projet'!$E$11+1,1))-AVERAGE(OFFSET($H$3,0,0,'Données projet'!$E$11+1,1))</f>
        <v>276.78862011733338</v>
      </c>
      <c r="BJ62" s="59">
        <f t="shared" si="38"/>
        <v>202.1678469635836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7.4</v>
      </c>
      <c r="BY62" s="12">
        <f>IF('Données projet'!$A$114&gt;35,BY61+BX62-CG61,IF(A62&lt;'Données projet'!$A$114,$BV$205^A62,IF(A62='Données projet'!$A$114,'Données projet'!$B$114,BY61+BX62-CG61)))</f>
        <v>263.59999999999991</v>
      </c>
      <c r="BZ62" s="13">
        <f>BY62*VLOOKUP('Données projet'!$B$12,Paramètres!$A$1:$I$89,3,0)*VLOOKUP('Données projet'!$B$12,Paramètres!$A$1:$I$89,5,0)</f>
        <v>205.60799999999995</v>
      </c>
      <c r="CA62" s="13">
        <f t="shared" si="39"/>
        <v>50.97464576911181</v>
      </c>
      <c r="CB62" s="20">
        <f t="shared" si="10"/>
        <v>446.88144138120293</v>
      </c>
      <c r="CC62" s="59">
        <f t="shared" si="11"/>
        <v>740.21477471453625</v>
      </c>
      <c r="CD62" s="59">
        <f ca="1">AVERAGE(OFFSET($CC$3,0,0,'Données projet'!$E$12+1,1))-AVERAGE(OFFSET($H$3,0,0,'Données projet'!$E$12+1,1))</f>
        <v>286.5685205631126</v>
      </c>
      <c r="CE62" s="59">
        <f t="shared" si="40"/>
        <v>264.17357326498581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235</v>
      </c>
      <c r="L63" s="12">
        <f>VLOOKUP(A63,'Données projet'!$A$35:$I$55,9,0)</f>
        <v>7.8</v>
      </c>
      <c r="M63" s="12">
        <f t="array" ref="M63">INDEX(L:L,MIN(IF(ISNUMBER(L63:L259),ROW(L63:L259),"")))</f>
        <v>7.8</v>
      </c>
      <c r="N63" s="13">
        <f>IF('Données projet'!$A$36&gt;35,N62+M63-V62,IF(A63&lt;'Données projet'!$A$36,$K$205^A63,IF(A63='Données projet'!$A$36,'Données projet'!$B$36,N62+M63-V62)))</f>
        <v>235.0000000000002</v>
      </c>
      <c r="O63" s="13">
        <f>N63*VLOOKUP('Données projet'!$B$9,Paramètres!$A$1:$I$89,3,0)*VLOOKUP('Données projet'!$B$9,Paramètres!$A$1:$I$89,5,0)</f>
        <v>212.62800000000016</v>
      </c>
      <c r="P63" s="13">
        <f t="shared" si="33"/>
        <v>52.509453483719085</v>
      </c>
      <c r="Q63" s="20">
        <f t="shared" si="53"/>
        <v>461.78106481747767</v>
      </c>
      <c r="R63" s="59">
        <f t="shared" si="0"/>
        <v>755.11439815081098</v>
      </c>
      <c r="S63" s="59">
        <f ca="1">AVERAGE(OFFSET($R$3,0,0,'Données projet'!$E$9+1,1))-AVERAGE(OFFSET($H$3,0,0,'Données projet'!$E$9+1,1))</f>
        <v>346.35147716792028</v>
      </c>
      <c r="T63" s="59">
        <f t="shared" si="34"/>
        <v>231.36959598460686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42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1.4239649920818939E-2</v>
      </c>
      <c r="AC63" s="22">
        <f t="shared" si="3"/>
        <v>1.4239649920818939E-2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26.375</v>
      </c>
      <c r="AI63" s="13">
        <f>IF('Données projet'!$A$62&gt;35,AI62+AH63-AQ62,IF(A63&lt;'Données projet'!$A$62,$AF$205^A63,IF(A63='Données projet'!$A$62,'Données projet'!$B$62,AI62+AH63-AQ62)))</f>
        <v>657.75000000000023</v>
      </c>
      <c r="AJ63" s="13">
        <f>AI63*VLOOKUP('Données projet'!$B$10,Paramètres!$A$1:$I$89,3,0)*VLOOKUP('Données projet'!$B$10,Paramètres!$A$1:$I$89,5,0)</f>
        <v>393.33450000000016</v>
      </c>
      <c r="AK63" s="13">
        <f t="shared" si="35"/>
        <v>90.424018630546897</v>
      </c>
      <c r="AL63" s="20">
        <f t="shared" si="4"/>
        <v>842.54608661486952</v>
      </c>
      <c r="AM63" s="59">
        <f t="shared" si="5"/>
        <v>1135.8794199482029</v>
      </c>
      <c r="AN63" s="59">
        <f ca="1">AVERAGE(OFFSET($AM$3,0,0,'Données projet'!$E$10+1,1))-AVERAGE(OFFSET($H$3,0,0,'Données projet'!$E$10+1,1))</f>
        <v>559.94918407141222</v>
      </c>
      <c r="AO63" s="59">
        <f t="shared" si="36"/>
        <v>334.6078891555664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19.084244320037886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5.0308478552884284E-3</v>
      </c>
      <c r="AX63" s="21">
        <f t="shared" si="6"/>
        <v>19.089275167893174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13.494230769230782</v>
      </c>
      <c r="BD63" s="12">
        <f>IF('Données projet'!$A$88&gt;35,BD62+BC63-BL62,IF(A63&lt;'Données projet'!$A$88,$BA$205^A63,IF(A63='Données projet'!$A$88,'Données projet'!$B$88,BD62+BC63-BL62)))</f>
        <v>309.99615384615385</v>
      </c>
      <c r="BE63" s="13">
        <f>BD63*VLOOKUP('Données projet'!$B$11,Paramètres!$A$1:$I$89,3,0)*VLOOKUP('Données projet'!$B$11,Paramètres!$A$1:$I$89,5,0)</f>
        <v>145.07820000000001</v>
      </c>
      <c r="BF63" s="13">
        <f t="shared" si="37"/>
        <v>37.457926419899621</v>
      </c>
      <c r="BG63" s="20">
        <f t="shared" si="7"/>
        <v>317.91708684799181</v>
      </c>
      <c r="BH63" s="59">
        <f t="shared" si="8"/>
        <v>611.25042018132513</v>
      </c>
      <c r="BI63" s="59">
        <f ca="1">AVERAGE(OFFSET($BH$3,0,0,'Données projet'!$E$11+1,1))-AVERAGE(OFFSET($H$3,0,0,'Données projet'!$E$11+1,1))</f>
        <v>276.78862011733338</v>
      </c>
      <c r="BJ63" s="59">
        <f t="shared" si="38"/>
        <v>202.1678469635836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271</v>
      </c>
      <c r="BW63" s="12">
        <f>VLOOKUP(A63,'Données projet'!$A$113:$I$133,9,0)</f>
        <v>7.4</v>
      </c>
      <c r="BX63" s="12">
        <f t="array" ref="BX63">INDEX(BW:BW,MIN(IF(ISNUMBER(BW63:BW259),ROW(BW63:BW259),"")))</f>
        <v>7.4</v>
      </c>
      <c r="BY63" s="12">
        <f>IF('Données projet'!$A$114&gt;35,BY62+BX63-CG62,IF(A63&lt;'Données projet'!$A$114,$BV$205^A63,IF(A63='Données projet'!$A$114,'Données projet'!$B$114,BY62+BX63-CG62)))</f>
        <v>270.99999999999989</v>
      </c>
      <c r="BZ63" s="13">
        <f>BY63*VLOOKUP('Données projet'!$B$12,Paramètres!$A$1:$I$89,3,0)*VLOOKUP('Données projet'!$B$12,Paramètres!$A$1:$I$89,5,0)</f>
        <v>211.37999999999991</v>
      </c>
      <c r="CA63" s="13">
        <f t="shared" si="39"/>
        <v>52.237035364084207</v>
      </c>
      <c r="CB63" s="20">
        <f t="shared" si="10"/>
        <v>459.1330032591132</v>
      </c>
      <c r="CC63" s="59">
        <f t="shared" si="11"/>
        <v>752.46633659244651</v>
      </c>
      <c r="CD63" s="59">
        <f ca="1">AVERAGE(OFFSET($CC$3,0,0,'Données projet'!$E$12+1,1))-AVERAGE(OFFSET($H$3,0,0,'Données projet'!$E$12+1,1))</f>
        <v>286.5685205631126</v>
      </c>
      <c r="CE63" s="59">
        <f t="shared" si="40"/>
        <v>264.17357326498581</v>
      </c>
      <c r="CF63" s="15">
        <f>IF(ISNA(VLOOKUP(A63,'Données projet'!$A$113:$I$133,3,0)),0,VLOOKUP(A63,'Données projet'!$A$113:$I$133,3,0))</f>
        <v>8</v>
      </c>
      <c r="CG63" s="15">
        <f>IF(ISNA(VLOOKUP(A63,'Données projet'!$A$113:$I$133,4,0)),0,VLOOKUP(A63,'Données projet'!$A$113:$I$133,4,0))</f>
        <v>27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</v>
      </c>
      <c r="N64" s="13">
        <f>IF('Données projet'!$A$36&gt;35,N63+M64-V63,IF(A64&lt;'Données projet'!$A$36,$K$205^A64,IF(A64='Données projet'!$A$36,'Données projet'!$B$36,N63+M64-V63)))</f>
        <v>200.0000000000002</v>
      </c>
      <c r="O64" s="13">
        <f>N64*VLOOKUP('Données projet'!$B$9,Paramètres!$A$1:$I$89,3,0)*VLOOKUP('Données projet'!$B$9,Paramètres!$A$1:$I$89,5,0)</f>
        <v>180.96000000000018</v>
      </c>
      <c r="P64" s="13">
        <f t="shared" si="33"/>
        <v>45.535702314871806</v>
      </c>
      <c r="Q64" s="20">
        <f t="shared" si="53"/>
        <v>394.48001486506865</v>
      </c>
      <c r="R64" s="59">
        <f t="shared" si="0"/>
        <v>687.81334819840197</v>
      </c>
      <c r="S64" s="59">
        <f ca="1">AVERAGE(OFFSET($R$3,0,0,'Données projet'!$E$9+1,1))-AVERAGE(OFFSET($H$3,0,0,'Données projet'!$E$9+1,1))</f>
        <v>346.35147716792028</v>
      </c>
      <c r="T64" s="59">
        <f t="shared" si="34"/>
        <v>231.36959598460686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1.0068953020733556E-2</v>
      </c>
      <c r="AC64" s="22">
        <f t="shared" si="3"/>
        <v>1.0068953020733556E-2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26.375</v>
      </c>
      <c r="AI64" s="13">
        <f>IF('Données projet'!$A$62&gt;35,AI63+AH64-AQ63,IF(A64&lt;'Données projet'!$A$62,$AF$205^A64,IF(A64='Données projet'!$A$62,'Données projet'!$B$62,AI63+AH64-AQ63)))</f>
        <v>684.12500000000023</v>
      </c>
      <c r="AJ64" s="13">
        <f>AI64*VLOOKUP('Données projet'!$B$10,Paramètres!$A$1:$I$89,3,0)*VLOOKUP('Données projet'!$B$10,Paramètres!$A$1:$I$89,5,0)</f>
        <v>409.10675000000015</v>
      </c>
      <c r="AK64" s="13">
        <f t="shared" si="35"/>
        <v>93.620493161191703</v>
      </c>
      <c r="AL64" s="20">
        <f t="shared" si="4"/>
        <v>875.58328183907577</v>
      </c>
      <c r="AM64" s="59">
        <f t="shared" si="5"/>
        <v>1168.9166151724091</v>
      </c>
      <c r="AN64" s="59">
        <f ca="1">AVERAGE(OFFSET($AM$3,0,0,'Données projet'!$E$10+1,1))-AVERAGE(OFFSET($H$3,0,0,'Données projet'!$E$10+1,1))</f>
        <v>559.94918407141222</v>
      </c>
      <c r="AO64" s="59">
        <f t="shared" si="36"/>
        <v>334.6078891555664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18.710013929161601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3.5573466335922467E-3</v>
      </c>
      <c r="AX64" s="21">
        <f t="shared" si="6"/>
        <v>18.713571275795193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13.494230769230782</v>
      </c>
      <c r="BD64" s="12">
        <f>IF('Données projet'!$A$88&gt;35,BD63+BC64-BL63,IF(A64&lt;'Données projet'!$A$88,$BA$205^A64,IF(A64='Données projet'!$A$88,'Données projet'!$B$88,BD63+BC64-BL63)))</f>
        <v>323.49038461538464</v>
      </c>
      <c r="BE64" s="13">
        <f>BD64*VLOOKUP('Données projet'!$B$11,Paramètres!$A$1:$I$89,3,0)*VLOOKUP('Données projet'!$B$11,Paramètres!$A$1:$I$89,5,0)</f>
        <v>151.39350000000002</v>
      </c>
      <c r="BF64" s="13">
        <f t="shared" si="37"/>
        <v>38.895092864516194</v>
      </c>
      <c r="BG64" s="20">
        <f t="shared" si="7"/>
        <v>331.4192992390324</v>
      </c>
      <c r="BH64" s="59">
        <f t="shared" si="8"/>
        <v>624.75263257236566</v>
      </c>
      <c r="BI64" s="59">
        <f ca="1">AVERAGE(OFFSET($BH$3,0,0,'Données projet'!$E$11+1,1))-AVERAGE(OFFSET($H$3,0,0,'Données projet'!$E$11+1,1))</f>
        <v>276.78862011733338</v>
      </c>
      <c r="BJ64" s="59">
        <f t="shared" si="38"/>
        <v>202.1678469635836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6.4</v>
      </c>
      <c r="BY64" s="12">
        <f>IF('Données projet'!$A$114&gt;35,BY63+BX64-CG63,IF(A64&lt;'Données projet'!$A$114,$BV$205^A64,IF(A64='Données projet'!$A$114,'Données projet'!$B$114,BY63+BX64-CG63)))</f>
        <v>250.39999999999986</v>
      </c>
      <c r="BZ64" s="13">
        <f>BY64*VLOOKUP('Données projet'!$B$12,Paramètres!$A$1:$I$89,3,0)*VLOOKUP('Données projet'!$B$12,Paramètres!$A$1:$I$89,5,0)</f>
        <v>195.3119999999999</v>
      </c>
      <c r="CA64" s="13">
        <f t="shared" si="39"/>
        <v>48.712469285758459</v>
      </c>
      <c r="CB64" s="20">
        <f t="shared" si="10"/>
        <v>425.00928400602908</v>
      </c>
      <c r="CC64" s="59">
        <f t="shared" si="11"/>
        <v>718.34261733936239</v>
      </c>
      <c r="CD64" s="59">
        <f ca="1">AVERAGE(OFFSET($CC$3,0,0,'Données projet'!$E$12+1,1))-AVERAGE(OFFSET($H$3,0,0,'Données projet'!$E$12+1,1))</f>
        <v>286.5685205631126</v>
      </c>
      <c r="CE64" s="59">
        <f t="shared" si="40"/>
        <v>264.17357326498581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</v>
      </c>
      <c r="N65" s="13">
        <f>IF('Données projet'!$A$36&gt;35,N64+M65-V64,IF(A65&lt;'Données projet'!$A$36,$K$205^A65,IF(A65='Données projet'!$A$36,'Données projet'!$B$36,N64+M65-V64)))</f>
        <v>207.0000000000002</v>
      </c>
      <c r="O65" s="13">
        <f>N65*VLOOKUP('Données projet'!$B$9,Paramètres!$A$1:$I$89,3,0)*VLOOKUP('Données projet'!$B$9,Paramètres!$A$1:$I$89,5,0)</f>
        <v>187.29360000000017</v>
      </c>
      <c r="P65" s="13">
        <f t="shared" si="33"/>
        <v>46.941107550760499</v>
      </c>
      <c r="Q65" s="20">
        <f t="shared" si="53"/>
        <v>407.95878231757479</v>
      </c>
      <c r="R65" s="59">
        <f t="shared" si="0"/>
        <v>701.29211565090804</v>
      </c>
      <c r="S65" s="59">
        <f ca="1">AVERAGE(OFFSET($R$3,0,0,'Données projet'!$E$9+1,1))-AVERAGE(OFFSET($H$3,0,0,'Données projet'!$E$9+1,1))</f>
        <v>346.35147716792028</v>
      </c>
      <c r="T65" s="59">
        <f t="shared" si="34"/>
        <v>231.36959598460686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7.1198249604094693E-3</v>
      </c>
      <c r="AC65" s="22">
        <f t="shared" si="3"/>
        <v>7.1198249604094693E-3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26.375</v>
      </c>
      <c r="AI65" s="13">
        <f>IF('Données projet'!$A$62&gt;35,AI64+AH65-AQ64,IF(A65&lt;'Données projet'!$A$62,$AF$205^A65,IF(A65='Données projet'!$A$62,'Données projet'!$B$62,AI64+AH65-AQ64)))</f>
        <v>710.50000000000023</v>
      </c>
      <c r="AJ65" s="13">
        <f>AI65*VLOOKUP('Données projet'!$B$10,Paramètres!$A$1:$I$89,3,0)*VLOOKUP('Données projet'!$B$10,Paramètres!$A$1:$I$89,5,0)</f>
        <v>424.87900000000013</v>
      </c>
      <c r="AK65" s="13">
        <f t="shared" si="35"/>
        <v>96.802651721646797</v>
      </c>
      <c r="AL65" s="20">
        <f t="shared" si="4"/>
        <v>908.59554341520163</v>
      </c>
      <c r="AM65" s="59">
        <f t="shared" si="5"/>
        <v>1201.928876748535</v>
      </c>
      <c r="AN65" s="59">
        <f ca="1">AVERAGE(OFFSET($AM$3,0,0,'Données projet'!$E$10+1,1))-AVERAGE(OFFSET($H$3,0,0,'Données projet'!$E$10+1,1))</f>
        <v>559.94918407141222</v>
      </c>
      <c r="AO65" s="59">
        <f t="shared" si="36"/>
        <v>334.6078891555664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18.343121967992399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2.5154239276442142E-3</v>
      </c>
      <c r="AX65" s="21">
        <f t="shared" si="6"/>
        <v>18.345637391920043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>
        <f>VLOOKUP(A65,'Données projet'!$A$87:$I$107,2,0)</f>
        <v>336.98461538461538</v>
      </c>
      <c r="BB65" s="12">
        <f>VLOOKUP(A65,'Données projet'!$A$87:$I$107,9,0)</f>
        <v>13.494230769230782</v>
      </c>
      <c r="BC65" s="12">
        <f t="array" ref="BC65">INDEX(BB:BB,MIN(IF(ISNUMBER(BB65:BB261),ROW(BB65:BB261),"")))</f>
        <v>13.494230769230782</v>
      </c>
      <c r="BD65" s="12">
        <f>IF('Données projet'!$A$88&gt;35,BD64+BC65-BL64,IF(A65&lt;'Données projet'!$A$88,$BA$205^A65,IF(A65='Données projet'!$A$88,'Données projet'!$B$88,BD64+BC65-BL64)))</f>
        <v>336.98461538461544</v>
      </c>
      <c r="BE65" s="13">
        <f>BD65*VLOOKUP('Données projet'!$B$11,Paramètres!$A$1:$I$89,3,0)*VLOOKUP('Données projet'!$B$11,Paramètres!$A$1:$I$89,5,0)</f>
        <v>157.70880000000002</v>
      </c>
      <c r="BF65" s="13">
        <f t="shared" si="37"/>
        <v>40.325295836136753</v>
      </c>
      <c r="BG65" s="20">
        <f t="shared" si="7"/>
        <v>344.90938358127147</v>
      </c>
      <c r="BH65" s="59">
        <f t="shared" si="8"/>
        <v>638.24271691460478</v>
      </c>
      <c r="BI65" s="59">
        <f ca="1">AVERAGE(OFFSET($BH$3,0,0,'Données projet'!$E$11+1,1))-AVERAGE(OFFSET($H$3,0,0,'Données projet'!$E$11+1,1))</f>
        <v>276.78862011733338</v>
      </c>
      <c r="BJ65" s="59">
        <f t="shared" si="38"/>
        <v>202.1678469635836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6.4</v>
      </c>
      <c r="BY65" s="12">
        <f>IF('Données projet'!$A$114&gt;35,BY64+BX65-CG64,IF(A65&lt;'Données projet'!$A$114,$BV$205^A65,IF(A65='Données projet'!$A$114,'Données projet'!$B$114,BY64+BX65-CG64)))</f>
        <v>256.79999999999984</v>
      </c>
      <c r="BZ65" s="13">
        <f>BY65*VLOOKUP('Données projet'!$B$12,Paramètres!$A$1:$I$89,3,0)*VLOOKUP('Données projet'!$B$12,Paramètres!$A$1:$I$89,5,0)</f>
        <v>200.30399999999989</v>
      </c>
      <c r="CA65" s="13">
        <f t="shared" si="39"/>
        <v>49.810971817279096</v>
      </c>
      <c r="CB65" s="20">
        <f t="shared" si="10"/>
        <v>435.61690924842759</v>
      </c>
      <c r="CC65" s="59">
        <f t="shared" si="11"/>
        <v>728.9502425817609</v>
      </c>
      <c r="CD65" s="59">
        <f ca="1">AVERAGE(OFFSET($CC$3,0,0,'Données projet'!$E$12+1,1))-AVERAGE(OFFSET($H$3,0,0,'Données projet'!$E$12+1,1))</f>
        <v>286.5685205631126</v>
      </c>
      <c r="CE65" s="59">
        <f t="shared" si="40"/>
        <v>264.17357326498581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</v>
      </c>
      <c r="N66" s="13">
        <f>IF('Données projet'!$A$36&gt;35,N65+M66-V65,IF(A66&lt;'Données projet'!$A$36,$K$205^A66,IF(A66='Données projet'!$A$36,'Données projet'!$B$36,N65+M66-V65)))</f>
        <v>214.0000000000002</v>
      </c>
      <c r="O66" s="13">
        <f>N66*VLOOKUP('Données projet'!$B$9,Paramètres!$A$1:$I$89,3,0)*VLOOKUP('Données projet'!$B$9,Paramètres!$A$1:$I$89,5,0)</f>
        <v>193.62720000000016</v>
      </c>
      <c r="P66" s="13">
        <f t="shared" si="33"/>
        <v>48.340990547231236</v>
      </c>
      <c r="Q66" s="20">
        <f t="shared" si="53"/>
        <v>421.42793186976132</v>
      </c>
      <c r="R66" s="59">
        <f t="shared" si="0"/>
        <v>714.76126520309458</v>
      </c>
      <c r="S66" s="59">
        <f ca="1">AVERAGE(OFFSET($R$3,0,0,'Données projet'!$E$9+1,1))-AVERAGE(OFFSET($H$3,0,0,'Données projet'!$E$9+1,1))</f>
        <v>346.35147716792028</v>
      </c>
      <c r="T66" s="59">
        <f t="shared" si="34"/>
        <v>231.36959598460686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5.0344765103667779E-3</v>
      </c>
      <c r="AC66" s="22">
        <f t="shared" si="3"/>
        <v>5.0344765103667779E-3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26.375</v>
      </c>
      <c r="AI66" s="13">
        <f>IF('Données projet'!$A$62&gt;35,AI65+AH66-AQ65,IF(A66&lt;'Données projet'!$A$62,$AF$205^A66,IF(A66='Données projet'!$A$62,'Données projet'!$B$62,AI65+AH66-AQ65)))</f>
        <v>736.87500000000023</v>
      </c>
      <c r="AJ66" s="13">
        <f>AI66*VLOOKUP('Données projet'!$B$10,Paramètres!$A$1:$I$89,3,0)*VLOOKUP('Données projet'!$B$10,Paramètres!$A$1:$I$89,5,0)</f>
        <v>440.65125000000012</v>
      </c>
      <c r="AK66" s="13">
        <f t="shared" si="35"/>
        <v>99.971086601464961</v>
      </c>
      <c r="AL66" s="20">
        <f t="shared" si="4"/>
        <v>941.58390291421836</v>
      </c>
      <c r="AM66" s="59">
        <f t="shared" si="5"/>
        <v>1234.9172362475517</v>
      </c>
      <c r="AN66" s="59">
        <f ca="1">AVERAGE(OFFSET($AM$3,0,0,'Données projet'!$E$10+1,1))-AVERAGE(OFFSET($H$3,0,0,'Données projet'!$E$10+1,1))</f>
        <v>559.94918407141222</v>
      </c>
      <c r="AO66" s="59">
        <f t="shared" si="36"/>
        <v>334.6078891555664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17.983424534399727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1.7786733167961233E-3</v>
      </c>
      <c r="AX66" s="21">
        <f t="shared" si="6"/>
        <v>17.985203207716523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13.95192307692308</v>
      </c>
      <c r="BD66" s="12">
        <f>IF('Données projet'!$A$88&gt;35,BD65+BC66-BL65,IF(A66&lt;'Données projet'!$A$88,$BA$205^A66,IF(A66='Données projet'!$A$88,'Données projet'!$B$88,BD65+BC66-BL65)))</f>
        <v>350.93653846153853</v>
      </c>
      <c r="BE66" s="13">
        <f>BD66*VLOOKUP('Données projet'!$B$11,Paramètres!$A$1:$I$89,3,0)*VLOOKUP('Données projet'!$B$11,Paramètres!$A$1:$I$89,5,0)</f>
        <v>164.23830000000004</v>
      </c>
      <c r="BF66" s="13">
        <f t="shared" si="37"/>
        <v>41.797016343281456</v>
      </c>
      <c r="BG66" s="20">
        <f t="shared" si="7"/>
        <v>358.84484263121522</v>
      </c>
      <c r="BH66" s="59">
        <f t="shared" si="8"/>
        <v>652.17817596454847</v>
      </c>
      <c r="BI66" s="59">
        <f ca="1">AVERAGE(OFFSET($BH$3,0,0,'Données projet'!$E$11+1,1))-AVERAGE(OFFSET($H$3,0,0,'Données projet'!$E$11+1,1))</f>
        <v>276.78862011733338</v>
      </c>
      <c r="BJ66" s="59">
        <f t="shared" si="38"/>
        <v>202.1678469635836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6.4</v>
      </c>
      <c r="BY66" s="12">
        <f>IF('Données projet'!$A$114&gt;35,BY65+BX66-CG65,IF(A66&lt;'Données projet'!$A$114,$BV$205^A66,IF(A66='Données projet'!$A$114,'Données projet'!$B$114,BY65+BX66-CG65)))</f>
        <v>263.19999999999982</v>
      </c>
      <c r="BZ66" s="13">
        <f>BY66*VLOOKUP('Données projet'!$B$12,Paramètres!$A$1:$I$89,3,0)*VLOOKUP('Données projet'!$B$12,Paramètres!$A$1:$I$89,5,0)</f>
        <v>205.29599999999988</v>
      </c>
      <c r="CA66" s="13">
        <f t="shared" si="39"/>
        <v>50.906291934375353</v>
      </c>
      <c r="CB66" s="20">
        <f t="shared" si="10"/>
        <v>446.21899178570357</v>
      </c>
      <c r="CC66" s="59">
        <f t="shared" si="11"/>
        <v>739.55232511903682</v>
      </c>
      <c r="CD66" s="59">
        <f ca="1">AVERAGE(OFFSET($CC$3,0,0,'Données projet'!$E$12+1,1))-AVERAGE(OFFSET($H$3,0,0,'Données projet'!$E$12+1,1))</f>
        <v>286.5685205631126</v>
      </c>
      <c r="CE66" s="59">
        <f t="shared" si="40"/>
        <v>264.17357326498581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</v>
      </c>
      <c r="N67" s="13">
        <f>IF('Données projet'!$A$36&gt;35,N66+M67-V66,IF(A67&lt;'Données projet'!$A$36,$K$205^A67,IF(A67='Données projet'!$A$36,'Données projet'!$B$36,N66+M67-V66)))</f>
        <v>221.0000000000002</v>
      </c>
      <c r="O67" s="13">
        <f>N67*VLOOKUP('Données projet'!$B$9,Paramètres!$A$1:$I$89,3,0)*VLOOKUP('Données projet'!$B$9,Paramètres!$A$1:$I$89,5,0)</f>
        <v>199.96080000000021</v>
      </c>
      <c r="P67" s="13">
        <f t="shared" si="33"/>
        <v>49.735552653569307</v>
      </c>
      <c r="Q67" s="20">
        <f t="shared" ref="Q67:Q98" si="54">(O67+P67)*0.475*44/12</f>
        <v>434.88781420496684</v>
      </c>
      <c r="R67" s="59">
        <f t="shared" ref="R67:R130" si="55">Q67+(I67+J67)*44/12</f>
        <v>728.2211475383001</v>
      </c>
      <c r="S67" s="59">
        <f ca="1">AVERAGE(OFFSET($R$3,0,0,'Données projet'!$E$9+1,1))-AVERAGE(OFFSET($H$3,0,0,'Données projet'!$E$9+1,1))</f>
        <v>346.35147716792028</v>
      </c>
      <c r="T67" s="59">
        <f t="shared" si="34"/>
        <v>231.36959598460686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3.5599124802047346E-3</v>
      </c>
      <c r="AC67" s="22">
        <f t="shared" si="3"/>
        <v>3.5599124802047346E-3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26.375</v>
      </c>
      <c r="AI67" s="13">
        <f>IF('Données projet'!$A$62&gt;35,AI66+AH67-AQ66,IF(A67&lt;'Données projet'!$A$62,$AF$205^A67,IF(A67='Données projet'!$A$62,'Données projet'!$B$62,AI66+AH67-AQ66)))</f>
        <v>763.25000000000023</v>
      </c>
      <c r="AJ67" s="13">
        <f>AI67*VLOOKUP('Données projet'!$B$10,Paramètres!$A$1:$I$89,3,0)*VLOOKUP('Données projet'!$B$10,Paramètres!$A$1:$I$89,5,0)</f>
        <v>456.42350000000022</v>
      </c>
      <c r="AK67" s="13">
        <f t="shared" si="35"/>
        <v>103.12634528701392</v>
      </c>
      <c r="AL67" s="20">
        <f t="shared" si="4"/>
        <v>974.54931387488284</v>
      </c>
      <c r="AM67" s="59">
        <f t="shared" si="5"/>
        <v>1267.8826472082162</v>
      </c>
      <c r="AN67" s="59">
        <f ca="1">AVERAGE(OFFSET($AM$3,0,0,'Données projet'!$E$10+1,1))-AVERAGE(OFFSET($H$3,0,0,'Données projet'!$E$10+1,1))</f>
        <v>559.94918407141222</v>
      </c>
      <c r="AO67" s="59">
        <f t="shared" si="36"/>
        <v>334.6078891555664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17.630780548086037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1.2577119638221071E-3</v>
      </c>
      <c r="AX67" s="21">
        <f t="shared" si="6"/>
        <v>17.63203826004986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13.95192307692308</v>
      </c>
      <c r="BD67" s="12">
        <f>IF('Données projet'!$A$88&gt;35,BD66+BC67-BL66,IF(A67&lt;'Données projet'!$A$88,$BA$205^A67,IF(A67='Données projet'!$A$88,'Données projet'!$B$88,BD66+BC67-BL66)))</f>
        <v>364.88846153846163</v>
      </c>
      <c r="BE67" s="13">
        <f>BD67*VLOOKUP('Données projet'!$B$11,Paramètres!$A$1:$I$89,3,0)*VLOOKUP('Données projet'!$B$11,Paramètres!$A$1:$I$89,5,0)</f>
        <v>170.76780000000005</v>
      </c>
      <c r="BF67" s="13">
        <f t="shared" si="37"/>
        <v>43.261940118140018</v>
      </c>
      <c r="BG67" s="20">
        <f t="shared" si="7"/>
        <v>372.76846403909394</v>
      </c>
      <c r="BH67" s="59">
        <f t="shared" si="8"/>
        <v>666.1017973724272</v>
      </c>
      <c r="BI67" s="59">
        <f ca="1">AVERAGE(OFFSET($BH$3,0,0,'Données projet'!$E$11+1,1))-AVERAGE(OFFSET($H$3,0,0,'Données projet'!$E$11+1,1))</f>
        <v>276.78862011733338</v>
      </c>
      <c r="BJ67" s="59">
        <f t="shared" si="38"/>
        <v>202.1678469635836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6.4</v>
      </c>
      <c r="BY67" s="12">
        <f>IF('Données projet'!$A$114&gt;35,BY66+BX67-CG66,IF(A67&lt;'Données projet'!$A$114,$BV$205^A67,IF(A67='Données projet'!$A$114,'Données projet'!$B$114,BY66+BX67-CG66)))</f>
        <v>269.5999999999998</v>
      </c>
      <c r="BZ67" s="13">
        <f>BY67*VLOOKUP('Données projet'!$B$12,Paramètres!$A$1:$I$89,3,0)*VLOOKUP('Données projet'!$B$12,Paramètres!$A$1:$I$89,5,0)</f>
        <v>210.28799999999984</v>
      </c>
      <c r="CA67" s="13">
        <f t="shared" si="39"/>
        <v>51.998515923525652</v>
      </c>
      <c r="CB67" s="20">
        <f t="shared" si="10"/>
        <v>456.81568190014019</v>
      </c>
      <c r="CC67" s="59">
        <f t="shared" si="11"/>
        <v>750.14901523347351</v>
      </c>
      <c r="CD67" s="59">
        <f ca="1">AVERAGE(OFFSET($CC$3,0,0,'Données projet'!$E$12+1,1))-AVERAGE(OFFSET($H$3,0,0,'Données projet'!$E$12+1,1))</f>
        <v>286.5685205631126</v>
      </c>
      <c r="CE67" s="59">
        <f t="shared" si="40"/>
        <v>264.17357326498581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7</v>
      </c>
      <c r="N68" s="13">
        <f>IF('Données projet'!$A$36&gt;35,N67+M68-V67,IF(A68&lt;'Données projet'!$A$36,$K$205^A68,IF(A68='Données projet'!$A$36,'Données projet'!$B$36,N67+M68-V67)))</f>
        <v>228.0000000000002</v>
      </c>
      <c r="O68" s="13">
        <f>N68*VLOOKUP('Données projet'!$B$9,Paramètres!$A$1:$I$89,3,0)*VLOOKUP('Données projet'!$B$9,Paramètres!$A$1:$I$89,5,0)</f>
        <v>206.29440000000017</v>
      </c>
      <c r="P68" s="13">
        <f t="shared" si="33"/>
        <v>51.124981739560774</v>
      </c>
      <c r="Q68" s="20">
        <f t="shared" si="54"/>
        <v>448.33875652973529</v>
      </c>
      <c r="R68" s="59">
        <f t="shared" si="55"/>
        <v>741.67208986306855</v>
      </c>
      <c r="S68" s="59">
        <f ca="1">AVERAGE(OFFSET($R$3,0,0,'Données projet'!$E$9+1,1))-AVERAGE(OFFSET($H$3,0,0,'Données projet'!$E$9+1,1))</f>
        <v>346.35147716792028</v>
      </c>
      <c r="T68" s="59">
        <f t="shared" si="34"/>
        <v>231.36959598460686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2.5172382551833889E-3</v>
      </c>
      <c r="AC68" s="22">
        <f t="shared" ref="AC68:AC131" si="57">SUM(Z68:AB68)</f>
        <v>2.5172382551833889E-3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26.375</v>
      </c>
      <c r="AI68" s="13">
        <f>IF('Données projet'!$A$62&gt;35,AI67+AH68-AQ67,IF(A68&lt;'Données projet'!$A$62,$AF$205^A68,IF(A68='Données projet'!$A$62,'Données projet'!$B$62,AI67+AH68-AQ67)))</f>
        <v>789.62500000000023</v>
      </c>
      <c r="AJ68" s="13">
        <f>AI68*VLOOKUP('Données projet'!$B$10,Paramètres!$A$1:$I$89,3,0)*VLOOKUP('Données projet'!$B$10,Paramètres!$A$1:$I$89,5,0)</f>
        <v>472.1957500000002</v>
      </c>
      <c r="AK68" s="13">
        <f t="shared" si="35"/>
        <v>106.26893528060835</v>
      </c>
      <c r="AL68" s="20">
        <f t="shared" ref="AL68:AL131" si="58">(AJ68+AK68)*0.475*44/12</f>
        <v>1007.4926601970598</v>
      </c>
      <c r="AM68" s="59">
        <f t="shared" ref="AM68:AM131" si="59">AL68+(AD68+AE68)*44/12</f>
        <v>1300.8259935303931</v>
      </c>
      <c r="AN68" s="59">
        <f ca="1">AVERAGE(OFFSET($AM$3,0,0,'Données projet'!$E$10+1,1))-AVERAGE(OFFSET($H$3,0,0,'Données projet'!$E$10+1,1))</f>
        <v>559.94918407141222</v>
      </c>
      <c r="AO68" s="59">
        <f t="shared" si="36"/>
        <v>334.6078891555664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17.285051695252363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8.8933665839806167E-4</v>
      </c>
      <c r="AX68" s="21">
        <f t="shared" ref="AX68:AX131" si="60">SUM(AU68:AW68)</f>
        <v>17.285941031910763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13.95192307692308</v>
      </c>
      <c r="BD68" s="12">
        <f>IF('Données projet'!$A$88&gt;35,BD67+BC68-BL67,IF(A68&lt;'Données projet'!$A$88,$BA$205^A68,IF(A68='Données projet'!$A$88,'Données projet'!$B$88,BD67+BC68-BL67)))</f>
        <v>378.84038461538472</v>
      </c>
      <c r="BE68" s="13">
        <f>BD68*VLOOKUP('Données projet'!$B$11,Paramètres!$A$1:$I$89,3,0)*VLOOKUP('Données projet'!$B$11,Paramètres!$A$1:$I$89,5,0)</f>
        <v>177.29730000000006</v>
      </c>
      <c r="BF68" s="13">
        <f t="shared" si="37"/>
        <v>44.720356790586408</v>
      </c>
      <c r="BG68" s="20">
        <f t="shared" ref="BG68:BG131" si="61">(BE68+BF68)*0.475*44/12</f>
        <v>386.68075224360473</v>
      </c>
      <c r="BH68" s="59">
        <f t="shared" ref="BH68:BH131" si="62">BG68+(AY68+AZ68)*44/12</f>
        <v>680.01408557693799</v>
      </c>
      <c r="BI68" s="59">
        <f ca="1">AVERAGE(OFFSET($BH$3,0,0,'Données projet'!$E$11+1,1))-AVERAGE(OFFSET($H$3,0,0,'Données projet'!$E$11+1,1))</f>
        <v>276.78862011733338</v>
      </c>
      <c r="BJ68" s="59">
        <f t="shared" si="38"/>
        <v>202.1678469635836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276</v>
      </c>
      <c r="BW68" s="12">
        <f>VLOOKUP(A68,'Données projet'!$A$113:$I$133,9,0)</f>
        <v>6.4</v>
      </c>
      <c r="BX68" s="12">
        <f t="array" ref="BX68">INDEX(BW:BW,MIN(IF(ISNUMBER(BW68:BW264),ROW(BW68:BW264),"")))</f>
        <v>6.4</v>
      </c>
      <c r="BY68" s="12">
        <f>IF('Données projet'!$A$114&gt;35,BY67+BX68-CG67,IF(A68&lt;'Données projet'!$A$114,$BV$205^A68,IF(A68='Données projet'!$A$114,'Données projet'!$B$114,BY67+BX68-CG67)))</f>
        <v>275.99999999999977</v>
      </c>
      <c r="BZ68" s="13">
        <f>BY68*VLOOKUP('Données projet'!$B$12,Paramètres!$A$1:$I$89,3,0)*VLOOKUP('Données projet'!$B$12,Paramètres!$A$1:$I$89,5,0)</f>
        <v>215.27999999999983</v>
      </c>
      <c r="CA68" s="13">
        <f t="shared" si="39"/>
        <v>53.087725740853138</v>
      </c>
      <c r="CB68" s="20">
        <f t="shared" ref="CB68:CB131" si="64">(BZ68+CA68)*0.475*44/12</f>
        <v>467.40712233198559</v>
      </c>
      <c r="CC68" s="59">
        <f t="shared" ref="CC68:CC131" si="65">CB68+(BT68+BU68)*44/12</f>
        <v>760.7404556653189</v>
      </c>
      <c r="CD68" s="59">
        <f ca="1">AVERAGE(OFFSET($CC$3,0,0,'Données projet'!$E$12+1,1))-AVERAGE(OFFSET($H$3,0,0,'Données projet'!$E$12+1,1))</f>
        <v>286.5685205631126</v>
      </c>
      <c r="CE68" s="59">
        <f t="shared" si="40"/>
        <v>264.17357326498581</v>
      </c>
      <c r="CF68" s="15">
        <f>IF(ISNA(VLOOKUP(A68,'Données projet'!$A$113:$I$133,3,0)),0,VLOOKUP(A68,'Données projet'!$A$113:$I$133,3,0))</f>
        <v>9</v>
      </c>
      <c r="CG68" s="15">
        <f>IF(ISNA(VLOOKUP(A68,'Données projet'!$A$113:$I$133,4,0)),0,VLOOKUP(A68,'Données projet'!$A$113:$I$133,4,0))</f>
        <v>26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7</v>
      </c>
      <c r="N69" s="13">
        <f>IF('Données projet'!$A$36&gt;35,N68+M69-V68,IF(A69&lt;'Données projet'!$A$36,$K$205^A69,IF(A69='Données projet'!$A$36,'Données projet'!$B$36,N68+M69-V68)))</f>
        <v>235.0000000000002</v>
      </c>
      <c r="O69" s="13">
        <f>N69*VLOOKUP('Données projet'!$B$9,Paramètres!$A$1:$I$89,3,0)*VLOOKUP('Données projet'!$B$9,Paramètres!$A$1:$I$89,5,0)</f>
        <v>212.62800000000016</v>
      </c>
      <c r="P69" s="13">
        <f t="shared" ref="P69:P132" si="87">EXP(-1.0587+0.8836*LN(O69)+0.284)</f>
        <v>52.509453483719085</v>
      </c>
      <c r="Q69" s="20">
        <f t="shared" si="54"/>
        <v>461.78106481747767</v>
      </c>
      <c r="R69" s="59">
        <f t="shared" si="55"/>
        <v>755.11439815081098</v>
      </c>
      <c r="S69" s="59">
        <f ca="1">AVERAGE(OFFSET($R$3,0,0,'Données projet'!$E$9+1,1))-AVERAGE(OFFSET($H$3,0,0,'Données projet'!$E$9+1,1))</f>
        <v>346.35147716792028</v>
      </c>
      <c r="T69" s="59">
        <f t="shared" ref="T69:T132" si="88">$T$3</f>
        <v>231.36959598460686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1.7799562401023673E-3</v>
      </c>
      <c r="AC69" s="22">
        <f t="shared" si="57"/>
        <v>1.7799562401023673E-3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816</v>
      </c>
      <c r="AG69" s="12">
        <f>VLOOKUP(A69,'Données projet'!$A$61:$I$81,9,0)</f>
        <v>26.375</v>
      </c>
      <c r="AH69" s="12">
        <f t="array" ref="AH69">INDEX(AG:AG,MIN(IF(ISNUMBER(AG69:AG265),ROW(AG69:AG265),"")))</f>
        <v>26.375</v>
      </c>
      <c r="AI69" s="13">
        <f>IF('Données projet'!$A$62&gt;35,AI68+AH69-AQ68,IF(A69&lt;'Données projet'!$A$62,$AF$205^A69,IF(A69='Données projet'!$A$62,'Données projet'!$B$62,AI68+AH69-AQ68)))</f>
        <v>816.00000000000023</v>
      </c>
      <c r="AJ69" s="13">
        <f>AI69*VLOOKUP('Données projet'!$B$10,Paramètres!$A$1:$I$89,3,0)*VLOOKUP('Données projet'!$B$10,Paramètres!$A$1:$I$89,5,0)</f>
        <v>487.96800000000019</v>
      </c>
      <c r="AK69" s="13">
        <f t="shared" ref="AK69:AK132" si="89">EXP(-1.0587+0.8836*LN(AJ69)+0.284)</f>
        <v>109.39932825768031</v>
      </c>
      <c r="AL69" s="20">
        <f t="shared" si="58"/>
        <v>1040.4147633821269</v>
      </c>
      <c r="AM69" s="59">
        <f t="shared" si="59"/>
        <v>1333.7480967154602</v>
      </c>
      <c r="AN69" s="59">
        <f ca="1">AVERAGE(OFFSET($AM$3,0,0,'Données projet'!$E$10+1,1))-AVERAGE(OFFSET($H$3,0,0,'Données projet'!$E$10+1,1))</f>
        <v>559.94918407141222</v>
      </c>
      <c r="AO69" s="59">
        <f t="shared" ref="AO69:AO132" si="90">$AO$3</f>
        <v>334.6078891555664</v>
      </c>
      <c r="AP69" s="15">
        <f>IF(ISNA(VLOOKUP(A69,'Données projet'!$A$61:$I$81,3,0)),0,VLOOKUP(A69,'Données projet'!$A$61:$I$81,3,0))</f>
        <v>9</v>
      </c>
      <c r="AQ69" s="15">
        <f>IF(ISNA(VLOOKUP(A69,'Données projet'!$A$61:$I$81,4,0)),0,VLOOKUP(A69,'Données projet'!$A$61:$I$81,4,0))</f>
        <v>65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16.946102374348978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6.2885598191105355E-4</v>
      </c>
      <c r="AX69" s="21">
        <f t="shared" si="60"/>
        <v>16.94673123033089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392.7923076923077</v>
      </c>
      <c r="BB69" s="12">
        <f>VLOOKUP(A69,'Données projet'!$A$87:$I$107,9,0)</f>
        <v>13.95192307692308</v>
      </c>
      <c r="BC69" s="12">
        <f t="array" ref="BC69">INDEX(BB:BB,MIN(IF(ISNUMBER(BB69:BB265),ROW(BB69:BB265),"")))</f>
        <v>13.95192307692308</v>
      </c>
      <c r="BD69" s="12">
        <f>IF('Données projet'!$A$88&gt;35,BD68+BC69-BL68,IF(A69&lt;'Données projet'!$A$88,$BA$205^A69,IF(A69='Données projet'!$A$88,'Données projet'!$B$88,BD68+BC69-BL68)))</f>
        <v>392.79230769230782</v>
      </c>
      <c r="BE69" s="13">
        <f>BD69*VLOOKUP('Données projet'!$B$11,Paramètres!$A$1:$I$89,3,0)*VLOOKUP('Données projet'!$B$11,Paramètres!$A$1:$I$89,5,0)</f>
        <v>183.82680000000005</v>
      </c>
      <c r="BF69" s="13">
        <f t="shared" ref="BF69:BF132" si="91">EXP(-1.0587+0.8836*LN(BE69)+0.284)</f>
        <v>46.172533448719456</v>
      </c>
      <c r="BG69" s="20">
        <f t="shared" si="61"/>
        <v>400.58217242318642</v>
      </c>
      <c r="BH69" s="59">
        <f t="shared" si="62"/>
        <v>693.91550575651968</v>
      </c>
      <c r="BI69" s="59">
        <f ca="1">AVERAGE(OFFSET($BH$3,0,0,'Données projet'!$E$11+1,1))-AVERAGE(OFFSET($H$3,0,0,'Données projet'!$E$11+1,1))</f>
        <v>276.78862011733338</v>
      </c>
      <c r="BJ69" s="59">
        <f t="shared" ref="BJ69:BJ132" si="92">$BJ$3</f>
        <v>202.1678469635836</v>
      </c>
      <c r="BK69" s="15">
        <f>IF(ISNA(VLOOKUP(A69,'Données projet'!$A$87:$I$107,3,0)),0,VLOOKUP(A69,'Données projet'!$A$87:$I$107,3,0))</f>
        <v>4</v>
      </c>
      <c r="BL69" s="15">
        <f>IF(ISNA(VLOOKUP(A69,'Données projet'!$A$87:$I$107,4,0)),0,VLOOKUP(A69,'Données projet'!$A$87:$I$107,4,0))</f>
        <v>79.169230769230765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6</v>
      </c>
      <c r="BY69" s="12">
        <f>IF('Données projet'!$A$114&gt;35,BY68+BX69-CG68,IF(A69&lt;'Données projet'!$A$114,$BV$205^A69,IF(A69='Données projet'!$A$114,'Données projet'!$B$114,BY68+BX69-CG68)))</f>
        <v>255.99999999999977</v>
      </c>
      <c r="BZ69" s="13">
        <f>BY69*VLOOKUP('Données projet'!$B$12,Paramètres!$A$1:$I$89,3,0)*VLOOKUP('Données projet'!$B$12,Paramètres!$A$1:$I$89,5,0)</f>
        <v>199.67999999999984</v>
      </c>
      <c r="CA69" s="13">
        <f t="shared" ref="CA69:CA132" si="93">EXP(-1.0587+0.8836*LN(BZ69)+0.284)</f>
        <v>49.673834858130768</v>
      </c>
      <c r="CB69" s="20">
        <f t="shared" si="64"/>
        <v>434.29126237791075</v>
      </c>
      <c r="CC69" s="59">
        <f t="shared" si="65"/>
        <v>727.62459571124407</v>
      </c>
      <c r="CD69" s="59">
        <f ca="1">AVERAGE(OFFSET($CC$3,0,0,'Données projet'!$E$12+1,1))-AVERAGE(OFFSET($H$3,0,0,'Données projet'!$E$12+1,1))</f>
        <v>286.5685205631126</v>
      </c>
      <c r="CE69" s="59">
        <f t="shared" ref="CE69:CE132" si="94">$CE$3</f>
        <v>264.17357326498581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7</v>
      </c>
      <c r="N70" s="13">
        <f>IF('Données projet'!$A$36&gt;35,N69+M70-V69,IF(A70&lt;'Données projet'!$A$36,$K$205^A70,IF(A70='Données projet'!$A$36,'Données projet'!$B$36,N69+M70-V69)))</f>
        <v>242.0000000000002</v>
      </c>
      <c r="O70" s="13">
        <f>N70*VLOOKUP('Données projet'!$B$9,Paramètres!$A$1:$I$89,3,0)*VLOOKUP('Données projet'!$B$9,Paramètres!$A$1:$I$89,5,0)</f>
        <v>218.96160000000017</v>
      </c>
      <c r="P70" s="13">
        <f t="shared" si="87"/>
        <v>53.889132503707479</v>
      </c>
      <c r="Q70" s="20">
        <f t="shared" si="54"/>
        <v>475.2150257772908</v>
      </c>
      <c r="R70" s="59">
        <f t="shared" si="55"/>
        <v>768.54835911062412</v>
      </c>
      <c r="S70" s="59">
        <f ca="1">AVERAGE(OFFSET($R$3,0,0,'Données projet'!$E$9+1,1))-AVERAGE(OFFSET($H$3,0,0,'Données projet'!$E$9+1,1))</f>
        <v>346.35147716792028</v>
      </c>
      <c r="T70" s="59">
        <f t="shared" si="88"/>
        <v>231.36959598460686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1.2586191275916945E-3</v>
      </c>
      <c r="AC70" s="22">
        <f t="shared" si="57"/>
        <v>1.2586191275916945E-3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21</v>
      </c>
      <c r="AI70" s="13">
        <f>IF('Données projet'!$A$62&gt;35,AI69+AH70-AQ69,IF(A70&lt;'Données projet'!$A$62,$AF$205^A70,IF(A70='Données projet'!$A$62,'Données projet'!$B$62,AI69+AH70-AQ69)))</f>
        <v>772.00000000000023</v>
      </c>
      <c r="AJ70" s="13">
        <f>AI70*VLOOKUP('Données projet'!$B$10,Paramètres!$A$1:$I$89,3,0)*VLOOKUP('Données projet'!$B$10,Paramètres!$A$1:$I$89,5,0)</f>
        <v>461.65600000000018</v>
      </c>
      <c r="AK70" s="13">
        <f t="shared" si="89"/>
        <v>104.170291060522</v>
      </c>
      <c r="AL70" s="20">
        <f t="shared" si="58"/>
        <v>985.48079026374273</v>
      </c>
      <c r="AM70" s="59">
        <f t="shared" si="59"/>
        <v>1278.8141235970761</v>
      </c>
      <c r="AN70" s="59">
        <f ca="1">AVERAGE(OFFSET($AM$3,0,0,'Données projet'!$E$10+1,1))-AVERAGE(OFFSET($H$3,0,0,'Données projet'!$E$10+1,1))</f>
        <v>559.94918407141222</v>
      </c>
      <c r="AO70" s="59">
        <f t="shared" si="90"/>
        <v>334.6078891555664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16.613799642889838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4.4466832919903083E-4</v>
      </c>
      <c r="AX70" s="21">
        <f t="shared" si="60"/>
        <v>16.614244311219036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12.859999999999991</v>
      </c>
      <c r="BD70" s="12">
        <f>IF('Données projet'!$A$88&gt;35,BD69+BC70-BL69,IF(A70&lt;'Données projet'!$A$88,$BA$205^A70,IF(A70='Données projet'!$A$88,'Données projet'!$B$88,BD69+BC70-BL69)))</f>
        <v>326.48307692307708</v>
      </c>
      <c r="BE70" s="13">
        <f>BD70*VLOOKUP('Données projet'!$B$11,Paramètres!$A$1:$I$89,3,0)*VLOOKUP('Données projet'!$B$11,Paramètres!$A$1:$I$89,5,0)</f>
        <v>152.79408000000009</v>
      </c>
      <c r="BF70" s="13">
        <f t="shared" si="91"/>
        <v>39.212866684997827</v>
      </c>
      <c r="BG70" s="20">
        <f t="shared" si="61"/>
        <v>334.41209880970473</v>
      </c>
      <c r="BH70" s="59">
        <f t="shared" si="62"/>
        <v>627.74543214303799</v>
      </c>
      <c r="BI70" s="59">
        <f ca="1">AVERAGE(OFFSET($BH$3,0,0,'Données projet'!$E$11+1,1))-AVERAGE(OFFSET($H$3,0,0,'Données projet'!$E$11+1,1))</f>
        <v>276.78862011733338</v>
      </c>
      <c r="BJ70" s="59">
        <f t="shared" si="92"/>
        <v>202.1678469635836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</v>
      </c>
      <c r="BY70" s="12">
        <f>IF('Données projet'!$A$114&gt;35,BY69+BX70-CG69,IF(A70&lt;'Données projet'!$A$114,$BV$205^A70,IF(A70='Données projet'!$A$114,'Données projet'!$B$114,BY69+BX70-CG69)))</f>
        <v>261.99999999999977</v>
      </c>
      <c r="BZ70" s="13">
        <f>BY70*VLOOKUP('Données projet'!$B$12,Paramètres!$A$1:$I$89,3,0)*VLOOKUP('Données projet'!$B$12,Paramètres!$A$1:$I$89,5,0)</f>
        <v>204.35999999999984</v>
      </c>
      <c r="CA70" s="13">
        <f t="shared" si="93"/>
        <v>50.701157790815166</v>
      </c>
      <c r="CB70" s="20">
        <f t="shared" si="64"/>
        <v>444.23151648566937</v>
      </c>
      <c r="CC70" s="59">
        <f t="shared" si="65"/>
        <v>737.56484981900269</v>
      </c>
      <c r="CD70" s="59">
        <f ca="1">AVERAGE(OFFSET($CC$3,0,0,'Données projet'!$E$12+1,1))-AVERAGE(OFFSET($H$3,0,0,'Données projet'!$E$12+1,1))</f>
        <v>286.5685205631126</v>
      </c>
      <c r="CE70" s="59">
        <f t="shared" si="94"/>
        <v>264.17357326498581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7</v>
      </c>
      <c r="N71" s="13">
        <f>IF('Données projet'!$A$36&gt;35,N70+M71-V70,IF(A71&lt;'Données projet'!$A$36,$K$205^A71,IF(A71='Données projet'!$A$36,'Données projet'!$B$36,N70+M71-V70)))</f>
        <v>249.0000000000002</v>
      </c>
      <c r="O71" s="13">
        <f>N71*VLOOKUP('Données projet'!$B$9,Paramètres!$A$1:$I$89,3,0)*VLOOKUP('Données projet'!$B$9,Paramètres!$A$1:$I$89,5,0)</f>
        <v>225.29520000000016</v>
      </c>
      <c r="P71" s="13">
        <f t="shared" si="87"/>
        <v>55.264173352293128</v>
      </c>
      <c r="Q71" s="20">
        <f t="shared" si="54"/>
        <v>488.64090858857736</v>
      </c>
      <c r="R71" s="59">
        <f t="shared" si="55"/>
        <v>781.97424192191068</v>
      </c>
      <c r="S71" s="59">
        <f ca="1">AVERAGE(OFFSET($R$3,0,0,'Données projet'!$E$9+1,1))-AVERAGE(OFFSET($H$3,0,0,'Données projet'!$E$9+1,1))</f>
        <v>346.35147716792028</v>
      </c>
      <c r="T71" s="59">
        <f t="shared" si="88"/>
        <v>231.36959598460686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8.8997812005118366E-4</v>
      </c>
      <c r="AC71" s="22">
        <f t="shared" si="57"/>
        <v>8.8997812005118366E-4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21</v>
      </c>
      <c r="AI71" s="13">
        <f>IF('Données projet'!$A$62&gt;35,AI70+AH71-AQ70,IF(A71&lt;'Données projet'!$A$62,$AF$205^A71,IF(A71='Données projet'!$A$62,'Données projet'!$B$62,AI70+AH71-AQ70)))</f>
        <v>793.00000000000023</v>
      </c>
      <c r="AJ71" s="13">
        <f>AI71*VLOOKUP('Données projet'!$B$10,Paramètres!$A$1:$I$89,3,0)*VLOOKUP('Données projet'!$B$10,Paramètres!$A$1:$I$89,5,0)</f>
        <v>474.21400000000023</v>
      </c>
      <c r="AK71" s="13">
        <f t="shared" si="89"/>
        <v>106.67017789171503</v>
      </c>
      <c r="AL71" s="20">
        <f t="shared" si="58"/>
        <v>1011.7066098280706</v>
      </c>
      <c r="AM71" s="59">
        <f t="shared" si="59"/>
        <v>1305.0399431614039</v>
      </c>
      <c r="AN71" s="59">
        <f ca="1">AVERAGE(OFFSET($AM$3,0,0,'Données projet'!$E$10+1,1))-AVERAGE(OFFSET($H$3,0,0,'Données projet'!$E$10+1,1))</f>
        <v>559.94918407141222</v>
      </c>
      <c r="AO71" s="59">
        <f t="shared" si="90"/>
        <v>334.6078891555664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16.288013165309959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3.1442799095552677E-4</v>
      </c>
      <c r="AX71" s="21">
        <f t="shared" si="60"/>
        <v>16.288327593300913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12.859999999999991</v>
      </c>
      <c r="BD71" s="12">
        <f>IF('Données projet'!$A$88&gt;35,BD70+BC71-BL70,IF(A71&lt;'Données projet'!$A$88,$BA$205^A71,IF(A71='Données projet'!$A$88,'Données projet'!$B$88,BD70+BC71-BL70)))</f>
        <v>339.34307692307709</v>
      </c>
      <c r="BE71" s="13">
        <f>BD71*VLOOKUP('Données projet'!$B$11,Paramètres!$A$1:$I$89,3,0)*VLOOKUP('Données projet'!$B$11,Paramètres!$A$1:$I$89,5,0)</f>
        <v>158.81256000000008</v>
      </c>
      <c r="BF71" s="13">
        <f t="shared" si="91"/>
        <v>40.574568995063167</v>
      </c>
      <c r="BG71" s="20">
        <f t="shared" si="61"/>
        <v>347.26591633306845</v>
      </c>
      <c r="BH71" s="59">
        <f t="shared" si="62"/>
        <v>640.59924966640176</v>
      </c>
      <c r="BI71" s="59">
        <f ca="1">AVERAGE(OFFSET($BH$3,0,0,'Données projet'!$E$11+1,1))-AVERAGE(OFFSET($H$3,0,0,'Données projet'!$E$11+1,1))</f>
        <v>276.78862011733338</v>
      </c>
      <c r="BJ71" s="59">
        <f t="shared" si="92"/>
        <v>202.1678469635836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</v>
      </c>
      <c r="BY71" s="12">
        <f>IF('Données projet'!$A$114&gt;35,BY70+BX71-CG70,IF(A71&lt;'Données projet'!$A$114,$BV$205^A71,IF(A71='Données projet'!$A$114,'Données projet'!$B$114,BY70+BX71-CG70)))</f>
        <v>267.99999999999977</v>
      </c>
      <c r="BZ71" s="13">
        <f>BY71*VLOOKUP('Données projet'!$B$12,Paramètres!$A$1:$I$89,3,0)*VLOOKUP('Données projet'!$B$12,Paramètres!$A$1:$I$89,5,0)</f>
        <v>209.03999999999982</v>
      </c>
      <c r="CA71" s="13">
        <f t="shared" si="93"/>
        <v>51.725745635299404</v>
      </c>
      <c r="CB71" s="20">
        <f t="shared" si="64"/>
        <v>454.16700698147952</v>
      </c>
      <c r="CC71" s="59">
        <f t="shared" si="65"/>
        <v>747.50034031481277</v>
      </c>
      <c r="CD71" s="59">
        <f ca="1">AVERAGE(OFFSET($CC$3,0,0,'Données projet'!$E$12+1,1))-AVERAGE(OFFSET($H$3,0,0,'Données projet'!$E$12+1,1))</f>
        <v>286.5685205631126</v>
      </c>
      <c r="CE71" s="59">
        <f t="shared" si="94"/>
        <v>264.17357326498581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7</v>
      </c>
      <c r="N72" s="13">
        <f>IF('Données projet'!$A$36&gt;35,N71+M72-V71,IF(A72&lt;'Données projet'!$A$36,$K$205^A72,IF(A72='Données projet'!$A$36,'Données projet'!$B$36,N71+M72-V71)))</f>
        <v>256.00000000000023</v>
      </c>
      <c r="O72" s="13">
        <f>N72*VLOOKUP('Données projet'!$B$9,Paramètres!$A$1:$I$89,3,0)*VLOOKUP('Données projet'!$B$9,Paramètres!$A$1:$I$89,5,0)</f>
        <v>231.62880000000021</v>
      </c>
      <c r="P72" s="13">
        <f t="shared" si="87"/>
        <v>56.63472139815827</v>
      </c>
      <c r="Q72" s="20">
        <f t="shared" si="54"/>
        <v>502.05896643512602</v>
      </c>
      <c r="R72" s="59">
        <f t="shared" si="55"/>
        <v>795.39229976845934</v>
      </c>
      <c r="S72" s="59">
        <f ca="1">AVERAGE(OFFSET($R$3,0,0,'Données projet'!$E$9+1,1))-AVERAGE(OFFSET($H$3,0,0,'Données projet'!$E$9+1,1))</f>
        <v>346.35147716792028</v>
      </c>
      <c r="T72" s="59">
        <f t="shared" si="88"/>
        <v>231.36959598460686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6.2930956379584724E-4</v>
      </c>
      <c r="AC72" s="22">
        <f t="shared" si="57"/>
        <v>6.2930956379584724E-4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21</v>
      </c>
      <c r="AI72" s="13">
        <f>IF('Données projet'!$A$62&gt;35,AI71+AH72-AQ71,IF(A72&lt;'Données projet'!$A$62,$AF$205^A72,IF(A72='Données projet'!$A$62,'Données projet'!$B$62,AI71+AH72-AQ71)))</f>
        <v>814.00000000000023</v>
      </c>
      <c r="AJ72" s="13">
        <f>AI72*VLOOKUP('Données projet'!$B$10,Paramètres!$A$1:$I$89,3,0)*VLOOKUP('Données projet'!$B$10,Paramètres!$A$1:$I$89,5,0)</f>
        <v>486.77200000000016</v>
      </c>
      <c r="AK72" s="13">
        <f t="shared" si="89"/>
        <v>109.16236980656569</v>
      </c>
      <c r="AL72" s="20">
        <f t="shared" si="58"/>
        <v>1037.9190274131022</v>
      </c>
      <c r="AM72" s="59">
        <f t="shared" si="59"/>
        <v>1331.2523607464354</v>
      </c>
      <c r="AN72" s="59">
        <f ca="1">AVERAGE(OFFSET($AM$3,0,0,'Données projet'!$E$10+1,1))-AVERAGE(OFFSET($H$3,0,0,'Données projet'!$E$10+1,1))</f>
        <v>559.94918407141222</v>
      </c>
      <c r="AO72" s="59">
        <f t="shared" si="90"/>
        <v>334.6078891555664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15.968615161845291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2.2233416459951542E-4</v>
      </c>
      <c r="AX72" s="21">
        <f t="shared" si="60"/>
        <v>15.96883749600989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12.859999999999991</v>
      </c>
      <c r="BD72" s="12">
        <f>IF('Données projet'!$A$88&gt;35,BD71+BC72-BL71,IF(A72&lt;'Données projet'!$A$88,$BA$205^A72,IF(A72='Données projet'!$A$88,'Données projet'!$B$88,BD71+BC72-BL71)))</f>
        <v>352.20307692307711</v>
      </c>
      <c r="BE72" s="13">
        <f>BD72*VLOOKUP('Données projet'!$B$11,Paramètres!$A$1:$I$89,3,0)*VLOOKUP('Données projet'!$B$11,Paramètres!$A$1:$I$89,5,0)</f>
        <v>164.83104000000009</v>
      </c>
      <c r="BF72" s="13">
        <f t="shared" si="91"/>
        <v>41.930276301937283</v>
      </c>
      <c r="BG72" s="20">
        <f t="shared" si="61"/>
        <v>360.10929255920752</v>
      </c>
      <c r="BH72" s="59">
        <f t="shared" si="62"/>
        <v>653.44262589254083</v>
      </c>
      <c r="BI72" s="59">
        <f ca="1">AVERAGE(OFFSET($BH$3,0,0,'Données projet'!$E$11+1,1))-AVERAGE(OFFSET($H$3,0,0,'Données projet'!$E$11+1,1))</f>
        <v>276.78862011733338</v>
      </c>
      <c r="BJ72" s="59">
        <f t="shared" si="92"/>
        <v>202.1678469635836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6</v>
      </c>
      <c r="BY72" s="12">
        <f>IF('Données projet'!$A$114&gt;35,BY71+BX72-CG71,IF(A72&lt;'Données projet'!$A$114,$BV$205^A72,IF(A72='Données projet'!$A$114,'Données projet'!$B$114,BY71+BX72-CG71)))</f>
        <v>273.99999999999977</v>
      </c>
      <c r="BZ72" s="13">
        <f>BY72*VLOOKUP('Données projet'!$B$12,Paramètres!$A$1:$I$89,3,0)*VLOOKUP('Données projet'!$B$12,Paramètres!$A$1:$I$89,5,0)</f>
        <v>213.71999999999983</v>
      </c>
      <c r="CA72" s="13">
        <f t="shared" si="93"/>
        <v>52.747666674989134</v>
      </c>
      <c r="CB72" s="20">
        <f t="shared" si="64"/>
        <v>464.09785279227236</v>
      </c>
      <c r="CC72" s="59">
        <f t="shared" si="65"/>
        <v>757.43118612560568</v>
      </c>
      <c r="CD72" s="59">
        <f ca="1">AVERAGE(OFFSET($CC$3,0,0,'Données projet'!$E$12+1,1))-AVERAGE(OFFSET($H$3,0,0,'Données projet'!$E$12+1,1))</f>
        <v>286.5685205631126</v>
      </c>
      <c r="CE72" s="59">
        <f t="shared" si="94"/>
        <v>264.17357326498581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263</v>
      </c>
      <c r="L73" s="12">
        <f>VLOOKUP(A73,'Données projet'!$A$35:$I$55,9,0)</f>
        <v>7</v>
      </c>
      <c r="M73" s="12">
        <f t="array" ref="M73">INDEX(L:L,MIN(IF(ISNUMBER(L73:L269),ROW(L73:L269),"")))</f>
        <v>7</v>
      </c>
      <c r="N73" s="13">
        <f>IF('Données projet'!$A$36&gt;35,N72+M73-V72,IF(A73&lt;'Données projet'!$A$36,$K$205^A73,IF(A73='Données projet'!$A$36,'Données projet'!$B$36,N72+M73-V72)))</f>
        <v>263.00000000000023</v>
      </c>
      <c r="O73" s="13">
        <f>N73*VLOOKUP('Données projet'!$B$9,Paramètres!$A$1:$I$89,3,0)*VLOOKUP('Données projet'!$B$9,Paramètres!$A$1:$I$89,5,0)</f>
        <v>237.96240000000023</v>
      </c>
      <c r="P73" s="13">
        <f t="shared" si="87"/>
        <v>58.000913607663399</v>
      </c>
      <c r="Q73" s="20">
        <f t="shared" si="54"/>
        <v>515.46943786668078</v>
      </c>
      <c r="R73" s="59">
        <f t="shared" si="55"/>
        <v>808.80277120001415</v>
      </c>
      <c r="S73" s="59">
        <f ca="1">AVERAGE(OFFSET($R$3,0,0,'Données projet'!$E$9+1,1))-AVERAGE(OFFSET($H$3,0,0,'Données projet'!$E$9+1,1))</f>
        <v>346.35147716792028</v>
      </c>
      <c r="T73" s="59">
        <f t="shared" si="88"/>
        <v>231.36959598460686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42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4.4498906002559183E-4</v>
      </c>
      <c r="AC73" s="22">
        <f t="shared" si="57"/>
        <v>4.4498906002559183E-4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21</v>
      </c>
      <c r="AI73" s="13">
        <f>IF('Données projet'!$A$62&gt;35,AI72+AH73-AQ72,IF(A73&lt;'Données projet'!$A$62,$AF$205^A73,IF(A73='Données projet'!$A$62,'Données projet'!$B$62,AI72+AH73-AQ72)))</f>
        <v>835.00000000000023</v>
      </c>
      <c r="AJ73" s="13">
        <f>AI73*VLOOKUP('Données projet'!$B$10,Paramètres!$A$1:$I$89,3,0)*VLOOKUP('Données projet'!$B$10,Paramètres!$A$1:$I$89,5,0)</f>
        <v>499.33000000000021</v>
      </c>
      <c r="AK73" s="13">
        <f t="shared" si="89"/>
        <v>111.64708814726723</v>
      </c>
      <c r="AL73" s="20">
        <f t="shared" si="58"/>
        <v>1064.1184285231575</v>
      </c>
      <c r="AM73" s="59">
        <f t="shared" si="59"/>
        <v>1357.4517618564907</v>
      </c>
      <c r="AN73" s="59">
        <f ca="1">AVERAGE(OFFSET($AM$3,0,0,'Données projet'!$E$10+1,1))-AVERAGE(OFFSET($H$3,0,0,'Données projet'!$E$10+1,1))</f>
        <v>559.94918407141222</v>
      </c>
      <c r="AO73" s="59">
        <f t="shared" si="90"/>
        <v>334.6078891555664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15.655480358415019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1.5721399547776339E-4</v>
      </c>
      <c r="AX73" s="21">
        <f t="shared" si="60"/>
        <v>15.655637572410496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12.859999999999991</v>
      </c>
      <c r="BD73" s="12">
        <f>IF('Données projet'!$A$88&gt;35,BD72+BC73-BL72,IF(A73&lt;'Données projet'!$A$88,$BA$205^A73,IF(A73='Données projet'!$A$88,'Données projet'!$B$88,BD72+BC73-BL72)))</f>
        <v>365.06307692307712</v>
      </c>
      <c r="BE73" s="13">
        <f>BD73*VLOOKUP('Données projet'!$B$11,Paramètres!$A$1:$I$89,3,0)*VLOOKUP('Données projet'!$B$11,Paramètres!$A$1:$I$89,5,0)</f>
        <v>170.8495200000001</v>
      </c>
      <c r="BF73" s="13">
        <f t="shared" si="91"/>
        <v>43.280232572489254</v>
      </c>
      <c r="BG73" s="20">
        <f t="shared" si="61"/>
        <v>372.94265239708557</v>
      </c>
      <c r="BH73" s="59">
        <f t="shared" si="62"/>
        <v>666.27598573041882</v>
      </c>
      <c r="BI73" s="59">
        <f ca="1">AVERAGE(OFFSET($BH$3,0,0,'Données projet'!$E$11+1,1))-AVERAGE(OFFSET($H$3,0,0,'Données projet'!$E$11+1,1))</f>
        <v>276.78862011733338</v>
      </c>
      <c r="BJ73" s="59">
        <f t="shared" si="92"/>
        <v>202.1678469635836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280</v>
      </c>
      <c r="BW73" s="12">
        <f>VLOOKUP(A73,'Données projet'!$A$113:$I$133,9,0)</f>
        <v>6</v>
      </c>
      <c r="BX73" s="12">
        <f t="array" ref="BX73">INDEX(BW:BW,MIN(IF(ISNUMBER(BW73:BW269),ROW(BW73:BW269),"")))</f>
        <v>6</v>
      </c>
      <c r="BY73" s="12">
        <f>IF('Données projet'!$A$114&gt;35,BY72+BX73-CG72,IF(A73&lt;'Données projet'!$A$114,$BV$205^A73,IF(A73='Données projet'!$A$114,'Données projet'!$B$114,BY72+BX73-CG72)))</f>
        <v>279.99999999999977</v>
      </c>
      <c r="BZ73" s="13">
        <f>BY73*VLOOKUP('Données projet'!$B$12,Paramètres!$A$1:$I$89,3,0)*VLOOKUP('Données projet'!$B$12,Paramètres!$A$1:$I$89,5,0)</f>
        <v>218.39999999999984</v>
      </c>
      <c r="CA73" s="13">
        <f t="shared" si="93"/>
        <v>53.766986031998471</v>
      </c>
      <c r="CB73" s="20">
        <f t="shared" si="64"/>
        <v>474.02416733906375</v>
      </c>
      <c r="CC73" s="59">
        <f t="shared" si="65"/>
        <v>767.35750067239701</v>
      </c>
      <c r="CD73" s="59">
        <f ca="1">AVERAGE(OFFSET($CC$3,0,0,'Données projet'!$E$12+1,1))-AVERAGE(OFFSET($H$3,0,0,'Données projet'!$E$12+1,1))</f>
        <v>286.5685205631126</v>
      </c>
      <c r="CE73" s="59">
        <f t="shared" si="94"/>
        <v>264.17357326498581</v>
      </c>
      <c r="CF73" s="15">
        <f>IF(ISNA(VLOOKUP(A73,'Données projet'!$A$113:$I$133,3,0)),0,VLOOKUP(A73,'Données projet'!$A$113:$I$133,3,0))</f>
        <v>10</v>
      </c>
      <c r="CG73" s="15">
        <f>IF(ISNA(VLOOKUP(A73,'Données projet'!$A$113:$I$133,4,0)),0,VLOOKUP(A73,'Données projet'!$A$113:$I$133,4,0))</f>
        <v>20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6.1</v>
      </c>
      <c r="N74" s="13">
        <f>IF('Données projet'!$A$36&gt;35,N73+M74-V73,IF(A74&lt;'Données projet'!$A$36,$K$205^A74,IF(A74='Données projet'!$A$36,'Données projet'!$B$36,N73+M74-V73)))</f>
        <v>227.10000000000025</v>
      </c>
      <c r="O74" s="13">
        <f>N74*VLOOKUP('Données projet'!$B$9,Paramètres!$A$1:$I$89,3,0)*VLOOKUP('Données projet'!$B$9,Paramètres!$A$1:$I$89,5,0)</f>
        <v>205.48008000000021</v>
      </c>
      <c r="P74" s="13">
        <f t="shared" si="87"/>
        <v>50.9466221581852</v>
      </c>
      <c r="Q74" s="20">
        <f t="shared" si="54"/>
        <v>446.60983959217293</v>
      </c>
      <c r="R74" s="59">
        <f t="shared" si="55"/>
        <v>739.94317292550625</v>
      </c>
      <c r="S74" s="59">
        <f ca="1">AVERAGE(OFFSET($R$3,0,0,'Données projet'!$E$9+1,1))-AVERAGE(OFFSET($H$3,0,0,'Données projet'!$E$9+1,1))</f>
        <v>346.35147716792028</v>
      </c>
      <c r="T74" s="59">
        <f t="shared" si="88"/>
        <v>231.36959598460686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3.1465478189792362E-4</v>
      </c>
      <c r="AC74" s="22">
        <f t="shared" si="57"/>
        <v>3.1465478189792362E-4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21</v>
      </c>
      <c r="AI74" s="13">
        <f>IF('Données projet'!$A$62&gt;35,AI73+AH74-AQ73,IF(A74&lt;'Données projet'!$A$62,$AF$205^A74,IF(A74='Données projet'!$A$62,'Données projet'!$B$62,AI73+AH74-AQ73)))</f>
        <v>856.00000000000023</v>
      </c>
      <c r="AJ74" s="13">
        <f>AI74*VLOOKUP('Données projet'!$B$10,Paramètres!$A$1:$I$89,3,0)*VLOOKUP('Données projet'!$B$10,Paramètres!$A$1:$I$89,5,0)</f>
        <v>511.88800000000015</v>
      </c>
      <c r="AK74" s="13">
        <f t="shared" si="89"/>
        <v>114.12454248815735</v>
      </c>
      <c r="AL74" s="20">
        <f t="shared" si="58"/>
        <v>1090.3051781668742</v>
      </c>
      <c r="AM74" s="59">
        <f t="shared" si="59"/>
        <v>1383.6385115002074</v>
      </c>
      <c r="AN74" s="59">
        <f ca="1">AVERAGE(OFFSET($AM$3,0,0,'Données projet'!$E$10+1,1))-AVERAGE(OFFSET($H$3,0,0,'Données projet'!$E$10+1,1))</f>
        <v>559.94918407141222</v>
      </c>
      <c r="AO74" s="59">
        <f t="shared" si="90"/>
        <v>334.6078891555664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15.348485937486643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1.1116708229975771E-4</v>
      </c>
      <c r="AX74" s="21">
        <f t="shared" si="60"/>
        <v>15.348597104568944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>
        <f>VLOOKUP(A74,'Données projet'!$A$87:$I$107,2,0)</f>
        <v>377.92307692307691</v>
      </c>
      <c r="BB74" s="12">
        <f>VLOOKUP(A74,'Données projet'!$A$87:$I$107,9,0)</f>
        <v>12.859999999999991</v>
      </c>
      <c r="BC74" s="12">
        <f t="array" ref="BC74">INDEX(BB:BB,MIN(IF(ISNUMBER(BB74:BB270),ROW(BB74:BB270),"")))</f>
        <v>12.859999999999991</v>
      </c>
      <c r="BD74" s="12">
        <f>IF('Données projet'!$A$88&gt;35,BD73+BC74-BL73,IF(A74&lt;'Données projet'!$A$88,$BA$205^A74,IF(A74='Données projet'!$A$88,'Données projet'!$B$88,BD73+BC74-BL73)))</f>
        <v>377.92307692307713</v>
      </c>
      <c r="BE74" s="13">
        <f>BD74*VLOOKUP('Données projet'!$B$11,Paramètres!$A$1:$I$89,3,0)*VLOOKUP('Données projet'!$B$11,Paramètres!$A$1:$I$89,5,0)</f>
        <v>176.86800000000008</v>
      </c>
      <c r="BF74" s="13">
        <f t="shared" si="91"/>
        <v>44.624663610682326</v>
      </c>
      <c r="BG74" s="20">
        <f t="shared" si="61"/>
        <v>385.76638912193852</v>
      </c>
      <c r="BH74" s="59">
        <f t="shared" si="62"/>
        <v>679.09972245527183</v>
      </c>
      <c r="BI74" s="59">
        <f ca="1">AVERAGE(OFFSET($BH$3,0,0,'Données projet'!$E$11+1,1))-AVERAGE(OFFSET($H$3,0,0,'Données projet'!$E$11+1,1))</f>
        <v>276.78862011733338</v>
      </c>
      <c r="BJ74" s="59">
        <f t="shared" si="92"/>
        <v>202.1678469635836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5.2</v>
      </c>
      <c r="BY74" s="12">
        <f>IF('Données projet'!$A$114&gt;35,BY73+BX74-CG73,IF(A74&lt;'Données projet'!$A$114,$BV$205^A74,IF(A74='Données projet'!$A$114,'Données projet'!$B$114,BY73+BX74-CG73)))</f>
        <v>265.19999999999976</v>
      </c>
      <c r="BZ74" s="13">
        <f>BY74*VLOOKUP('Données projet'!$B$12,Paramètres!$A$1:$I$89,3,0)*VLOOKUP('Données projet'!$B$12,Paramètres!$A$1:$I$89,5,0)</f>
        <v>206.85599999999982</v>
      </c>
      <c r="CA74" s="13">
        <f t="shared" si="93"/>
        <v>51.247940588293027</v>
      </c>
      <c r="CB74" s="20">
        <f t="shared" si="64"/>
        <v>449.53102985794334</v>
      </c>
      <c r="CC74" s="59">
        <f t="shared" si="65"/>
        <v>742.86436319127665</v>
      </c>
      <c r="CD74" s="59">
        <f ca="1">AVERAGE(OFFSET($CC$3,0,0,'Données projet'!$E$12+1,1))-AVERAGE(OFFSET($H$3,0,0,'Données projet'!$E$12+1,1))</f>
        <v>286.5685205631126</v>
      </c>
      <c r="CE74" s="59">
        <f t="shared" si="94"/>
        <v>264.17357326498581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6.1</v>
      </c>
      <c r="N75" s="13">
        <f>IF('Données projet'!$A$36&gt;35,N74+M75-V74,IF(A75&lt;'Données projet'!$A$36,$K$205^A75,IF(A75='Données projet'!$A$36,'Données projet'!$B$36,N74+M75-V74)))</f>
        <v>233.20000000000024</v>
      </c>
      <c r="O75" s="13">
        <f>N75*VLOOKUP('Données projet'!$B$9,Paramètres!$A$1:$I$89,3,0)*VLOOKUP('Données projet'!$B$9,Paramètres!$A$1:$I$89,5,0)</f>
        <v>210.99936000000022</v>
      </c>
      <c r="P75" s="13">
        <f t="shared" si="87"/>
        <v>52.153910623486716</v>
      </c>
      <c r="Q75" s="20">
        <f t="shared" si="54"/>
        <v>458.32527966923976</v>
      </c>
      <c r="R75" s="59">
        <f t="shared" si="55"/>
        <v>751.65861300257302</v>
      </c>
      <c r="S75" s="59">
        <f ca="1">AVERAGE(OFFSET($R$3,0,0,'Données projet'!$E$9+1,1))-AVERAGE(OFFSET($H$3,0,0,'Données projet'!$E$9+1,1))</f>
        <v>346.35147716792028</v>
      </c>
      <c r="T75" s="59">
        <f t="shared" si="88"/>
        <v>231.36959598460686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2.2249453001279591E-4</v>
      </c>
      <c r="AC75" s="22">
        <f t="shared" si="57"/>
        <v>2.2249453001279591E-4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21</v>
      </c>
      <c r="AI75" s="13">
        <f>IF('Données projet'!$A$62&gt;35,AI74+AH75-AQ74,IF(A75&lt;'Données projet'!$A$62,$AF$205^A75,IF(A75='Données projet'!$A$62,'Données projet'!$B$62,AI74+AH75-AQ74)))</f>
        <v>877.00000000000023</v>
      </c>
      <c r="AJ75" s="13">
        <f>AI75*VLOOKUP('Données projet'!$B$10,Paramètres!$A$1:$I$89,3,0)*VLOOKUP('Données projet'!$B$10,Paramètres!$A$1:$I$89,5,0)</f>
        <v>524.44600000000014</v>
      </c>
      <c r="AK75" s="13">
        <f t="shared" si="89"/>
        <v>116.59493153449522</v>
      </c>
      <c r="AL75" s="20">
        <f t="shared" si="58"/>
        <v>1116.4796224225793</v>
      </c>
      <c r="AM75" s="59">
        <f t="shared" si="59"/>
        <v>1409.8129557559125</v>
      </c>
      <c r="AN75" s="59">
        <f ca="1">AVERAGE(OFFSET($AM$3,0,0,'Données projet'!$E$10+1,1))-AVERAGE(OFFSET($H$3,0,0,'Données projet'!$E$10+1,1))</f>
        <v>559.94918407141222</v>
      </c>
      <c r="AO75" s="59">
        <f t="shared" si="90"/>
        <v>334.6078891555664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15.047511489904565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7.8606997738881693E-5</v>
      </c>
      <c r="AX75" s="21">
        <f t="shared" si="60"/>
        <v>15.047590096902304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13.236538461538458</v>
      </c>
      <c r="BD75" s="12">
        <f>IF('Données projet'!$A$88&gt;35,BD74+BC75-BL74,IF(A75&lt;'Données projet'!$A$88,$BA$205^A75,IF(A75='Données projet'!$A$88,'Données projet'!$B$88,BD74+BC75-BL74)))</f>
        <v>391.15961538461556</v>
      </c>
      <c r="BE75" s="13">
        <f>BD75*VLOOKUP('Données projet'!$B$11,Paramètres!$A$1:$I$89,3,0)*VLOOKUP('Données projet'!$B$11,Paramètres!$A$1:$I$89,5,0)</f>
        <v>183.06270000000009</v>
      </c>
      <c r="BF75" s="13">
        <f t="shared" si="91"/>
        <v>46.00290995772216</v>
      </c>
      <c r="BG75" s="20">
        <f t="shared" si="61"/>
        <v>398.95593734303293</v>
      </c>
      <c r="BH75" s="59">
        <f t="shared" si="62"/>
        <v>692.28927067636619</v>
      </c>
      <c r="BI75" s="59">
        <f ca="1">AVERAGE(OFFSET($BH$3,0,0,'Données projet'!$E$11+1,1))-AVERAGE(OFFSET($H$3,0,0,'Données projet'!$E$11+1,1))</f>
        <v>276.78862011733338</v>
      </c>
      <c r="BJ75" s="59">
        <f t="shared" si="92"/>
        <v>202.1678469635836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5.2</v>
      </c>
      <c r="BY75" s="12">
        <f>IF('Données projet'!$A$114&gt;35,BY74+BX75-CG74,IF(A75&lt;'Données projet'!$A$114,$BV$205^A75,IF(A75='Données projet'!$A$114,'Données projet'!$B$114,BY74+BX75-CG74)))</f>
        <v>270.39999999999975</v>
      </c>
      <c r="BZ75" s="13">
        <f>BY75*VLOOKUP('Données projet'!$B$12,Paramètres!$A$1:$I$89,3,0)*VLOOKUP('Données projet'!$B$12,Paramètres!$A$1:$I$89,5,0)</f>
        <v>210.91199999999981</v>
      </c>
      <c r="CA75" s="13">
        <f t="shared" si="93"/>
        <v>52.134830352456738</v>
      </c>
      <c r="CB75" s="20">
        <f t="shared" si="64"/>
        <v>458.13989619719513</v>
      </c>
      <c r="CC75" s="59">
        <f t="shared" si="65"/>
        <v>751.47322953052844</v>
      </c>
      <c r="CD75" s="59">
        <f ca="1">AVERAGE(OFFSET($CC$3,0,0,'Données projet'!$E$12+1,1))-AVERAGE(OFFSET($H$3,0,0,'Données projet'!$E$12+1,1))</f>
        <v>286.5685205631126</v>
      </c>
      <c r="CE75" s="59">
        <f t="shared" si="94"/>
        <v>264.17357326498581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6.1</v>
      </c>
      <c r="N76" s="13">
        <f>IF('Données projet'!$A$36&gt;35,N75+M76-V75,IF(A76&lt;'Données projet'!$A$36,$K$205^A76,IF(A76='Données projet'!$A$36,'Données projet'!$B$36,N75+M76-V75)))</f>
        <v>239.30000000000024</v>
      </c>
      <c r="O76" s="13">
        <f>N76*VLOOKUP('Données projet'!$B$9,Paramètres!$A$1:$I$89,3,0)*VLOOKUP('Données projet'!$B$9,Paramètres!$A$1:$I$89,5,0)</f>
        <v>216.5186400000002</v>
      </c>
      <c r="P76" s="13">
        <f t="shared" si="87"/>
        <v>53.357528323079173</v>
      </c>
      <c r="Q76" s="20">
        <f t="shared" si="54"/>
        <v>470.03432649602991</v>
      </c>
      <c r="R76" s="59">
        <f t="shared" si="55"/>
        <v>763.36765982936322</v>
      </c>
      <c r="S76" s="59">
        <f ca="1">AVERAGE(OFFSET($R$3,0,0,'Données projet'!$E$9+1,1))-AVERAGE(OFFSET($H$3,0,0,'Données projet'!$E$9+1,1))</f>
        <v>346.35147716792028</v>
      </c>
      <c r="T76" s="59">
        <f t="shared" si="88"/>
        <v>231.36959598460686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1.5732739094896181E-4</v>
      </c>
      <c r="AC76" s="22">
        <f t="shared" si="57"/>
        <v>1.5732739094896181E-4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21</v>
      </c>
      <c r="AI76" s="13">
        <f>IF('Données projet'!$A$62&gt;35,AI75+AH76-AQ75,IF(A76&lt;'Données projet'!$A$62,$AF$205^A76,IF(A76='Données projet'!$A$62,'Données projet'!$B$62,AI75+AH76-AQ75)))</f>
        <v>898.00000000000023</v>
      </c>
      <c r="AJ76" s="13">
        <f>AI76*VLOOKUP('Données projet'!$B$10,Paramètres!$A$1:$I$89,3,0)*VLOOKUP('Données projet'!$B$10,Paramètres!$A$1:$I$89,5,0)</f>
        <v>537.00400000000013</v>
      </c>
      <c r="AK76" s="13">
        <f t="shared" si="89"/>
        <v>119.05844393272751</v>
      </c>
      <c r="AL76" s="20">
        <f t="shared" si="58"/>
        <v>1142.6420898495005</v>
      </c>
      <c r="AM76" s="59">
        <f t="shared" si="59"/>
        <v>1435.9754231828338</v>
      </c>
      <c r="AN76" s="59">
        <f ca="1">AVERAGE(OFFSET($AM$3,0,0,'Données projet'!$E$10+1,1))-AVERAGE(OFFSET($H$3,0,0,'Données projet'!$E$10+1,1))</f>
        <v>559.94918407141222</v>
      </c>
      <c r="AO76" s="59">
        <f t="shared" si="90"/>
        <v>334.6078891555664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14.752438967663286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5.5583541149878854E-5</v>
      </c>
      <c r="AX76" s="21">
        <f t="shared" si="60"/>
        <v>14.752494551204435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13.236538461538458</v>
      </c>
      <c r="BD76" s="12">
        <f>IF('Données projet'!$A$88&gt;35,BD75+BC76-BL75,IF(A76&lt;'Données projet'!$A$88,$BA$205^A76,IF(A76='Données projet'!$A$88,'Données projet'!$B$88,BD75+BC76-BL75)))</f>
        <v>404.39615384615399</v>
      </c>
      <c r="BE76" s="13">
        <f>BD76*VLOOKUP('Données projet'!$B$11,Paramètres!$A$1:$I$89,3,0)*VLOOKUP('Données projet'!$B$11,Paramètres!$A$1:$I$89,5,0)</f>
        <v>189.25740000000005</v>
      </c>
      <c r="BF76" s="13">
        <f t="shared" si="91"/>
        <v>47.375737134732681</v>
      </c>
      <c r="BG76" s="20">
        <f t="shared" si="61"/>
        <v>412.13604717632614</v>
      </c>
      <c r="BH76" s="59">
        <f t="shared" si="62"/>
        <v>705.46938050965946</v>
      </c>
      <c r="BI76" s="59">
        <f ca="1">AVERAGE(OFFSET($BH$3,0,0,'Données projet'!$E$11+1,1))-AVERAGE(OFFSET($H$3,0,0,'Données projet'!$E$11+1,1))</f>
        <v>276.78862011733338</v>
      </c>
      <c r="BJ76" s="59">
        <f t="shared" si="92"/>
        <v>202.1678469635836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5.2</v>
      </c>
      <c r="BY76" s="12">
        <f>IF('Données projet'!$A$114&gt;35,BY75+BX76-CG75,IF(A76&lt;'Données projet'!$A$114,$BV$205^A76,IF(A76='Données projet'!$A$114,'Données projet'!$B$114,BY75+BX76-CG75)))</f>
        <v>275.59999999999974</v>
      </c>
      <c r="BZ76" s="13">
        <f>BY76*VLOOKUP('Données projet'!$B$12,Paramètres!$A$1:$I$89,3,0)*VLOOKUP('Données projet'!$B$12,Paramètres!$A$1:$I$89,5,0)</f>
        <v>214.96799999999979</v>
      </c>
      <c r="CA76" s="13">
        <f t="shared" si="93"/>
        <v>53.019736939092944</v>
      </c>
      <c r="CB76" s="20">
        <f t="shared" si="64"/>
        <v>466.74530850225307</v>
      </c>
      <c r="CC76" s="59">
        <f t="shared" si="65"/>
        <v>760.07864183558638</v>
      </c>
      <c r="CD76" s="59">
        <f ca="1">AVERAGE(OFFSET($CC$3,0,0,'Données projet'!$E$12+1,1))-AVERAGE(OFFSET($H$3,0,0,'Données projet'!$E$12+1,1))</f>
        <v>286.5685205631126</v>
      </c>
      <c r="CE76" s="59">
        <f t="shared" si="94"/>
        <v>264.17357326498581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6.1</v>
      </c>
      <c r="N77" s="13">
        <f>IF('Données projet'!$A$36&gt;35,N76+M77-V76,IF(A77&lt;'Données projet'!$A$36,$K$205^A77,IF(A77='Données projet'!$A$36,'Données projet'!$B$36,N76+M77-V76)))</f>
        <v>245.40000000000023</v>
      </c>
      <c r="O77" s="13">
        <f>N77*VLOOKUP('Données projet'!$B$9,Paramètres!$A$1:$I$89,3,0)*VLOOKUP('Données projet'!$B$9,Paramètres!$A$1:$I$89,5,0)</f>
        <v>222.03792000000021</v>
      </c>
      <c r="P77" s="13">
        <f t="shared" si="87"/>
        <v>54.557579588273143</v>
      </c>
      <c r="Q77" s="20">
        <f t="shared" si="54"/>
        <v>481.73716178290942</v>
      </c>
      <c r="R77" s="59">
        <f t="shared" si="55"/>
        <v>775.07049511624268</v>
      </c>
      <c r="S77" s="59">
        <f ca="1">AVERAGE(OFFSET($R$3,0,0,'Données projet'!$E$9+1,1))-AVERAGE(OFFSET($H$3,0,0,'Données projet'!$E$9+1,1))</f>
        <v>346.35147716792028</v>
      </c>
      <c r="T77" s="59">
        <f t="shared" si="88"/>
        <v>231.36959598460686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1.1124726500639796E-4</v>
      </c>
      <c r="AC77" s="22">
        <f t="shared" si="57"/>
        <v>1.1124726500639796E-4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919</v>
      </c>
      <c r="AG77" s="12">
        <f>VLOOKUP(A77,'Données projet'!$A$61:$I$81,9,0)</f>
        <v>21</v>
      </c>
      <c r="AH77" s="12">
        <f t="array" ref="AH77">INDEX(AG:AG,MIN(IF(ISNUMBER(AG77:AG273),ROW(AG77:AG273),"")))</f>
        <v>21</v>
      </c>
      <c r="AI77" s="13">
        <f>IF('Données projet'!$A$62&gt;35,AI76+AH77-AQ76,IF(A77&lt;'Données projet'!$A$62,$AF$205^A77,IF(A77='Données projet'!$A$62,'Données projet'!$B$62,AI76+AH77-AQ76)))</f>
        <v>919.00000000000023</v>
      </c>
      <c r="AJ77" s="13">
        <f>AI77*VLOOKUP('Données projet'!$B$10,Paramètres!$A$1:$I$89,3,0)*VLOOKUP('Données projet'!$B$10,Paramètres!$A$1:$I$89,5,0)</f>
        <v>549.56200000000013</v>
      </c>
      <c r="AK77" s="13">
        <f t="shared" si="89"/>
        <v>121.51525900282532</v>
      </c>
      <c r="AL77" s="20">
        <f t="shared" si="58"/>
        <v>1168.7928927632545</v>
      </c>
      <c r="AM77" s="59">
        <f t="shared" si="59"/>
        <v>1462.1262260965877</v>
      </c>
      <c r="AN77" s="59">
        <f ca="1">AVERAGE(OFFSET($AM$3,0,0,'Données projet'!$E$10+1,1))-AVERAGE(OFFSET($H$3,0,0,'Données projet'!$E$10+1,1))</f>
        <v>559.94918407141222</v>
      </c>
      <c r="AO77" s="59">
        <f t="shared" si="90"/>
        <v>334.6078891555664</v>
      </c>
      <c r="AP77" s="15">
        <f>IF(ISNA(VLOOKUP(A77,'Données projet'!$A$61:$I$81,3,0)),0,VLOOKUP(A77,'Données projet'!$A$61:$I$81,3,0))</f>
        <v>10</v>
      </c>
      <c r="AQ77" s="15">
        <f>IF(ISNA(VLOOKUP(A77,'Données projet'!$A$61:$I$81,4,0)),0,VLOOKUP(A77,'Données projet'!$A$61:$I$81,4,0))</f>
        <v>37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14.46315263760669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3.9303498869440847E-5</v>
      </c>
      <c r="AX77" s="21">
        <f t="shared" si="60"/>
        <v>14.46319194110556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13.236538461538458</v>
      </c>
      <c r="BD77" s="12">
        <f>IF('Données projet'!$A$88&gt;35,BD76+BC77-BL76,IF(A77&lt;'Données projet'!$A$88,$BA$205^A77,IF(A77='Données projet'!$A$88,'Données projet'!$B$88,BD76+BC77-BL76)))</f>
        <v>417.63269230769242</v>
      </c>
      <c r="BE77" s="13">
        <f>BD77*VLOOKUP('Données projet'!$B$11,Paramètres!$A$1:$I$89,3,0)*VLOOKUP('Données projet'!$B$11,Paramètres!$A$1:$I$89,5,0)</f>
        <v>195.45210000000006</v>
      </c>
      <c r="BF77" s="13">
        <f t="shared" si="91"/>
        <v>48.743342861644244</v>
      </c>
      <c r="BG77" s="20">
        <f t="shared" si="61"/>
        <v>425.30706298403044</v>
      </c>
      <c r="BH77" s="59">
        <f t="shared" si="62"/>
        <v>718.64039631736375</v>
      </c>
      <c r="BI77" s="59">
        <f ca="1">AVERAGE(OFFSET($BH$3,0,0,'Données projet'!$E$11+1,1))-AVERAGE(OFFSET($H$3,0,0,'Données projet'!$E$11+1,1))</f>
        <v>276.78862011733338</v>
      </c>
      <c r="BJ77" s="59">
        <f t="shared" si="92"/>
        <v>202.1678469635836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5.2</v>
      </c>
      <c r="BY77" s="12">
        <f>IF('Données projet'!$A$114&gt;35,BY76+BX77-CG76,IF(A77&lt;'Données projet'!$A$114,$BV$205^A77,IF(A77='Données projet'!$A$114,'Données projet'!$B$114,BY76+BX77-CG76)))</f>
        <v>280.79999999999973</v>
      </c>
      <c r="BZ77" s="13">
        <f>BY77*VLOOKUP('Données projet'!$B$12,Paramètres!$A$1:$I$89,3,0)*VLOOKUP('Données projet'!$B$12,Paramètres!$A$1:$I$89,5,0)</f>
        <v>219.0239999999998</v>
      </c>
      <c r="CA77" s="13">
        <f t="shared" si="93"/>
        <v>53.902702081308306</v>
      </c>
      <c r="CB77" s="20">
        <f t="shared" si="64"/>
        <v>475.34733945827821</v>
      </c>
      <c r="CC77" s="59">
        <f t="shared" si="65"/>
        <v>768.68067279161153</v>
      </c>
      <c r="CD77" s="59">
        <f ca="1">AVERAGE(OFFSET($CC$3,0,0,'Données projet'!$E$12+1,1))-AVERAGE(OFFSET($H$3,0,0,'Données projet'!$E$12+1,1))</f>
        <v>286.5685205631126</v>
      </c>
      <c r="CE77" s="59">
        <f t="shared" si="94"/>
        <v>264.17357326498581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6.1</v>
      </c>
      <c r="N78" s="13">
        <f>IF('Données projet'!$A$36&gt;35,N77+M78-V77,IF(A78&lt;'Données projet'!$A$36,$K$205^A78,IF(A78='Données projet'!$A$36,'Données projet'!$B$36,N77+M78-V77)))</f>
        <v>251.50000000000023</v>
      </c>
      <c r="O78" s="13">
        <f>N78*VLOOKUP('Données projet'!$B$9,Paramètres!$A$1:$I$89,3,0)*VLOOKUP('Données projet'!$B$9,Paramètres!$A$1:$I$89,5,0)</f>
        <v>227.55720000000019</v>
      </c>
      <c r="P78" s="13">
        <f t="shared" si="87"/>
        <v>55.754163267932753</v>
      </c>
      <c r="Q78" s="20">
        <f t="shared" si="54"/>
        <v>493.43395769164994</v>
      </c>
      <c r="R78" s="59">
        <f t="shared" si="55"/>
        <v>786.76729102498325</v>
      </c>
      <c r="S78" s="59">
        <f ca="1">AVERAGE(OFFSET($R$3,0,0,'Données projet'!$E$9+1,1))-AVERAGE(OFFSET($H$3,0,0,'Données projet'!$E$9+1,1))</f>
        <v>346.35147716792028</v>
      </c>
      <c r="T78" s="59">
        <f t="shared" si="88"/>
        <v>231.36959598460686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7.8663695474480904E-5</v>
      </c>
      <c r="AC78" s="22">
        <f t="shared" si="57"/>
        <v>7.8663695474480904E-5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13.5</v>
      </c>
      <c r="AI78" s="13">
        <f>IF('Données projet'!$A$62&gt;35,AI77+AH78-AQ77,IF(A78&lt;'Données projet'!$A$62,$AF$205^A78,IF(A78='Données projet'!$A$62,'Données projet'!$B$62,AI77+AH78-AQ77)))</f>
        <v>895.50000000000023</v>
      </c>
      <c r="AJ78" s="13">
        <f>AI78*VLOOKUP('Données projet'!$B$10,Paramètres!$A$1:$I$89,3,0)*VLOOKUP('Données projet'!$B$10,Paramètres!$A$1:$I$89,5,0)</f>
        <v>535.50900000000013</v>
      </c>
      <c r="AK78" s="13">
        <f t="shared" si="89"/>
        <v>118.76552326468126</v>
      </c>
      <c r="AL78" s="20">
        <f t="shared" si="58"/>
        <v>1139.5281280193201</v>
      </c>
      <c r="AM78" s="59">
        <f t="shared" si="59"/>
        <v>1432.8614613526534</v>
      </c>
      <c r="AN78" s="59">
        <f ca="1">AVERAGE(OFFSET($AM$3,0,0,'Données projet'!$E$10+1,1))-AVERAGE(OFFSET($H$3,0,0,'Données projet'!$E$10+1,1))</f>
        <v>559.94918407141222</v>
      </c>
      <c r="AO78" s="59">
        <f t="shared" si="90"/>
        <v>334.6078891555664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14.179539036035266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2.7791770574939427E-5</v>
      </c>
      <c r="AX78" s="21">
        <f t="shared" si="60"/>
        <v>14.179566827805841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430.86923076923074</v>
      </c>
      <c r="BB78" s="12">
        <f>VLOOKUP(A78,'Données projet'!$A$87:$I$107,9,0)</f>
        <v>13.236538461538458</v>
      </c>
      <c r="BC78" s="12">
        <f t="array" ref="BC78">INDEX(BB:BB,MIN(IF(ISNUMBER(BB78:BB274),ROW(BB78:BB274),"")))</f>
        <v>13.236538461538458</v>
      </c>
      <c r="BD78" s="12">
        <f>IF('Données projet'!$A$88&gt;35,BD77+BC78-BL77,IF(A78&lt;'Données projet'!$A$88,$BA$205^A78,IF(A78='Données projet'!$A$88,'Données projet'!$B$88,BD77+BC78-BL77)))</f>
        <v>430.86923076923085</v>
      </c>
      <c r="BE78" s="13">
        <f>BD78*VLOOKUP('Données projet'!$B$11,Paramètres!$A$1:$I$89,3,0)*VLOOKUP('Données projet'!$B$11,Paramètres!$A$1:$I$89,5,0)</f>
        <v>201.64680000000004</v>
      </c>
      <c r="BF78" s="13">
        <f t="shared" si="91"/>
        <v>50.105911613506244</v>
      </c>
      <c r="BG78" s="20">
        <f t="shared" si="61"/>
        <v>438.46930606019009</v>
      </c>
      <c r="BH78" s="59">
        <f t="shared" si="62"/>
        <v>731.80263939352335</v>
      </c>
      <c r="BI78" s="59">
        <f ca="1">AVERAGE(OFFSET($BH$3,0,0,'Données projet'!$E$11+1,1))-AVERAGE(OFFSET($H$3,0,0,'Données projet'!$E$11+1,1))</f>
        <v>276.78862011733338</v>
      </c>
      <c r="BJ78" s="59">
        <f t="shared" si="92"/>
        <v>202.1678469635836</v>
      </c>
      <c r="BK78" s="15">
        <f>IF(ISNA(VLOOKUP(A78,'Données projet'!$A$87:$I$107,3,0)),0,VLOOKUP(A78,'Données projet'!$A$87:$I$107,3,0))</f>
        <v>5</v>
      </c>
      <c r="BL78" s="15">
        <f>IF(ISNA(VLOOKUP(A78,'Données projet'!$A$87:$I$107,4,0)),0,VLOOKUP(A78,'Données projet'!$A$87:$I$107,4,0))</f>
        <v>78.307692307692307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286</v>
      </c>
      <c r="BW78" s="12">
        <f>VLOOKUP(A78,'Données projet'!$A$113:$I$133,9,0)</f>
        <v>5.2</v>
      </c>
      <c r="BX78" s="12">
        <f t="array" ref="BX78">INDEX(BW:BW,MIN(IF(ISNUMBER(BW78:BW274),ROW(BW78:BW274),"")))</f>
        <v>5.2</v>
      </c>
      <c r="BY78" s="12">
        <f>IF('Données projet'!$A$114&gt;35,BY77+BX78-CG77,IF(A78&lt;'Données projet'!$A$114,$BV$205^A78,IF(A78='Données projet'!$A$114,'Données projet'!$B$114,BY77+BX78-CG77)))</f>
        <v>285.99999999999972</v>
      </c>
      <c r="BZ78" s="13">
        <f>BY78*VLOOKUP('Données projet'!$B$12,Paramètres!$A$1:$I$89,3,0)*VLOOKUP('Données projet'!$B$12,Paramètres!$A$1:$I$89,5,0)</f>
        <v>223.07999999999979</v>
      </c>
      <c r="CA78" s="13">
        <f t="shared" si="93"/>
        <v>54.783765878062617</v>
      </c>
      <c r="CB78" s="20">
        <f t="shared" si="64"/>
        <v>483.94605890429199</v>
      </c>
      <c r="CC78" s="59">
        <f t="shared" si="65"/>
        <v>777.2793922376253</v>
      </c>
      <c r="CD78" s="59">
        <f ca="1">AVERAGE(OFFSET($CC$3,0,0,'Données projet'!$E$12+1,1))-AVERAGE(OFFSET($H$3,0,0,'Données projet'!$E$12+1,1))</f>
        <v>286.5685205631126</v>
      </c>
      <c r="CE78" s="59">
        <f t="shared" si="94"/>
        <v>264.17357326498581</v>
      </c>
      <c r="CF78" s="15" t="str">
        <f>IF(ISNA(VLOOKUP(A78,'Données projet'!$A$113:$I$133,3,0)),0,VLOOKUP(A78,'Données projet'!$A$113:$I$133,3,0))</f>
        <v>CR</v>
      </c>
      <c r="CG78" s="15">
        <f>IF(ISNA(VLOOKUP(A78,'Données projet'!$A$113:$I$133,4,0)),0,VLOOKUP(A78,'Données projet'!$A$113:$I$133,4,0))</f>
        <v>561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6.1</v>
      </c>
      <c r="N79" s="13">
        <f>IF('Données projet'!$A$36&gt;35,N78+M79-V78,IF(A79&lt;'Données projet'!$A$36,$K$205^A79,IF(A79='Données projet'!$A$36,'Données projet'!$B$36,N78+M79-V78)))</f>
        <v>257.60000000000025</v>
      </c>
      <c r="O79" s="13">
        <f>N79*VLOOKUP('Données projet'!$B$9,Paramètres!$A$1:$I$89,3,0)*VLOOKUP('Données projet'!$B$9,Paramètres!$A$1:$I$89,5,0)</f>
        <v>233.0764800000002</v>
      </c>
      <c r="P79" s="13">
        <f t="shared" si="87"/>
        <v>56.947373142454929</v>
      </c>
      <c r="Q79" s="20">
        <f t="shared" si="54"/>
        <v>505.1248775564427</v>
      </c>
      <c r="R79" s="59">
        <f t="shared" si="55"/>
        <v>798.45821088977596</v>
      </c>
      <c r="S79" s="59">
        <f ca="1">AVERAGE(OFFSET($R$3,0,0,'Données projet'!$E$9+1,1))-AVERAGE(OFFSET($H$3,0,0,'Données projet'!$E$9+1,1))</f>
        <v>346.35147716792028</v>
      </c>
      <c r="T79" s="59">
        <f t="shared" si="88"/>
        <v>231.36959598460686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5.5623632503198979E-5</v>
      </c>
      <c r="AC79" s="22">
        <f t="shared" si="57"/>
        <v>5.5623632503198979E-5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13.5</v>
      </c>
      <c r="AI79" s="13">
        <f>IF('Données projet'!$A$62&gt;35,AI78+AH79-AQ78,IF(A79&lt;'Données projet'!$A$62,$AF$205^A79,IF(A79='Données projet'!$A$62,'Données projet'!$B$62,AI78+AH79-AQ78)))</f>
        <v>909.00000000000023</v>
      </c>
      <c r="AJ79" s="13">
        <f>AI79*VLOOKUP('Données projet'!$B$10,Paramètres!$A$1:$I$89,3,0)*VLOOKUP('Données projet'!$B$10,Paramètres!$A$1:$I$89,5,0)</f>
        <v>543.58200000000011</v>
      </c>
      <c r="AK79" s="13">
        <f t="shared" si="89"/>
        <v>120.34617132643177</v>
      </c>
      <c r="AL79" s="20">
        <f t="shared" si="58"/>
        <v>1156.3415650602021</v>
      </c>
      <c r="AM79" s="59">
        <f t="shared" si="59"/>
        <v>1449.6748983935354</v>
      </c>
      <c r="AN79" s="59">
        <f ca="1">AVERAGE(OFFSET($AM$3,0,0,'Données projet'!$E$10+1,1))-AVERAGE(OFFSET($H$3,0,0,'Données projet'!$E$10+1,1))</f>
        <v>559.94918407141222</v>
      </c>
      <c r="AO79" s="59">
        <f t="shared" si="90"/>
        <v>334.6078891555664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13.901486924203441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1.9651749434720423E-5</v>
      </c>
      <c r="AX79" s="21">
        <f t="shared" si="60"/>
        <v>13.901506575952876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12.173076923076934</v>
      </c>
      <c r="BD79" s="12">
        <f>IF('Données projet'!$A$88&gt;35,BD78+BC79-BL78,IF(A79&lt;'Données projet'!$A$88,$BA$205^A79,IF(A79='Données projet'!$A$88,'Données projet'!$B$88,BD78+BC79-BL78)))</f>
        <v>364.73461538461544</v>
      </c>
      <c r="BE79" s="13">
        <f>BD79*VLOOKUP('Données projet'!$B$11,Paramètres!$A$1:$I$89,3,0)*VLOOKUP('Données projet'!$B$11,Paramètres!$A$1:$I$89,5,0)</f>
        <v>170.69580000000005</v>
      </c>
      <c r="BF79" s="13">
        <f t="shared" si="91"/>
        <v>43.245822573915277</v>
      </c>
      <c r="BG79" s="20">
        <f t="shared" si="61"/>
        <v>372.61499264956916</v>
      </c>
      <c r="BH79" s="59">
        <f t="shared" si="62"/>
        <v>665.94832598290247</v>
      </c>
      <c r="BI79" s="59">
        <f ca="1">AVERAGE(OFFSET($BH$3,0,0,'Données projet'!$E$11+1,1))-AVERAGE(OFFSET($H$3,0,0,'Données projet'!$E$11+1,1))</f>
        <v>276.78862011733338</v>
      </c>
      <c r="BJ79" s="59">
        <f t="shared" si="92"/>
        <v>202.1678469635836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-275.00000000000028</v>
      </c>
      <c r="BZ79" s="13">
        <f>BY79*VLOOKUP('Données projet'!$B$12,Paramètres!$A$1:$I$89,3,0)*VLOOKUP('Données projet'!$B$12,Paramètres!$A$1:$I$89,5,0)</f>
        <v>-214.50000000000023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286.5685205631126</v>
      </c>
      <c r="CE79" s="59">
        <f t="shared" si="94"/>
        <v>264.17357326498581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6.1</v>
      </c>
      <c r="N80" s="13">
        <f>IF('Données projet'!$A$36&gt;35,N79+M80-V79,IF(A80&lt;'Données projet'!$A$36,$K$205^A80,IF(A80='Données projet'!$A$36,'Données projet'!$B$36,N79+M80-V79)))</f>
        <v>263.70000000000027</v>
      </c>
      <c r="O80" s="13">
        <f>N80*VLOOKUP('Données projet'!$B$9,Paramètres!$A$1:$I$89,3,0)*VLOOKUP('Données projet'!$B$9,Paramètres!$A$1:$I$89,5,0)</f>
        <v>238.59576000000024</v>
      </c>
      <c r="P80" s="13">
        <f t="shared" si="87"/>
        <v>58.137298297430824</v>
      </c>
      <c r="Q80" s="20">
        <f t="shared" si="54"/>
        <v>516.81007653469237</v>
      </c>
      <c r="R80" s="59">
        <f t="shared" si="55"/>
        <v>810.14340986802563</v>
      </c>
      <c r="S80" s="59">
        <f ca="1">AVERAGE(OFFSET($R$3,0,0,'Données projet'!$E$9+1,1))-AVERAGE(OFFSET($H$3,0,0,'Données projet'!$E$9+1,1))</f>
        <v>346.35147716792028</v>
      </c>
      <c r="T80" s="59">
        <f t="shared" si="88"/>
        <v>231.36959598460686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3.9331847737240452E-5</v>
      </c>
      <c r="AC80" s="22">
        <f t="shared" si="57"/>
        <v>3.9331847737240452E-5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13.5</v>
      </c>
      <c r="AI80" s="13">
        <f>IF('Données projet'!$A$62&gt;35,AI79+AH80-AQ79,IF(A80&lt;'Données projet'!$A$62,$AF$205^A80,IF(A80='Données projet'!$A$62,'Données projet'!$B$62,AI79+AH80-AQ79)))</f>
        <v>922.50000000000023</v>
      </c>
      <c r="AJ80" s="13">
        <f>AI80*VLOOKUP('Données projet'!$B$10,Paramètres!$A$1:$I$89,3,0)*VLOOKUP('Données projet'!$B$10,Paramètres!$A$1:$I$89,5,0)</f>
        <v>551.6550000000002</v>
      </c>
      <c r="AK80" s="13">
        <f t="shared" si="89"/>
        <v>121.92408915589363</v>
      </c>
      <c r="AL80" s="20">
        <f t="shared" si="58"/>
        <v>1173.1502469465152</v>
      </c>
      <c r="AM80" s="59">
        <f t="shared" si="59"/>
        <v>1466.4835802798484</v>
      </c>
      <c r="AN80" s="59">
        <f ca="1">AVERAGE(OFFSET($AM$3,0,0,'Données projet'!$E$10+1,1))-AVERAGE(OFFSET($H$3,0,0,'Données projet'!$E$10+1,1))</f>
        <v>559.94918407141222</v>
      </c>
      <c r="AO80" s="59">
        <f t="shared" si="90"/>
        <v>334.6078891555664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13.628887244689597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1.3895885287469714E-5</v>
      </c>
      <c r="AX80" s="21">
        <f t="shared" si="60"/>
        <v>13.628901140574884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12.173076923076934</v>
      </c>
      <c r="BD80" s="12">
        <f>IF('Données projet'!$A$88&gt;35,BD79+BC80-BL79,IF(A80&lt;'Données projet'!$A$88,$BA$205^A80,IF(A80='Données projet'!$A$88,'Données projet'!$B$88,BD79+BC80-BL79)))</f>
        <v>376.9076923076924</v>
      </c>
      <c r="BE80" s="13">
        <f>BD80*VLOOKUP('Données projet'!$B$11,Paramètres!$A$1:$I$89,3,0)*VLOOKUP('Données projet'!$B$11,Paramètres!$A$1:$I$89,5,0)</f>
        <v>176.39280000000005</v>
      </c>
      <c r="BF80" s="13">
        <f t="shared" si="91"/>
        <v>44.518707550240585</v>
      </c>
      <c r="BG80" s="20">
        <f t="shared" si="61"/>
        <v>384.75420898333573</v>
      </c>
      <c r="BH80" s="59">
        <f t="shared" si="62"/>
        <v>678.08754231666899</v>
      </c>
      <c r="BI80" s="59">
        <f ca="1">AVERAGE(OFFSET($BH$3,0,0,'Données projet'!$E$11+1,1))-AVERAGE(OFFSET($H$3,0,0,'Données projet'!$E$11+1,1))</f>
        <v>276.78862011733338</v>
      </c>
      <c r="BJ80" s="59">
        <f t="shared" si="92"/>
        <v>202.1678469635836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-275.00000000000028</v>
      </c>
      <c r="BZ80" s="13">
        <f>BY80*VLOOKUP('Données projet'!$B$12,Paramètres!$A$1:$I$89,3,0)*VLOOKUP('Données projet'!$B$12,Paramètres!$A$1:$I$89,5,0)</f>
        <v>-214.50000000000023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286.5685205631126</v>
      </c>
      <c r="CE80" s="59">
        <f t="shared" si="94"/>
        <v>264.17357326498581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6.1</v>
      </c>
      <c r="N81" s="13">
        <f>IF('Données projet'!$A$36&gt;35,N80+M81-V80,IF(A81&lt;'Données projet'!$A$36,$K$205^A81,IF(A81='Données projet'!$A$36,'Données projet'!$B$36,N80+M81-V80)))</f>
        <v>269.8000000000003</v>
      </c>
      <c r="O81" s="13">
        <f>N81*VLOOKUP('Données projet'!$B$9,Paramètres!$A$1:$I$89,3,0)*VLOOKUP('Données projet'!$B$9,Paramètres!$A$1:$I$89,5,0)</f>
        <v>244.11504000000025</v>
      </c>
      <c r="P81" s="13">
        <f t="shared" si="87"/>
        <v>59.324023461759118</v>
      </c>
      <c r="Q81" s="20">
        <f t="shared" si="54"/>
        <v>528.48970219589762</v>
      </c>
      <c r="R81" s="59">
        <f t="shared" si="55"/>
        <v>821.82303552923099</v>
      </c>
      <c r="S81" s="59">
        <f ca="1">AVERAGE(OFFSET($R$3,0,0,'Données projet'!$E$9+1,1))-AVERAGE(OFFSET($H$3,0,0,'Données projet'!$E$9+1,1))</f>
        <v>346.35147716792028</v>
      </c>
      <c r="T81" s="59">
        <f t="shared" si="88"/>
        <v>231.36959598460686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2.7811816251599489E-5</v>
      </c>
      <c r="AC81" s="22">
        <f t="shared" si="57"/>
        <v>2.7811816251599489E-5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13.5</v>
      </c>
      <c r="AI81" s="13">
        <f>IF('Données projet'!$A$62&gt;35,AI80+AH81-AQ80,IF(A81&lt;'Données projet'!$A$62,$AF$205^A81,IF(A81='Données projet'!$A$62,'Données projet'!$B$62,AI80+AH81-AQ80)))</f>
        <v>936.00000000000023</v>
      </c>
      <c r="AJ81" s="13">
        <f>AI81*VLOOKUP('Données projet'!$B$10,Paramètres!$A$1:$I$89,3,0)*VLOOKUP('Données projet'!$B$10,Paramètres!$A$1:$I$89,5,0)</f>
        <v>559.72800000000018</v>
      </c>
      <c r="AK81" s="13">
        <f t="shared" si="89"/>
        <v>123.49932132363658</v>
      </c>
      <c r="AL81" s="20">
        <f t="shared" si="58"/>
        <v>1189.9542513053341</v>
      </c>
      <c r="AM81" s="59">
        <f t="shared" si="59"/>
        <v>1483.2875846386673</v>
      </c>
      <c r="AN81" s="59">
        <f ca="1">AVERAGE(OFFSET($AM$3,0,0,'Données projet'!$E$10+1,1))-AVERAGE(OFFSET($H$3,0,0,'Données projet'!$E$10+1,1))</f>
        <v>559.94918407141222</v>
      </c>
      <c r="AO81" s="59">
        <f t="shared" si="90"/>
        <v>334.6078891555664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13.361633078621633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9.8258747173602117E-6</v>
      </c>
      <c r="AX81" s="21">
        <f t="shared" si="60"/>
        <v>13.36164290449635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12.173076923076934</v>
      </c>
      <c r="BD81" s="12">
        <f>IF('Données projet'!$A$88&gt;35,BD80+BC81-BL80,IF(A81&lt;'Données projet'!$A$88,$BA$205^A81,IF(A81='Données projet'!$A$88,'Données projet'!$B$88,BD80+BC81-BL80)))</f>
        <v>389.08076923076931</v>
      </c>
      <c r="BE81" s="13">
        <f>BD81*VLOOKUP('Données projet'!$B$11,Paramètres!$A$1:$I$89,3,0)*VLOOKUP('Données projet'!$B$11,Paramètres!$A$1:$I$89,5,0)</f>
        <v>182.08980000000005</v>
      </c>
      <c r="BF81" s="13">
        <f t="shared" si="91"/>
        <v>45.786815351095733</v>
      </c>
      <c r="BG81" s="20">
        <f t="shared" si="61"/>
        <v>396.88510506982516</v>
      </c>
      <c r="BH81" s="59">
        <f t="shared" si="62"/>
        <v>690.21843840315842</v>
      </c>
      <c r="BI81" s="59">
        <f ca="1">AVERAGE(OFFSET($BH$3,0,0,'Données projet'!$E$11+1,1))-AVERAGE(OFFSET($H$3,0,0,'Données projet'!$E$11+1,1))</f>
        <v>276.78862011733338</v>
      </c>
      <c r="BJ81" s="59">
        <f t="shared" si="92"/>
        <v>202.1678469635836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-275.00000000000028</v>
      </c>
      <c r="BZ81" s="13">
        <f>BY81*VLOOKUP('Données projet'!$B$12,Paramètres!$A$1:$I$89,3,0)*VLOOKUP('Données projet'!$B$12,Paramètres!$A$1:$I$89,5,0)</f>
        <v>-214.50000000000023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286.5685205631126</v>
      </c>
      <c r="CE81" s="59">
        <f t="shared" si="94"/>
        <v>264.17357326498581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6.1</v>
      </c>
      <c r="N82" s="13">
        <f>IF('Données projet'!$A$36&gt;35,N81+M82-V81,IF(A82&lt;'Données projet'!$A$36,$K$205^A82,IF(A82='Données projet'!$A$36,'Données projet'!$B$36,N81+M82-V81)))</f>
        <v>275.90000000000032</v>
      </c>
      <c r="O82" s="13">
        <f>N82*VLOOKUP('Données projet'!$B$9,Paramètres!$A$1:$I$89,3,0)*VLOOKUP('Données projet'!$B$9,Paramètres!$A$1:$I$89,5,0)</f>
        <v>249.63432000000026</v>
      </c>
      <c r="P82" s="13">
        <f t="shared" si="87"/>
        <v>60.507629314318471</v>
      </c>
      <c r="Q82" s="20">
        <f t="shared" si="54"/>
        <v>540.16389505577172</v>
      </c>
      <c r="R82" s="59">
        <f t="shared" si="55"/>
        <v>833.49722838910498</v>
      </c>
      <c r="S82" s="59">
        <f ca="1">AVERAGE(OFFSET($R$3,0,0,'Données projet'!$E$9+1,1))-AVERAGE(OFFSET($H$3,0,0,'Données projet'!$E$9+1,1))</f>
        <v>346.35147716792028</v>
      </c>
      <c r="T82" s="59">
        <f t="shared" si="88"/>
        <v>231.36959598460686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1.9665923868620226E-5</v>
      </c>
      <c r="AC82" s="22">
        <f t="shared" si="57"/>
        <v>1.9665923868620226E-5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13.5</v>
      </c>
      <c r="AI82" s="13">
        <f>IF('Données projet'!$A$62&gt;35,AI81+AH82-AQ81,IF(A82&lt;'Données projet'!$A$62,$AF$205^A82,IF(A82='Données projet'!$A$62,'Données projet'!$B$62,AI81+AH82-AQ81)))</f>
        <v>949.50000000000023</v>
      </c>
      <c r="AJ82" s="13">
        <f>AI82*VLOOKUP('Données projet'!$B$10,Paramètres!$A$1:$I$89,3,0)*VLOOKUP('Données projet'!$B$10,Paramètres!$A$1:$I$89,5,0)</f>
        <v>567.80100000000016</v>
      </c>
      <c r="AK82" s="13">
        <f t="shared" si="89"/>
        <v>125.07191104071512</v>
      </c>
      <c r="AL82" s="20">
        <f t="shared" si="58"/>
        <v>1206.7536533959126</v>
      </c>
      <c r="AM82" s="59">
        <f t="shared" si="59"/>
        <v>1500.0869867292458</v>
      </c>
      <c r="AN82" s="59">
        <f ca="1">AVERAGE(OFFSET($AM$3,0,0,'Données projet'!$E$10+1,1))-AVERAGE(OFFSET($H$3,0,0,'Données projet'!$E$10+1,1))</f>
        <v>559.94918407141222</v>
      </c>
      <c r="AO82" s="59">
        <f t="shared" si="90"/>
        <v>334.6078891555664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13.099619603741315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6.9479426437348568E-6</v>
      </c>
      <c r="AX82" s="21">
        <f t="shared" si="60"/>
        <v>13.09962655168396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>
        <f>VLOOKUP(A82,'Données projet'!$A$87:$I$107,2,0)</f>
        <v>401.25384615384615</v>
      </c>
      <c r="BB82" s="12">
        <f>VLOOKUP(A82,'Données projet'!$A$87:$I$107,9,0)</f>
        <v>12.173076923076934</v>
      </c>
      <c r="BC82" s="12">
        <f t="array" ref="BC82">INDEX(BB:BB,MIN(IF(ISNUMBER(BB82:BB278),ROW(BB82:BB278),"")))</f>
        <v>12.173076923076934</v>
      </c>
      <c r="BD82" s="12">
        <f>IF('Données projet'!$A$88&gt;35,BD81+BC82-BL81,IF(A82&lt;'Données projet'!$A$88,$BA$205^A82,IF(A82='Données projet'!$A$88,'Données projet'!$B$88,BD81+BC82-BL81)))</f>
        <v>401.25384615384621</v>
      </c>
      <c r="BE82" s="13">
        <f>BD82*VLOOKUP('Données projet'!$B$11,Paramètres!$A$1:$I$89,3,0)*VLOOKUP('Données projet'!$B$11,Paramètres!$A$1:$I$89,5,0)</f>
        <v>187.78680000000003</v>
      </c>
      <c r="BF82" s="13">
        <f t="shared" si="91"/>
        <v>47.050312587934037</v>
      </c>
      <c r="BG82" s="20">
        <f t="shared" si="61"/>
        <v>409.00797109065178</v>
      </c>
      <c r="BH82" s="59">
        <f t="shared" si="62"/>
        <v>702.34130442398509</v>
      </c>
      <c r="BI82" s="59">
        <f ca="1">AVERAGE(OFFSET($BH$3,0,0,'Données projet'!$E$11+1,1))-AVERAGE(OFFSET($H$3,0,0,'Données projet'!$E$11+1,1))</f>
        <v>276.78862011733338</v>
      </c>
      <c r="BJ82" s="59">
        <f t="shared" si="92"/>
        <v>202.1678469635836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-275.00000000000028</v>
      </c>
      <c r="BZ82" s="13">
        <f>BY82*VLOOKUP('Données projet'!$B$12,Paramètres!$A$1:$I$89,3,0)*VLOOKUP('Données projet'!$B$12,Paramètres!$A$1:$I$89,5,0)</f>
        <v>-214.50000000000023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286.5685205631126</v>
      </c>
      <c r="CE82" s="59">
        <f t="shared" si="94"/>
        <v>264.17357326498581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282</v>
      </c>
      <c r="L83" s="12">
        <f>VLOOKUP(A83,'Données projet'!$A$35:$I$55,9,0)</f>
        <v>6.1</v>
      </c>
      <c r="M83" s="12">
        <f t="array" ref="M83">INDEX(L:L,MIN(IF(ISNUMBER(L83:L279),ROW(L83:L279),"")))</f>
        <v>6.1</v>
      </c>
      <c r="N83" s="13">
        <f>IF('Données projet'!$A$36&gt;35,N82+M83-V82,IF(A83&lt;'Données projet'!$A$36,$K$205^A83,IF(A83='Données projet'!$A$36,'Données projet'!$B$36,N82+M83-V82)))</f>
        <v>282.00000000000034</v>
      </c>
      <c r="O83" s="13">
        <f>N83*VLOOKUP('Données projet'!$B$9,Paramètres!$A$1:$I$89,3,0)*VLOOKUP('Données projet'!$B$9,Paramètres!$A$1:$I$89,5,0)</f>
        <v>255.15360000000027</v>
      </c>
      <c r="P83" s="13">
        <f t="shared" si="87"/>
        <v>61.688192762754483</v>
      </c>
      <c r="Q83" s="20">
        <f t="shared" si="54"/>
        <v>551.83278906179783</v>
      </c>
      <c r="R83" s="59">
        <f t="shared" si="55"/>
        <v>845.1661223951312</v>
      </c>
      <c r="S83" s="59">
        <f ca="1">AVERAGE(OFFSET($R$3,0,0,'Données projet'!$E$9+1,1))-AVERAGE(OFFSET($H$3,0,0,'Données projet'!$E$9+1,1))</f>
        <v>346.35147716792028</v>
      </c>
      <c r="T83" s="59">
        <f t="shared" si="88"/>
        <v>231.36959598460686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42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1.3905908125799745E-5</v>
      </c>
      <c r="AC83" s="22">
        <f t="shared" si="57"/>
        <v>1.3905908125799745E-5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13.5</v>
      </c>
      <c r="AI83" s="13">
        <f>IF('Données projet'!$A$62&gt;35,AI82+AH83-AQ82,IF(A83&lt;'Données projet'!$A$62,$AF$205^A83,IF(A83='Données projet'!$A$62,'Données projet'!$B$62,AI82+AH83-AQ82)))</f>
        <v>963.00000000000023</v>
      </c>
      <c r="AJ83" s="13">
        <f>AI83*VLOOKUP('Données projet'!$B$10,Paramètres!$A$1:$I$89,3,0)*VLOOKUP('Données projet'!$B$10,Paramètres!$A$1:$I$89,5,0)</f>
        <v>575.87400000000014</v>
      </c>
      <c r="AK83" s="13">
        <f t="shared" si="89"/>
        <v>126.64190021886454</v>
      </c>
      <c r="AL83" s="20">
        <f t="shared" si="58"/>
        <v>1223.5485262145223</v>
      </c>
      <c r="AM83" s="59">
        <f t="shared" si="59"/>
        <v>1516.8818595478556</v>
      </c>
      <c r="AN83" s="59">
        <f ca="1">AVERAGE(OFFSET($AM$3,0,0,'Données projet'!$E$10+1,1))-AVERAGE(OFFSET($H$3,0,0,'Données projet'!$E$10+1,1))</f>
        <v>559.94918407141222</v>
      </c>
      <c r="AO83" s="59">
        <f t="shared" si="90"/>
        <v>334.6078891555664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12.842744053290961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4.9129373586801058E-6</v>
      </c>
      <c r="AX83" s="21">
        <f t="shared" si="60"/>
        <v>12.842748966228319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12.346153846153854</v>
      </c>
      <c r="BD83" s="12">
        <f>IF('Données projet'!$A$88&gt;35,BD82+BC83-BL82,IF(A83&lt;'Données projet'!$A$88,$BA$205^A83,IF(A83='Données projet'!$A$88,'Données projet'!$B$88,BD82+BC83-BL82)))</f>
        <v>413.60000000000008</v>
      </c>
      <c r="BE83" s="13">
        <f>BD83*VLOOKUP('Données projet'!$B$11,Paramètres!$A$1:$I$89,3,0)*VLOOKUP('Données projet'!$B$11,Paramètres!$A$1:$I$89,5,0)</f>
        <v>193.56480000000002</v>
      </c>
      <c r="BF83" s="13">
        <f t="shared" si="91"/>
        <v>48.327224868697201</v>
      </c>
      <c r="BG83" s="20">
        <f t="shared" si="61"/>
        <v>421.29527664631428</v>
      </c>
      <c r="BH83" s="59">
        <f t="shared" si="62"/>
        <v>714.62860997964754</v>
      </c>
      <c r="BI83" s="59">
        <f ca="1">AVERAGE(OFFSET($BH$3,0,0,'Données projet'!$E$11+1,1))-AVERAGE(OFFSET($H$3,0,0,'Données projet'!$E$11+1,1))</f>
        <v>276.78862011733338</v>
      </c>
      <c r="BJ83" s="59">
        <f t="shared" si="92"/>
        <v>202.1678469635836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-275.00000000000028</v>
      </c>
      <c r="BZ83" s="13">
        <f>BY83*VLOOKUP('Données projet'!$B$12,Paramètres!$A$1:$I$89,3,0)*VLOOKUP('Données projet'!$B$12,Paramètres!$A$1:$I$89,5,0)</f>
        <v>-214.50000000000023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286.5685205631126</v>
      </c>
      <c r="CE83" s="59">
        <f t="shared" si="94"/>
        <v>264.17357326498581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5.6</v>
      </c>
      <c r="N84" s="13">
        <f>IF('Données projet'!$A$36&gt;35,N83+M84-V83,IF(A84&lt;'Données projet'!$A$36,$K$205^A84,IF(A84='Données projet'!$A$36,'Données projet'!$B$36,N83+M84-V83)))</f>
        <v>245.60000000000036</v>
      </c>
      <c r="O84" s="13">
        <f>N84*VLOOKUP('Données projet'!$B$9,Paramètres!$A$1:$I$89,3,0)*VLOOKUP('Données projet'!$B$9,Paramètres!$A$1:$I$89,5,0)</f>
        <v>222.21888000000033</v>
      </c>
      <c r="P84" s="13">
        <f t="shared" si="87"/>
        <v>54.596866296848951</v>
      </c>
      <c r="Q84" s="20">
        <f t="shared" si="54"/>
        <v>482.12075813367915</v>
      </c>
      <c r="R84" s="59">
        <f t="shared" si="55"/>
        <v>775.4540914670124</v>
      </c>
      <c r="S84" s="59">
        <f ca="1">AVERAGE(OFFSET($R$3,0,0,'Données projet'!$E$9+1,1))-AVERAGE(OFFSET($H$3,0,0,'Données projet'!$E$9+1,1))</f>
        <v>346.35147716792028</v>
      </c>
      <c r="T84" s="59">
        <f t="shared" si="88"/>
        <v>231.36959598460686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9.8329619343101131E-6</v>
      </c>
      <c r="AC84" s="22">
        <f t="shared" si="57"/>
        <v>9.8329619343101131E-6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13.5</v>
      </c>
      <c r="AI84" s="13">
        <f>IF('Données projet'!$A$62&gt;35,AI83+AH84-AQ83,IF(A84&lt;'Données projet'!$A$62,$AF$205^A84,IF(A84='Données projet'!$A$62,'Données projet'!$B$62,AI83+AH84-AQ83)))</f>
        <v>976.50000000000023</v>
      </c>
      <c r="AJ84" s="13">
        <f>AI84*VLOOKUP('Données projet'!$B$10,Paramètres!$A$1:$I$89,3,0)*VLOOKUP('Données projet'!$B$10,Paramètres!$A$1:$I$89,5,0)</f>
        <v>583.94700000000012</v>
      </c>
      <c r="AK84" s="13">
        <f t="shared" si="89"/>
        <v>128.2093295272272</v>
      </c>
      <c r="AL84" s="20">
        <f t="shared" si="58"/>
        <v>1240.3389405932542</v>
      </c>
      <c r="AM84" s="59">
        <f t="shared" si="59"/>
        <v>1533.6722739265874</v>
      </c>
      <c r="AN84" s="59">
        <f ca="1">AVERAGE(OFFSET($AM$3,0,0,'Données projet'!$E$10+1,1))-AVERAGE(OFFSET($H$3,0,0,'Données projet'!$E$10+1,1))</f>
        <v>559.94918407141222</v>
      </c>
      <c r="AO84" s="59">
        <f t="shared" si="90"/>
        <v>334.6078891555664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12.590905675706324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3.4739713218674284E-6</v>
      </c>
      <c r="AX84" s="21">
        <f t="shared" si="60"/>
        <v>12.590909149677646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12.346153846153854</v>
      </c>
      <c r="BD84" s="12">
        <f>IF('Données projet'!$A$88&gt;35,BD83+BC84-BL83,IF(A84&lt;'Données projet'!$A$88,$BA$205^A84,IF(A84='Données projet'!$A$88,'Données projet'!$B$88,BD83+BC84-BL83)))</f>
        <v>425.94615384615395</v>
      </c>
      <c r="BE84" s="13">
        <f>BD84*VLOOKUP('Données projet'!$B$11,Paramètres!$A$1:$I$89,3,0)*VLOOKUP('Données projet'!$B$11,Paramètres!$A$1:$I$89,5,0)</f>
        <v>199.34280000000004</v>
      </c>
      <c r="BF84" s="13">
        <f t="shared" si="91"/>
        <v>49.599707400958017</v>
      </c>
      <c r="BG84" s="20">
        <f t="shared" si="61"/>
        <v>433.57486705666861</v>
      </c>
      <c r="BH84" s="59">
        <f t="shared" si="62"/>
        <v>726.90820039000187</v>
      </c>
      <c r="BI84" s="59">
        <f ca="1">AVERAGE(OFFSET($BH$3,0,0,'Données projet'!$E$11+1,1))-AVERAGE(OFFSET($H$3,0,0,'Données projet'!$E$11+1,1))</f>
        <v>276.78862011733338</v>
      </c>
      <c r="BJ84" s="59">
        <f t="shared" si="92"/>
        <v>202.1678469635836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-275.00000000000028</v>
      </c>
      <c r="BZ84" s="13">
        <f>BY84*VLOOKUP('Données projet'!$B$12,Paramètres!$A$1:$I$89,3,0)*VLOOKUP('Données projet'!$B$12,Paramètres!$A$1:$I$89,5,0)</f>
        <v>-214.50000000000023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286.5685205631126</v>
      </c>
      <c r="CE84" s="59">
        <f t="shared" si="94"/>
        <v>264.17357326498581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5.6</v>
      </c>
      <c r="N85" s="13">
        <f>IF('Données projet'!$A$36&gt;35,N84+M85-V84,IF(A85&lt;'Données projet'!$A$36,$K$205^A85,IF(A85='Données projet'!$A$36,'Données projet'!$B$36,N84+M85-V84)))</f>
        <v>251.20000000000036</v>
      </c>
      <c r="O85" s="13">
        <f>N85*VLOOKUP('Données projet'!$B$9,Paramètres!$A$1:$I$89,3,0)*VLOOKUP('Données projet'!$B$9,Paramètres!$A$1:$I$89,5,0)</f>
        <v>227.28576000000032</v>
      </c>
      <c r="P85" s="13">
        <f t="shared" si="87"/>
        <v>55.695394520076427</v>
      </c>
      <c r="Q85" s="20">
        <f t="shared" si="54"/>
        <v>492.85884412246702</v>
      </c>
      <c r="R85" s="59">
        <f t="shared" si="55"/>
        <v>786.19217745580033</v>
      </c>
      <c r="S85" s="59">
        <f ca="1">AVERAGE(OFFSET($R$3,0,0,'Données projet'!$E$9+1,1))-AVERAGE(OFFSET($H$3,0,0,'Données projet'!$E$9+1,1))</f>
        <v>346.35147716792028</v>
      </c>
      <c r="T85" s="59">
        <f t="shared" si="88"/>
        <v>231.36959598460686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6.9529540628998723E-6</v>
      </c>
      <c r="AC85" s="22">
        <f t="shared" si="57"/>
        <v>6.9529540628998723E-6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>
        <f>VLOOKUP(A85,'Données projet'!$A$61:$I$81,2,0)</f>
        <v>990</v>
      </c>
      <c r="AG85" s="12">
        <f>VLOOKUP(A85,'Données projet'!$A$61:$I$81,9,0)</f>
        <v>13.5</v>
      </c>
      <c r="AH85" s="12">
        <f t="array" ref="AH85">INDEX(AG:AG,MIN(IF(ISNUMBER(AG85:AG281),ROW(AG85:AG281),"")))</f>
        <v>13.5</v>
      </c>
      <c r="AI85" s="13">
        <f>IF('Données projet'!$A$62&gt;35,AI84+AH85-AQ84,IF(A85&lt;'Données projet'!$A$62,$AF$205^A85,IF(A85='Données projet'!$A$62,'Données projet'!$B$62,AI84+AH85-AQ84)))</f>
        <v>990.00000000000023</v>
      </c>
      <c r="AJ85" s="13">
        <f>AI85*VLOOKUP('Données projet'!$B$10,Paramètres!$A$1:$I$89,3,0)*VLOOKUP('Données projet'!$B$10,Paramètres!$A$1:$I$89,5,0)</f>
        <v>592.02000000000021</v>
      </c>
      <c r="AK85" s="13">
        <f t="shared" si="89"/>
        <v>129.77423844585118</v>
      </c>
      <c r="AL85" s="20">
        <f t="shared" si="58"/>
        <v>1257.1249652931911</v>
      </c>
      <c r="AM85" s="59">
        <f t="shared" si="59"/>
        <v>1550.4582986265243</v>
      </c>
      <c r="AN85" s="59">
        <f ca="1">AVERAGE(OFFSET($AM$3,0,0,'Données projet'!$E$10+1,1))-AVERAGE(OFFSET($H$3,0,0,'Données projet'!$E$10+1,1))</f>
        <v>559.94918407141222</v>
      </c>
      <c r="AO85" s="59">
        <f t="shared" si="90"/>
        <v>334.6078891555664</v>
      </c>
      <c r="AP85" s="15" t="str">
        <f>IF(ISNA(VLOOKUP(A85,'Données projet'!$A$61:$I$81,3,0)),0,VLOOKUP(A85,'Données projet'!$A$61:$I$81,3,0))</f>
        <v>CR</v>
      </c>
      <c r="AQ85" s="15">
        <f>IF(ISNA(VLOOKUP(A85,'Données projet'!$A$61:$I$81,4,0)),0,VLOOKUP(A85,'Données projet'!$A$61:$I$81,4,0))</f>
        <v>26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12.344005695099879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2.4564686793400529E-6</v>
      </c>
      <c r="AX85" s="21">
        <f t="shared" si="60"/>
        <v>12.344008151568559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12.346153846153854</v>
      </c>
      <c r="BD85" s="12">
        <f>IF('Données projet'!$A$88&gt;35,BD84+BC85-BL84,IF(A85&lt;'Données projet'!$A$88,$BA$205^A85,IF(A85='Données projet'!$A$88,'Données projet'!$B$88,BD84+BC85-BL84)))</f>
        <v>438.29230769230782</v>
      </c>
      <c r="BE85" s="13">
        <f>BD85*VLOOKUP('Données projet'!$B$11,Paramètres!$A$1:$I$89,3,0)*VLOOKUP('Données projet'!$B$11,Paramètres!$A$1:$I$89,5,0)</f>
        <v>205.12080000000009</v>
      </c>
      <c r="BF85" s="13">
        <f t="shared" si="91"/>
        <v>50.867903326601969</v>
      </c>
      <c r="BG85" s="20">
        <f t="shared" si="61"/>
        <v>445.84699162716521</v>
      </c>
      <c r="BH85" s="59">
        <f t="shared" si="62"/>
        <v>739.18032496049852</v>
      </c>
      <c r="BI85" s="59">
        <f ca="1">AVERAGE(OFFSET($BH$3,0,0,'Données projet'!$E$11+1,1))-AVERAGE(OFFSET($H$3,0,0,'Données projet'!$E$11+1,1))</f>
        <v>276.78862011733338</v>
      </c>
      <c r="BJ85" s="59">
        <f t="shared" si="92"/>
        <v>202.1678469635836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-275.00000000000028</v>
      </c>
      <c r="BZ85" s="13">
        <f>BY85*VLOOKUP('Données projet'!$B$12,Paramètres!$A$1:$I$89,3,0)*VLOOKUP('Données projet'!$B$12,Paramètres!$A$1:$I$89,5,0)</f>
        <v>-214.50000000000023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286.5685205631126</v>
      </c>
      <c r="CE85" s="59">
        <f t="shared" si="94"/>
        <v>264.17357326498581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5.6</v>
      </c>
      <c r="N86" s="13">
        <f>IF('Données projet'!$A$36&gt;35,N85+M86-V85,IF(A86&lt;'Données projet'!$A$36,$K$205^A86,IF(A86='Données projet'!$A$36,'Données projet'!$B$36,N85+M86-V85)))</f>
        <v>256.80000000000035</v>
      </c>
      <c r="O86" s="13">
        <f>N86*VLOOKUP('Données projet'!$B$9,Paramètres!$A$1:$I$89,3,0)*VLOOKUP('Données projet'!$B$9,Paramètres!$A$1:$I$89,5,0)</f>
        <v>232.35264000000029</v>
      </c>
      <c r="P86" s="13">
        <f t="shared" si="87"/>
        <v>56.791075613550355</v>
      </c>
      <c r="Q86" s="20">
        <f t="shared" si="54"/>
        <v>503.59197136026728</v>
      </c>
      <c r="R86" s="59">
        <f t="shared" si="55"/>
        <v>796.92530469360054</v>
      </c>
      <c r="S86" s="59">
        <f ca="1">AVERAGE(OFFSET($R$3,0,0,'Données projet'!$E$9+1,1))-AVERAGE(OFFSET($H$3,0,0,'Données projet'!$E$9+1,1))</f>
        <v>346.35147716792028</v>
      </c>
      <c r="T86" s="59">
        <f t="shared" si="88"/>
        <v>231.36959598460686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4.9164809671550565E-6</v>
      </c>
      <c r="AC86" s="22">
        <f t="shared" si="57"/>
        <v>4.9164809671550565E-6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964.00000000000023</v>
      </c>
      <c r="AJ86" s="13">
        <f>AI86*VLOOKUP('Données projet'!$B$10,Paramètres!$A$1:$I$89,3,0)*VLOOKUP('Données projet'!$B$10,Paramètres!$A$1:$I$89,5,0)</f>
        <v>576.47200000000021</v>
      </c>
      <c r="AK86" s="13">
        <f t="shared" si="89"/>
        <v>126.75809338895206</v>
      </c>
      <c r="AL86" s="20">
        <f t="shared" si="58"/>
        <v>1224.7924126524251</v>
      </c>
      <c r="AM86" s="59">
        <f t="shared" si="59"/>
        <v>1518.1257459857584</v>
      </c>
      <c r="AN86" s="59">
        <f ca="1">AVERAGE(OFFSET($AM$3,0,0,'Données projet'!$E$10+1,1))-AVERAGE(OFFSET($H$3,0,0,'Données projet'!$E$10+1,1))</f>
        <v>559.94918407141222</v>
      </c>
      <c r="AO86" s="59">
        <f t="shared" si="90"/>
        <v>334.6078891555664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12.101947272519007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1.7369856609337142E-6</v>
      </c>
      <c r="AX86" s="21">
        <f t="shared" si="60"/>
        <v>12.101949009504668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>
        <f>VLOOKUP(A86,'Données projet'!$A$87:$I$107,2,0)</f>
        <v>450.63846153846157</v>
      </c>
      <c r="BB86" s="12">
        <f>VLOOKUP(A86,'Données projet'!$A$87:$I$107,9,0)</f>
        <v>12.346153846153854</v>
      </c>
      <c r="BC86" s="12">
        <f t="array" ref="BC86">INDEX(BB:BB,MIN(IF(ISNUMBER(BB86:BB282),ROW(BB86:BB282),"")))</f>
        <v>12.346153846153854</v>
      </c>
      <c r="BD86" s="12">
        <f>IF('Données projet'!$A$88&gt;35,BD85+BC86-BL85,IF(A86&lt;'Données projet'!$A$88,$BA$205^A86,IF(A86='Données projet'!$A$88,'Données projet'!$B$88,BD85+BC86-BL85)))</f>
        <v>450.63846153846168</v>
      </c>
      <c r="BE86" s="13">
        <f>BD86*VLOOKUP('Données projet'!$B$11,Paramètres!$A$1:$I$89,3,0)*VLOOKUP('Données projet'!$B$11,Paramètres!$A$1:$I$89,5,0)</f>
        <v>210.89880000000008</v>
      </c>
      <c r="BF86" s="13">
        <f t="shared" si="91"/>
        <v>52.131947264479528</v>
      </c>
      <c r="BG86" s="20">
        <f t="shared" si="61"/>
        <v>458.11188481896869</v>
      </c>
      <c r="BH86" s="59">
        <f t="shared" si="62"/>
        <v>751.445218152302</v>
      </c>
      <c r="BI86" s="59">
        <f ca="1">AVERAGE(OFFSET($BH$3,0,0,'Données projet'!$E$11+1,1))-AVERAGE(OFFSET($H$3,0,0,'Données projet'!$E$11+1,1))</f>
        <v>276.78862011733338</v>
      </c>
      <c r="BJ86" s="59">
        <f t="shared" si="92"/>
        <v>202.1678469635836</v>
      </c>
      <c r="BK86" s="15">
        <f>IF(ISNA(VLOOKUP(A86,'Données projet'!$A$87:$I$107,3,0)),0,VLOOKUP(A86,'Données projet'!$A$87:$I$107,3,0))</f>
        <v>6</v>
      </c>
      <c r="BL86" s="15">
        <f>IF(ISNA(VLOOKUP(A86,'Données projet'!$A$87:$I$107,4,0)),0,VLOOKUP(A86,'Données projet'!$A$87:$I$107,4,0))</f>
        <v>79.707692307692312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-275.00000000000028</v>
      </c>
      <c r="BZ86" s="13">
        <f>BY86*VLOOKUP('Données projet'!$B$12,Paramètres!$A$1:$I$89,3,0)*VLOOKUP('Données projet'!$B$12,Paramètres!$A$1:$I$89,5,0)</f>
        <v>-214.50000000000023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286.5685205631126</v>
      </c>
      <c r="CE86" s="59">
        <f t="shared" si="94"/>
        <v>264.17357326498581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5.6</v>
      </c>
      <c r="N87" s="13">
        <f>IF('Données projet'!$A$36&gt;35,N86+M87-V86,IF(A87&lt;'Données projet'!$A$36,$K$205^A87,IF(A87='Données projet'!$A$36,'Données projet'!$B$36,N86+M87-V86)))</f>
        <v>262.40000000000038</v>
      </c>
      <c r="O87" s="13">
        <f>N87*VLOOKUP('Données projet'!$B$9,Paramètres!$A$1:$I$89,3,0)*VLOOKUP('Données projet'!$B$9,Paramètres!$A$1:$I$89,5,0)</f>
        <v>237.41952000000032</v>
      </c>
      <c r="P87" s="13">
        <f t="shared" si="87"/>
        <v>57.883978814320969</v>
      </c>
      <c r="Q87" s="20">
        <f t="shared" si="54"/>
        <v>514.32026043494295</v>
      </c>
      <c r="R87" s="59">
        <f t="shared" si="55"/>
        <v>807.65359376827632</v>
      </c>
      <c r="S87" s="59">
        <f ca="1">AVERAGE(OFFSET($R$3,0,0,'Données projet'!$E$9+1,1))-AVERAGE(OFFSET($H$3,0,0,'Données projet'!$E$9+1,1))</f>
        <v>346.35147716792028</v>
      </c>
      <c r="T87" s="59">
        <f t="shared" si="88"/>
        <v>231.36959598460686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3.4764770314499362E-6</v>
      </c>
      <c r="AC87" s="22">
        <f t="shared" si="57"/>
        <v>3.4764770314499362E-6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964.00000000000023</v>
      </c>
      <c r="AJ87" s="13">
        <f>AI87*VLOOKUP('Données projet'!$B$10,Paramètres!$A$1:$I$89,3,0)*VLOOKUP('Données projet'!$B$10,Paramètres!$A$1:$I$89,5,0)</f>
        <v>576.47200000000021</v>
      </c>
      <c r="AK87" s="13">
        <f t="shared" si="89"/>
        <v>126.75809338895206</v>
      </c>
      <c r="AL87" s="20">
        <f t="shared" si="58"/>
        <v>1224.7924126524251</v>
      </c>
      <c r="AM87" s="59">
        <f t="shared" si="59"/>
        <v>1518.1257459857584</v>
      </c>
      <c r="AN87" s="59">
        <f ca="1">AVERAGE(OFFSET($AM$3,0,0,'Données projet'!$E$10+1,1))-AVERAGE(OFFSET($H$3,0,0,'Données projet'!$E$10+1,1))</f>
        <v>559.94918407141222</v>
      </c>
      <c r="AO87" s="59">
        <f t="shared" si="90"/>
        <v>334.6078891555664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11.864635467963888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1.2282343396700265E-6</v>
      </c>
      <c r="AX87" s="21">
        <f t="shared" si="60"/>
        <v>11.864636696198227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11.284615384615364</v>
      </c>
      <c r="BD87" s="12">
        <f>IF('Données projet'!$A$88&gt;35,BD86+BC87-BL86,IF(A87&lt;'Données projet'!$A$88,$BA$205^A87,IF(A87='Données projet'!$A$88,'Données projet'!$B$88,BD86+BC87-BL86)))</f>
        <v>382.21538461538472</v>
      </c>
      <c r="BE87" s="13">
        <f>BD87*VLOOKUP('Données projet'!$B$11,Paramètres!$A$1:$I$89,3,0)*VLOOKUP('Données projet'!$B$11,Paramètres!$A$1:$I$89,5,0)</f>
        <v>178.87680000000006</v>
      </c>
      <c r="BF87" s="13">
        <f t="shared" si="91"/>
        <v>45.072203896334216</v>
      </c>
      <c r="BG87" s="20">
        <f t="shared" si="61"/>
        <v>390.04451511944882</v>
      </c>
      <c r="BH87" s="59">
        <f t="shared" si="62"/>
        <v>683.37784845278213</v>
      </c>
      <c r="BI87" s="59">
        <f ca="1">AVERAGE(OFFSET($BH$3,0,0,'Données projet'!$E$11+1,1))-AVERAGE(OFFSET($H$3,0,0,'Données projet'!$E$11+1,1))</f>
        <v>276.78862011733338</v>
      </c>
      <c r="BJ87" s="59">
        <f t="shared" si="92"/>
        <v>202.1678469635836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-275.00000000000028</v>
      </c>
      <c r="BZ87" s="13">
        <f>BY87*VLOOKUP('Données projet'!$B$12,Paramètres!$A$1:$I$89,3,0)*VLOOKUP('Données projet'!$B$12,Paramètres!$A$1:$I$89,5,0)</f>
        <v>-214.50000000000023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286.5685205631126</v>
      </c>
      <c r="CE87" s="59">
        <f t="shared" si="94"/>
        <v>264.17357326498581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5.6</v>
      </c>
      <c r="N88" s="13">
        <f>IF('Données projet'!$A$36&gt;35,N87+M88-V87,IF(A88&lt;'Données projet'!$A$36,$K$205^A88,IF(A88='Données projet'!$A$36,'Données projet'!$B$36,N87+M88-V87)))</f>
        <v>268.0000000000004</v>
      </c>
      <c r="O88" s="13">
        <f>N88*VLOOKUP('Données projet'!$B$9,Paramètres!$A$1:$I$89,3,0)*VLOOKUP('Données projet'!$B$9,Paramètres!$A$1:$I$89,5,0)</f>
        <v>242.48640000000037</v>
      </c>
      <c r="P88" s="13">
        <f t="shared" si="87"/>
        <v>58.974170235372526</v>
      </c>
      <c r="Q88" s="20">
        <f t="shared" si="54"/>
        <v>525.04382649327442</v>
      </c>
      <c r="R88" s="59">
        <f t="shared" si="55"/>
        <v>818.37715982660779</v>
      </c>
      <c r="S88" s="59">
        <f ca="1">AVERAGE(OFFSET($R$3,0,0,'Données projet'!$E$9+1,1))-AVERAGE(OFFSET($H$3,0,0,'Données projet'!$E$9+1,1))</f>
        <v>346.35147716792028</v>
      </c>
      <c r="T88" s="59">
        <f t="shared" si="88"/>
        <v>231.36959598460686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2.4582404835775283E-6</v>
      </c>
      <c r="AC88" s="22">
        <f t="shared" si="57"/>
        <v>2.4582404835775283E-6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964.00000000000023</v>
      </c>
      <c r="AJ88" s="13">
        <f>AI88*VLOOKUP('Données projet'!$B$10,Paramètres!$A$1:$I$89,3,0)*VLOOKUP('Données projet'!$B$10,Paramètres!$A$1:$I$89,5,0)</f>
        <v>576.47200000000021</v>
      </c>
      <c r="AK88" s="13">
        <f t="shared" si="89"/>
        <v>126.75809338895206</v>
      </c>
      <c r="AL88" s="20">
        <f t="shared" si="58"/>
        <v>1224.7924126524251</v>
      </c>
      <c r="AM88" s="59">
        <f t="shared" si="59"/>
        <v>1518.1257459857584</v>
      </c>
      <c r="AN88" s="59">
        <f ca="1">AVERAGE(OFFSET($AM$3,0,0,'Données projet'!$E$10+1,1))-AVERAGE(OFFSET($H$3,0,0,'Données projet'!$E$10+1,1))</f>
        <v>559.94918407141222</v>
      </c>
      <c r="AO88" s="59">
        <f t="shared" si="90"/>
        <v>334.6078891555664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11.631977203150186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8.684928304668571E-7</v>
      </c>
      <c r="AX88" s="21">
        <f t="shared" si="60"/>
        <v>11.631978071643015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11.284615384615364</v>
      </c>
      <c r="BD88" s="12">
        <f>IF('Données projet'!$A$88&gt;35,BD87+BC88-BL87,IF(A88&lt;'Données projet'!$A$88,$BA$205^A88,IF(A88='Données projet'!$A$88,'Données projet'!$B$88,BD87+BC88-BL87)))</f>
        <v>393.50000000000011</v>
      </c>
      <c r="BE88" s="13">
        <f>BD88*VLOOKUP('Données projet'!$B$11,Paramètres!$A$1:$I$89,3,0)*VLOOKUP('Données projet'!$B$11,Paramètres!$A$1:$I$89,5,0)</f>
        <v>184.15800000000004</v>
      </c>
      <c r="BF88" s="13">
        <f t="shared" si="91"/>
        <v>46.2460314283895</v>
      </c>
      <c r="BG88" s="20">
        <f t="shared" si="61"/>
        <v>401.28702140444511</v>
      </c>
      <c r="BH88" s="59">
        <f t="shared" si="62"/>
        <v>694.62035473777837</v>
      </c>
      <c r="BI88" s="59">
        <f ca="1">AVERAGE(OFFSET($BH$3,0,0,'Données projet'!$E$11+1,1))-AVERAGE(OFFSET($H$3,0,0,'Données projet'!$E$11+1,1))</f>
        <v>276.78862011733338</v>
      </c>
      <c r="BJ88" s="59">
        <f t="shared" si="92"/>
        <v>202.1678469635836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-275.00000000000028</v>
      </c>
      <c r="BZ88" s="13">
        <f>BY88*VLOOKUP('Données projet'!$B$12,Paramètres!$A$1:$I$89,3,0)*VLOOKUP('Données projet'!$B$12,Paramètres!$A$1:$I$89,5,0)</f>
        <v>-214.50000000000023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286.5685205631126</v>
      </c>
      <c r="CE88" s="59">
        <f t="shared" si="94"/>
        <v>264.17357326498581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5.6</v>
      </c>
      <c r="N89" s="13">
        <f>IF('Données projet'!$A$36&gt;35,N88+M89-V88,IF(A89&lt;'Données projet'!$A$36,$K$205^A89,IF(A89='Données projet'!$A$36,'Données projet'!$B$36,N88+M89-V88)))</f>
        <v>273.60000000000042</v>
      </c>
      <c r="O89" s="13">
        <f>N89*VLOOKUP('Données projet'!$B$9,Paramètres!$A$1:$I$89,3,0)*VLOOKUP('Données projet'!$B$9,Paramètres!$A$1:$I$89,5,0)</f>
        <v>247.5532800000004</v>
      </c>
      <c r="P89" s="13">
        <f t="shared" si="87"/>
        <v>60.061713068870304</v>
      </c>
      <c r="Q89" s="20">
        <f t="shared" si="54"/>
        <v>535.76277959494985</v>
      </c>
      <c r="R89" s="59">
        <f t="shared" si="55"/>
        <v>829.09611292828322</v>
      </c>
      <c r="S89" s="59">
        <f ca="1">AVERAGE(OFFSET($R$3,0,0,'Données projet'!$E$9+1,1))-AVERAGE(OFFSET($H$3,0,0,'Données projet'!$E$9+1,1))</f>
        <v>346.35147716792028</v>
      </c>
      <c r="T89" s="59">
        <f t="shared" si="88"/>
        <v>231.36959598460686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1.7382385157249681E-6</v>
      </c>
      <c r="AC89" s="22">
        <f t="shared" si="57"/>
        <v>1.7382385157249681E-6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964.00000000000023</v>
      </c>
      <c r="AJ89" s="13">
        <f>AI89*VLOOKUP('Données projet'!$B$10,Paramètres!$A$1:$I$89,3,0)*VLOOKUP('Données projet'!$B$10,Paramètres!$A$1:$I$89,5,0)</f>
        <v>576.47200000000021</v>
      </c>
      <c r="AK89" s="13">
        <f t="shared" si="89"/>
        <v>126.75809338895206</v>
      </c>
      <c r="AL89" s="20">
        <f t="shared" si="58"/>
        <v>1224.7924126524251</v>
      </c>
      <c r="AM89" s="59">
        <f t="shared" si="59"/>
        <v>1518.1257459857584</v>
      </c>
      <c r="AN89" s="59">
        <f ca="1">AVERAGE(OFFSET($AM$3,0,0,'Données projet'!$E$10+1,1))-AVERAGE(OFFSET($H$3,0,0,'Données projet'!$E$10+1,1))</f>
        <v>559.94918407141222</v>
      </c>
      <c r="AO89" s="59">
        <f t="shared" si="90"/>
        <v>334.6078891555664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11.40388122500195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6.1411716983501323E-7</v>
      </c>
      <c r="AX89" s="21">
        <f t="shared" si="60"/>
        <v>11.403881839119119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11.284615384615364</v>
      </c>
      <c r="BD89" s="12">
        <f>IF('Données projet'!$A$88&gt;35,BD88+BC89-BL88,IF(A89&lt;'Données projet'!$A$88,$BA$205^A89,IF(A89='Données projet'!$A$88,'Données projet'!$B$88,BD88+BC89-BL88)))</f>
        <v>404.78461538461545</v>
      </c>
      <c r="BE89" s="13">
        <f>BD89*VLOOKUP('Données projet'!$B$11,Paramètres!$A$1:$I$89,3,0)*VLOOKUP('Données projet'!$B$11,Paramètres!$A$1:$I$89,5,0)</f>
        <v>189.43920000000003</v>
      </c>
      <c r="BF89" s="13">
        <f t="shared" si="91"/>
        <v>47.415946611792059</v>
      </c>
      <c r="BG89" s="20">
        <f t="shared" si="61"/>
        <v>412.52271368220454</v>
      </c>
      <c r="BH89" s="59">
        <f t="shared" si="62"/>
        <v>705.8560470155378</v>
      </c>
      <c r="BI89" s="59">
        <f ca="1">AVERAGE(OFFSET($BH$3,0,0,'Données projet'!$E$11+1,1))-AVERAGE(OFFSET($H$3,0,0,'Données projet'!$E$11+1,1))</f>
        <v>276.78862011733338</v>
      </c>
      <c r="BJ89" s="59">
        <f t="shared" si="92"/>
        <v>202.1678469635836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-275.00000000000028</v>
      </c>
      <c r="BZ89" s="13">
        <f>BY89*VLOOKUP('Données projet'!$B$12,Paramètres!$A$1:$I$89,3,0)*VLOOKUP('Données projet'!$B$12,Paramètres!$A$1:$I$89,5,0)</f>
        <v>-214.50000000000023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286.5685205631126</v>
      </c>
      <c r="CE89" s="59">
        <f t="shared" si="94"/>
        <v>264.17357326498581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5.6</v>
      </c>
      <c r="N90" s="13">
        <f>IF('Données projet'!$A$36&gt;35,N89+M90-V89,IF(A90&lt;'Données projet'!$A$36,$K$205^A90,IF(A90='Données projet'!$A$36,'Données projet'!$B$36,N89+M90-V89)))</f>
        <v>279.20000000000044</v>
      </c>
      <c r="O90" s="13">
        <f>N90*VLOOKUP('Données projet'!$B$9,Paramètres!$A$1:$I$89,3,0)*VLOOKUP('Données projet'!$B$9,Paramètres!$A$1:$I$89,5,0)</f>
        <v>252.62016000000037</v>
      </c>
      <c r="P90" s="13">
        <f t="shared" si="87"/>
        <v>61.146667772298876</v>
      </c>
      <c r="Q90" s="20">
        <f t="shared" si="54"/>
        <v>546.47722503675448</v>
      </c>
      <c r="R90" s="59">
        <f t="shared" si="55"/>
        <v>839.81055837008785</v>
      </c>
      <c r="S90" s="59">
        <f ca="1">AVERAGE(OFFSET($R$3,0,0,'Données projet'!$E$9+1,1))-AVERAGE(OFFSET($H$3,0,0,'Données projet'!$E$9+1,1))</f>
        <v>346.35147716792028</v>
      </c>
      <c r="T90" s="59">
        <f t="shared" si="88"/>
        <v>231.36959598460686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1.2291202417887641E-6</v>
      </c>
      <c r="AC90" s="22">
        <f t="shared" si="57"/>
        <v>1.2291202417887641E-6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964.00000000000023</v>
      </c>
      <c r="AJ90" s="13">
        <f>AI90*VLOOKUP('Données projet'!$B$10,Paramètres!$A$1:$I$89,3,0)*VLOOKUP('Données projet'!$B$10,Paramètres!$A$1:$I$89,5,0)</f>
        <v>576.47200000000021</v>
      </c>
      <c r="AK90" s="13">
        <f t="shared" si="89"/>
        <v>126.75809338895206</v>
      </c>
      <c r="AL90" s="20">
        <f t="shared" si="58"/>
        <v>1224.7924126524251</v>
      </c>
      <c r="AM90" s="59">
        <f t="shared" si="59"/>
        <v>1518.1257459857584</v>
      </c>
      <c r="AN90" s="59">
        <f ca="1">AVERAGE(OFFSET($AM$3,0,0,'Données projet'!$E$10+1,1))-AVERAGE(OFFSET($H$3,0,0,'Données projet'!$E$10+1,1))</f>
        <v>559.94918407141222</v>
      </c>
      <c r="AO90" s="59">
        <f t="shared" si="90"/>
        <v>334.6078891555664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11.180258069860392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4.3424641523342855E-7</v>
      </c>
      <c r="AX90" s="21">
        <f t="shared" si="60"/>
        <v>11.180258504106806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>
        <f>VLOOKUP(A90,'Données projet'!$A$87:$I$107,2,0)</f>
        <v>416.06923076923073</v>
      </c>
      <c r="BB90" s="12">
        <f>VLOOKUP(A90,'Données projet'!$A$87:$I$107,9,0)</f>
        <v>11.284615384615364</v>
      </c>
      <c r="BC90" s="12">
        <f t="array" ref="BC90">INDEX(BB:BB,MIN(IF(ISNUMBER(BB90:BB286),ROW(BB90:BB286),"")))</f>
        <v>11.284615384615364</v>
      </c>
      <c r="BD90" s="12">
        <f>IF('Données projet'!$A$88&gt;35,BD89+BC90-BL89,IF(A90&lt;'Données projet'!$A$88,$BA$205^A90,IF(A90='Données projet'!$A$88,'Données projet'!$B$88,BD89+BC90-BL89)))</f>
        <v>416.06923076923078</v>
      </c>
      <c r="BE90" s="13">
        <f>BD90*VLOOKUP('Données projet'!$B$11,Paramètres!$A$1:$I$89,3,0)*VLOOKUP('Données projet'!$B$11,Paramètres!$A$1:$I$89,5,0)</f>
        <v>194.72039999999998</v>
      </c>
      <c r="BF90" s="13">
        <f t="shared" si="91"/>
        <v>48.582071045446703</v>
      </c>
      <c r="BG90" s="20">
        <f t="shared" si="61"/>
        <v>423.75180373748623</v>
      </c>
      <c r="BH90" s="59">
        <f t="shared" si="62"/>
        <v>717.08513707081954</v>
      </c>
      <c r="BI90" s="59">
        <f ca="1">AVERAGE(OFFSET($BH$3,0,0,'Données projet'!$E$11+1,1))-AVERAGE(OFFSET($H$3,0,0,'Données projet'!$E$11+1,1))</f>
        <v>276.78862011733338</v>
      </c>
      <c r="BJ90" s="59">
        <f t="shared" si="92"/>
        <v>202.1678469635836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-275.00000000000028</v>
      </c>
      <c r="BZ90" s="13">
        <f>BY90*VLOOKUP('Données projet'!$B$12,Paramètres!$A$1:$I$89,3,0)*VLOOKUP('Données projet'!$B$12,Paramètres!$A$1:$I$89,5,0)</f>
        <v>-214.50000000000023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286.5685205631126</v>
      </c>
      <c r="CE90" s="59">
        <f t="shared" si="94"/>
        <v>264.17357326498581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5.6</v>
      </c>
      <c r="N91" s="13">
        <f>IF('Données projet'!$A$36&gt;35,N90+M91-V90,IF(A91&lt;'Données projet'!$A$36,$K$205^A91,IF(A91='Données projet'!$A$36,'Données projet'!$B$36,N90+M91-V90)))</f>
        <v>284.80000000000047</v>
      </c>
      <c r="O91" s="13">
        <f>N91*VLOOKUP('Données projet'!$B$9,Paramètres!$A$1:$I$89,3,0)*VLOOKUP('Données projet'!$B$9,Paramètres!$A$1:$I$89,5,0)</f>
        <v>257.68704000000042</v>
      </c>
      <c r="P91" s="13">
        <f t="shared" si="87"/>
        <v>62.229092239243457</v>
      </c>
      <c r="Q91" s="20">
        <f t="shared" si="54"/>
        <v>557.18726365001646</v>
      </c>
      <c r="R91" s="59">
        <f t="shared" si="55"/>
        <v>850.52059698334983</v>
      </c>
      <c r="S91" s="59">
        <f ca="1">AVERAGE(OFFSET($R$3,0,0,'Données projet'!$E$9+1,1))-AVERAGE(OFFSET($H$3,0,0,'Données projet'!$E$9+1,1))</f>
        <v>346.35147716792028</v>
      </c>
      <c r="T91" s="59">
        <f t="shared" si="88"/>
        <v>231.36959598460686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8.6911925786248404E-7</v>
      </c>
      <c r="AC91" s="22">
        <f t="shared" si="57"/>
        <v>8.6911925786248404E-7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964.00000000000023</v>
      </c>
      <c r="AJ91" s="13">
        <f>AI91*VLOOKUP('Données projet'!$B$10,Paramètres!$A$1:$I$89,3,0)*VLOOKUP('Données projet'!$B$10,Paramètres!$A$1:$I$89,5,0)</f>
        <v>576.47200000000021</v>
      </c>
      <c r="AK91" s="13">
        <f t="shared" si="89"/>
        <v>126.75809338895206</v>
      </c>
      <c r="AL91" s="20">
        <f t="shared" si="58"/>
        <v>1224.7924126524251</v>
      </c>
      <c r="AM91" s="59">
        <f t="shared" si="59"/>
        <v>1518.1257459857584</v>
      </c>
      <c r="AN91" s="59">
        <f ca="1">AVERAGE(OFFSET($AM$3,0,0,'Données projet'!$E$10+1,1))-AVERAGE(OFFSET($H$3,0,0,'Données projet'!$E$10+1,1))</f>
        <v>559.94918407141222</v>
      </c>
      <c r="AO91" s="59">
        <f t="shared" si="90"/>
        <v>334.6078891555664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10.961020028394504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3.0705858491750661E-7</v>
      </c>
      <c r="AX91" s="21">
        <f t="shared" si="60"/>
        <v>10.961020335453089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11.373076923076923</v>
      </c>
      <c r="BD91" s="12">
        <f>IF('Données projet'!$A$88&gt;35,BD90+BC91-BL90,IF(A91&lt;'Données projet'!$A$88,$BA$205^A91,IF(A91='Données projet'!$A$88,'Données projet'!$B$88,BD90+BC91-BL90)))</f>
        <v>427.44230769230774</v>
      </c>
      <c r="BE91" s="13">
        <f>BD91*VLOOKUP('Données projet'!$B$11,Paramètres!$A$1:$I$89,3,0)*VLOOKUP('Données projet'!$B$11,Paramètres!$A$1:$I$89,5,0)</f>
        <v>200.04300000000003</v>
      </c>
      <c r="BF91" s="13">
        <f t="shared" si="91"/>
        <v>49.753617705662997</v>
      </c>
      <c r="BG91" s="20">
        <f t="shared" si="61"/>
        <v>435.06244250402978</v>
      </c>
      <c r="BH91" s="59">
        <f t="shared" si="62"/>
        <v>728.39577583736309</v>
      </c>
      <c r="BI91" s="59">
        <f ca="1">AVERAGE(OFFSET($BH$3,0,0,'Données projet'!$E$11+1,1))-AVERAGE(OFFSET($H$3,0,0,'Données projet'!$E$11+1,1))</f>
        <v>276.78862011733338</v>
      </c>
      <c r="BJ91" s="59">
        <f t="shared" si="92"/>
        <v>202.1678469635836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-275.00000000000028</v>
      </c>
      <c r="BZ91" s="13">
        <f>BY91*VLOOKUP('Données projet'!$B$12,Paramètres!$A$1:$I$89,3,0)*VLOOKUP('Données projet'!$B$12,Paramètres!$A$1:$I$89,5,0)</f>
        <v>-214.50000000000023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286.5685205631126</v>
      </c>
      <c r="CE91" s="59">
        <f t="shared" si="94"/>
        <v>264.17357326498581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0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5.6</v>
      </c>
      <c r="N92" s="13">
        <f>IF('Données projet'!$A$36&gt;35,N91+M92-V91,IF(A92&lt;'Données projet'!$A$36,$K$205^A92,IF(A92='Données projet'!$A$36,'Données projet'!$B$36,N91+M92-V91)))</f>
        <v>290.40000000000049</v>
      </c>
      <c r="O92" s="13">
        <f>N92*VLOOKUP('Données projet'!$B$9,Paramètres!$A$1:$I$89,3,0)*VLOOKUP('Données projet'!$B$9,Paramètres!$A$1:$I$89,5,0)</f>
        <v>262.75392000000045</v>
      </c>
      <c r="P92" s="13">
        <f t="shared" si="87"/>
        <v>63.309041956360382</v>
      </c>
      <c r="Q92" s="20">
        <f t="shared" si="54"/>
        <v>567.89299207399506</v>
      </c>
      <c r="R92" s="59">
        <f t="shared" si="55"/>
        <v>861.22632540732843</v>
      </c>
      <c r="S92" s="59">
        <f ca="1">AVERAGE(OFFSET($R$3,0,0,'Données projet'!$E$9+1,1))-AVERAGE(OFFSET($H$3,0,0,'Données projet'!$E$9+1,1))</f>
        <v>346.35147716792028</v>
      </c>
      <c r="T92" s="59">
        <f t="shared" si="88"/>
        <v>231.36959598460686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6.1456012089438207E-7</v>
      </c>
      <c r="AC92" s="22">
        <f t="shared" si="57"/>
        <v>6.1456012089438207E-7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964.00000000000023</v>
      </c>
      <c r="AJ92" s="13">
        <f>AI92*VLOOKUP('Données projet'!$B$10,Paramètres!$A$1:$I$89,3,0)*VLOOKUP('Données projet'!$B$10,Paramètres!$A$1:$I$89,5,0)</f>
        <v>576.47200000000021</v>
      </c>
      <c r="AK92" s="13">
        <f t="shared" si="89"/>
        <v>126.75809338895206</v>
      </c>
      <c r="AL92" s="20">
        <f t="shared" si="58"/>
        <v>1224.7924126524251</v>
      </c>
      <c r="AM92" s="59">
        <f t="shared" si="59"/>
        <v>1518.1257459857584</v>
      </c>
      <c r="AN92" s="59">
        <f ca="1">AVERAGE(OFFSET($AM$3,0,0,'Données projet'!$E$10+1,1))-AVERAGE(OFFSET($H$3,0,0,'Données projet'!$E$10+1,1))</f>
        <v>559.94918407141222</v>
      </c>
      <c r="AO92" s="59">
        <f t="shared" si="90"/>
        <v>334.6078891555664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10.746081111199761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2.1712320761671427E-7</v>
      </c>
      <c r="AX92" s="21">
        <f t="shared" si="60"/>
        <v>10.746081328322969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11.373076923076923</v>
      </c>
      <c r="BD92" s="12">
        <f>IF('Données projet'!$A$88&gt;35,BD91+BC92-BL91,IF(A92&lt;'Données projet'!$A$88,$BA$205^A92,IF(A92='Données projet'!$A$88,'Données projet'!$B$88,BD91+BC92-BL91)))</f>
        <v>438.81538461538469</v>
      </c>
      <c r="BE92" s="13">
        <f>BD92*VLOOKUP('Données projet'!$B$11,Paramètres!$A$1:$I$89,3,0)*VLOOKUP('Données projet'!$B$11,Paramètres!$A$1:$I$89,5,0)</f>
        <v>205.36560000000003</v>
      </c>
      <c r="BF92" s="13">
        <f t="shared" si="91"/>
        <v>50.921541144711661</v>
      </c>
      <c r="BG92" s="20">
        <f t="shared" si="61"/>
        <v>446.36677082703955</v>
      </c>
      <c r="BH92" s="59">
        <f t="shared" si="62"/>
        <v>739.7001041603728</v>
      </c>
      <c r="BI92" s="59">
        <f ca="1">AVERAGE(OFFSET($BH$3,0,0,'Données projet'!$E$11+1,1))-AVERAGE(OFFSET($H$3,0,0,'Données projet'!$E$11+1,1))</f>
        <v>276.78862011733338</v>
      </c>
      <c r="BJ92" s="59">
        <f t="shared" si="92"/>
        <v>202.1678469635836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-275.00000000000028</v>
      </c>
      <c r="BZ92" s="13">
        <f>BY92*VLOOKUP('Données projet'!$B$12,Paramètres!$A$1:$I$89,3,0)*VLOOKUP('Données projet'!$B$12,Paramètres!$A$1:$I$89,5,0)</f>
        <v>-214.50000000000023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286.5685205631126</v>
      </c>
      <c r="CE92" s="59">
        <f t="shared" si="94"/>
        <v>264.17357326498581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0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296</v>
      </c>
      <c r="L93" s="12">
        <f>VLOOKUP(A93,'Données projet'!$A$35:$I$55,9,0)</f>
        <v>5.6</v>
      </c>
      <c r="M93" s="12">
        <f t="array" ref="M93">INDEX(L:L,MIN(IF(ISNUMBER(L93:L289),ROW(L93:L289),"")))</f>
        <v>5.6</v>
      </c>
      <c r="N93" s="13">
        <f>IF('Données projet'!$A$36&gt;35,N92+M93-V92,IF(A93&lt;'Données projet'!$A$36,$K$205^A93,IF(A93='Données projet'!$A$36,'Données projet'!$B$36,N92+M93-V92)))</f>
        <v>296.00000000000051</v>
      </c>
      <c r="O93" s="13">
        <f>N93*VLOOKUP('Données projet'!$B$9,Paramètres!$A$1:$I$89,3,0)*VLOOKUP('Données projet'!$B$9,Paramètres!$A$1:$I$89,5,0)</f>
        <v>267.82080000000047</v>
      </c>
      <c r="P93" s="13">
        <f t="shared" si="87"/>
        <v>64.386570147897487</v>
      </c>
      <c r="Q93" s="20">
        <f t="shared" si="54"/>
        <v>578.59450300758897</v>
      </c>
      <c r="R93" s="59">
        <f t="shared" si="55"/>
        <v>871.92783634092234</v>
      </c>
      <c r="S93" s="59">
        <f ca="1">AVERAGE(OFFSET($R$3,0,0,'Données projet'!$E$9+1,1))-AVERAGE(OFFSET($H$3,0,0,'Données projet'!$E$9+1,1))</f>
        <v>346.35147716792028</v>
      </c>
      <c r="T93" s="59">
        <f t="shared" si="88"/>
        <v>231.36959598460686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42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4.3455962893124202E-7</v>
      </c>
      <c r="AC93" s="22">
        <f t="shared" si="57"/>
        <v>4.3455962893124202E-7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964.00000000000023</v>
      </c>
      <c r="AJ93" s="13">
        <f>AI93*VLOOKUP('Données projet'!$B$10,Paramètres!$A$1:$I$89,3,0)*VLOOKUP('Données projet'!$B$10,Paramètres!$A$1:$I$89,5,0)</f>
        <v>576.47200000000021</v>
      </c>
      <c r="AK93" s="13">
        <f t="shared" si="89"/>
        <v>126.75809338895206</v>
      </c>
      <c r="AL93" s="20">
        <f t="shared" si="58"/>
        <v>1224.7924126524251</v>
      </c>
      <c r="AM93" s="59">
        <f t="shared" si="59"/>
        <v>1518.1257459857584</v>
      </c>
      <c r="AN93" s="59">
        <f ca="1">AVERAGE(OFFSET($AM$3,0,0,'Données projet'!$E$10+1,1))-AVERAGE(OFFSET($H$3,0,0,'Données projet'!$E$10+1,1))</f>
        <v>559.94918407141222</v>
      </c>
      <c r="AO93" s="59">
        <f t="shared" si="90"/>
        <v>334.6078891555664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10.535357015071412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1.5352929245875331E-7</v>
      </c>
      <c r="AX93" s="21">
        <f t="shared" si="60"/>
        <v>10.535357168600704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11.373076923076923</v>
      </c>
      <c r="BD93" s="12">
        <f>IF('Données projet'!$A$88&gt;35,BD92+BC93-BL92,IF(A93&lt;'Données projet'!$A$88,$BA$205^A93,IF(A93='Données projet'!$A$88,'Données projet'!$B$88,BD92+BC93-BL92)))</f>
        <v>450.18846153846164</v>
      </c>
      <c r="BE93" s="13">
        <f>BD93*VLOOKUP('Données projet'!$B$11,Paramètres!$A$1:$I$89,3,0)*VLOOKUP('Données projet'!$B$11,Paramètres!$A$1:$I$89,5,0)</f>
        <v>210.68820000000002</v>
      </c>
      <c r="BF93" s="13">
        <f t="shared" si="91"/>
        <v>52.08594606442697</v>
      </c>
      <c r="BG93" s="20">
        <f t="shared" si="61"/>
        <v>457.66497106221027</v>
      </c>
      <c r="BH93" s="59">
        <f t="shared" si="62"/>
        <v>750.99830439554353</v>
      </c>
      <c r="BI93" s="59">
        <f ca="1">AVERAGE(OFFSET($BH$3,0,0,'Données projet'!$E$11+1,1))-AVERAGE(OFFSET($H$3,0,0,'Données projet'!$E$11+1,1))</f>
        <v>276.78862011733338</v>
      </c>
      <c r="BJ93" s="59">
        <f t="shared" si="92"/>
        <v>202.1678469635836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-275.00000000000028</v>
      </c>
      <c r="BZ93" s="13">
        <f>BY93*VLOOKUP('Données projet'!$B$12,Paramètres!$A$1:$I$89,3,0)*VLOOKUP('Données projet'!$B$12,Paramètres!$A$1:$I$89,5,0)</f>
        <v>-214.50000000000023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286.5685205631126</v>
      </c>
      <c r="CE93" s="59">
        <f t="shared" si="94"/>
        <v>264.17357326498581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0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4.9000000000000004</v>
      </c>
      <c r="N94" s="13">
        <f>IF('Données projet'!$A$36&gt;35,N93+M94-V93,IF(A94&lt;'Données projet'!$A$36,$K$205^A94,IF(A94='Données projet'!$A$36,'Données projet'!$B$36,N93+M94-V93)))</f>
        <v>258.90000000000049</v>
      </c>
      <c r="O94" s="13">
        <f>N94*VLOOKUP('Données projet'!$B$9,Paramètres!$A$1:$I$89,3,0)*VLOOKUP('Données projet'!$B$9,Paramètres!$A$1:$I$89,5,0)</f>
        <v>234.25272000000041</v>
      </c>
      <c r="P94" s="13">
        <f t="shared" si="87"/>
        <v>57.2012362311714</v>
      </c>
      <c r="Q94" s="20">
        <f t="shared" si="54"/>
        <v>507.61564043595746</v>
      </c>
      <c r="R94" s="59">
        <f t="shared" si="55"/>
        <v>800.94897376929077</v>
      </c>
      <c r="S94" s="59">
        <f ca="1">AVERAGE(OFFSET($R$3,0,0,'Données projet'!$E$9+1,1))-AVERAGE(OFFSET($H$3,0,0,'Données projet'!$E$9+1,1))</f>
        <v>346.35147716792028</v>
      </c>
      <c r="T94" s="59">
        <f t="shared" si="88"/>
        <v>231.36959598460686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3.0728006044719103E-7</v>
      </c>
      <c r="AC94" s="22">
        <f t="shared" si="57"/>
        <v>3.0728006044719103E-7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964.00000000000023</v>
      </c>
      <c r="AJ94" s="13">
        <f>AI94*VLOOKUP('Données projet'!$B$10,Paramètres!$A$1:$I$89,3,0)*VLOOKUP('Données projet'!$B$10,Paramètres!$A$1:$I$89,5,0)</f>
        <v>576.47200000000021</v>
      </c>
      <c r="AK94" s="13">
        <f t="shared" si="89"/>
        <v>126.75809338895206</v>
      </c>
      <c r="AL94" s="20">
        <f t="shared" si="58"/>
        <v>1224.7924126524251</v>
      </c>
      <c r="AM94" s="59">
        <f t="shared" si="59"/>
        <v>1518.1257459857584</v>
      </c>
      <c r="AN94" s="59">
        <f ca="1">AVERAGE(OFFSET($AM$3,0,0,'Données projet'!$E$10+1,1))-AVERAGE(OFFSET($H$3,0,0,'Données projet'!$E$10+1,1))</f>
        <v>559.94918407141222</v>
      </c>
      <c r="AO94" s="59">
        <f t="shared" si="90"/>
        <v>334.6078891555664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10.328765089939132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1.0856160380835714E-7</v>
      </c>
      <c r="AX94" s="21">
        <f t="shared" si="60"/>
        <v>10.328765198500736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>
        <f>VLOOKUP(A94,'Données projet'!$A$87:$I$107,2,0)</f>
        <v>461.56153846153842</v>
      </c>
      <c r="BB94" s="12">
        <f>VLOOKUP(A94,'Données projet'!$A$87:$I$107,9,0)</f>
        <v>11.373076923076923</v>
      </c>
      <c r="BC94" s="12">
        <f t="array" ref="BC94">INDEX(BB:BB,MIN(IF(ISNUMBER(BB94:BB290),ROW(BB94:BB290),"")))</f>
        <v>11.373076923076923</v>
      </c>
      <c r="BD94" s="12">
        <f>IF('Données projet'!$A$88&gt;35,BD93+BC94-BL93,IF(A94&lt;'Données projet'!$A$88,$BA$205^A94,IF(A94='Données projet'!$A$88,'Données projet'!$B$88,BD93+BC94-BL93)))</f>
        <v>461.56153846153859</v>
      </c>
      <c r="BE94" s="13">
        <f>BD94*VLOOKUP('Données projet'!$B$11,Paramètres!$A$1:$I$89,3,0)*VLOOKUP('Données projet'!$B$11,Paramètres!$A$1:$I$89,5,0)</f>
        <v>216.01080000000007</v>
      </c>
      <c r="BF94" s="13">
        <f t="shared" si="91"/>
        <v>53.246931575036982</v>
      </c>
      <c r="BG94" s="20">
        <f t="shared" si="61"/>
        <v>468.95721582652283</v>
      </c>
      <c r="BH94" s="59">
        <f t="shared" si="62"/>
        <v>762.29054915985614</v>
      </c>
      <c r="BI94" s="59">
        <f ca="1">AVERAGE(OFFSET($BH$3,0,0,'Données projet'!$E$11+1,1))-AVERAGE(OFFSET($H$3,0,0,'Données projet'!$E$11+1,1))</f>
        <v>276.78862011733338</v>
      </c>
      <c r="BJ94" s="59">
        <f t="shared" si="92"/>
        <v>202.1678469635836</v>
      </c>
      <c r="BK94" s="15">
        <f>IF(ISNA(VLOOKUP(A94,'Données projet'!$A$87:$I$107,3,0)),0,VLOOKUP(A94,'Données projet'!$A$87:$I$107,3,0))</f>
        <v>7</v>
      </c>
      <c r="BL94" s="15">
        <f>IF(ISNA(VLOOKUP(A94,'Données projet'!$A$87:$I$107,4,0)),0,VLOOKUP(A94,'Données projet'!$A$87:$I$107,4,0))</f>
        <v>229.73846153846154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-275.00000000000028</v>
      </c>
      <c r="BZ94" s="13">
        <f>BY94*VLOOKUP('Données projet'!$B$12,Paramètres!$A$1:$I$89,3,0)*VLOOKUP('Données projet'!$B$12,Paramètres!$A$1:$I$89,5,0)</f>
        <v>-214.50000000000023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286.5685205631126</v>
      </c>
      <c r="CE94" s="59">
        <f t="shared" si="94"/>
        <v>264.17357326498581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0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4.9000000000000004</v>
      </c>
      <c r="N95" s="13">
        <f>IF('Données projet'!$A$36&gt;35,N94+M95-V94,IF(A95&lt;'Données projet'!$A$36,$K$205^A95,IF(A95='Données projet'!$A$36,'Données projet'!$B$36,N94+M95-V94)))</f>
        <v>263.80000000000047</v>
      </c>
      <c r="O95" s="13">
        <f>N95*VLOOKUP('Données projet'!$B$9,Paramètres!$A$1:$I$89,3,0)*VLOOKUP('Données projet'!$B$9,Paramètres!$A$1:$I$89,5,0)</f>
        <v>238.6862400000004</v>
      </c>
      <c r="P95" s="13">
        <f t="shared" si="87"/>
        <v>58.156778382060978</v>
      </c>
      <c r="Q95" s="20">
        <f t="shared" si="54"/>
        <v>517.00159034875685</v>
      </c>
      <c r="R95" s="59">
        <f t="shared" si="55"/>
        <v>810.33492368209022</v>
      </c>
      <c r="S95" s="59">
        <f ca="1">AVERAGE(OFFSET($R$3,0,0,'Données projet'!$E$9+1,1))-AVERAGE(OFFSET($H$3,0,0,'Données projet'!$E$9+1,1))</f>
        <v>346.35147716792028</v>
      </c>
      <c r="T95" s="59">
        <f t="shared" si="88"/>
        <v>231.36959598460686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2.1727981446562101E-7</v>
      </c>
      <c r="AC95" s="22">
        <f t="shared" si="57"/>
        <v>2.1727981446562101E-7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964.00000000000023</v>
      </c>
      <c r="AJ95" s="13">
        <f>AI95*VLOOKUP('Données projet'!$B$10,Paramètres!$A$1:$I$89,3,0)*VLOOKUP('Données projet'!$B$10,Paramètres!$A$1:$I$89,5,0)</f>
        <v>576.47200000000021</v>
      </c>
      <c r="AK95" s="13">
        <f t="shared" si="89"/>
        <v>126.75809338895206</v>
      </c>
      <c r="AL95" s="20">
        <f t="shared" si="58"/>
        <v>1224.7924126524251</v>
      </c>
      <c r="AM95" s="59">
        <f t="shared" si="59"/>
        <v>1518.1257459857584</v>
      </c>
      <c r="AN95" s="59">
        <f ca="1">AVERAGE(OFFSET($AM$3,0,0,'Données projet'!$E$10+1,1))-AVERAGE(OFFSET($H$3,0,0,'Données projet'!$E$10+1,1))</f>
        <v>559.94918407141222</v>
      </c>
      <c r="AO95" s="59">
        <f t="shared" si="90"/>
        <v>334.6078891555664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10.126224306450064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7.6764646229376654E-8</v>
      </c>
      <c r="AX95" s="21">
        <f t="shared" si="60"/>
        <v>10.12622438321471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7.6369230769230851</v>
      </c>
      <c r="BD95" s="12">
        <f>IF('Données projet'!$A$88&gt;35,BD94+BC95-BL94,IF(A95&lt;'Données projet'!$A$88,$BA$205^A95,IF(A95='Données projet'!$A$88,'Données projet'!$B$88,BD94+BC95-BL94)))</f>
        <v>239.46000000000015</v>
      </c>
      <c r="BE95" s="13">
        <f>BD95*VLOOKUP('Données projet'!$B$11,Paramètres!$A$1:$I$89,3,0)*VLOOKUP('Données projet'!$B$11,Paramètres!$A$1:$I$89,5,0)</f>
        <v>112.06728000000007</v>
      </c>
      <c r="BF95" s="13">
        <f t="shared" si="91"/>
        <v>29.817522809961581</v>
      </c>
      <c r="BG95" s="20">
        <f t="shared" si="61"/>
        <v>247.11603156068318</v>
      </c>
      <c r="BH95" s="59">
        <f t="shared" si="62"/>
        <v>540.44936489401653</v>
      </c>
      <c r="BI95" s="59">
        <f ca="1">AVERAGE(OFFSET($BH$3,0,0,'Données projet'!$E$11+1,1))-AVERAGE(OFFSET($H$3,0,0,'Données projet'!$E$11+1,1))</f>
        <v>276.78862011733338</v>
      </c>
      <c r="BJ95" s="59">
        <f t="shared" si="92"/>
        <v>202.1678469635836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-275.00000000000028</v>
      </c>
      <c r="BZ95" s="13">
        <f>BY95*VLOOKUP('Données projet'!$B$12,Paramètres!$A$1:$I$89,3,0)*VLOOKUP('Données projet'!$B$12,Paramètres!$A$1:$I$89,5,0)</f>
        <v>-214.50000000000023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286.5685205631126</v>
      </c>
      <c r="CE95" s="59">
        <f t="shared" si="94"/>
        <v>264.17357326498581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0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4.9000000000000004</v>
      </c>
      <c r="N96" s="13">
        <f>IF('Données projet'!$A$36&gt;35,N95+M96-V95,IF(A96&lt;'Données projet'!$A$36,$K$205^A96,IF(A96='Données projet'!$A$36,'Données projet'!$B$36,N95+M96-V95)))</f>
        <v>268.70000000000044</v>
      </c>
      <c r="O96" s="13">
        <f>N96*VLOOKUP('Données projet'!$B$9,Paramètres!$A$1:$I$89,3,0)*VLOOKUP('Données projet'!$B$9,Paramètres!$A$1:$I$89,5,0)</f>
        <v>243.11976000000041</v>
      </c>
      <c r="P96" s="13">
        <f t="shared" si="87"/>
        <v>59.110256668778582</v>
      </c>
      <c r="Q96" s="20">
        <f t="shared" si="54"/>
        <v>526.3839456981234</v>
      </c>
      <c r="R96" s="59">
        <f t="shared" si="55"/>
        <v>819.71727903145666</v>
      </c>
      <c r="S96" s="59">
        <f ca="1">AVERAGE(OFFSET($R$3,0,0,'Données projet'!$E$9+1,1))-AVERAGE(OFFSET($H$3,0,0,'Données projet'!$E$9+1,1))</f>
        <v>346.35147716792028</v>
      </c>
      <c r="T96" s="59">
        <f t="shared" si="88"/>
        <v>231.36959598460686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1.5364003022359552E-7</v>
      </c>
      <c r="AC96" s="22">
        <f t="shared" si="57"/>
        <v>1.5364003022359552E-7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964.00000000000023</v>
      </c>
      <c r="AJ96" s="13">
        <f>AI96*VLOOKUP('Données projet'!$B$10,Paramètres!$A$1:$I$89,3,0)*VLOOKUP('Données projet'!$B$10,Paramètres!$A$1:$I$89,5,0)</f>
        <v>576.47200000000021</v>
      </c>
      <c r="AK96" s="13">
        <f t="shared" si="89"/>
        <v>126.75809338895206</v>
      </c>
      <c r="AL96" s="20">
        <f t="shared" si="58"/>
        <v>1224.7924126524251</v>
      </c>
      <c r="AM96" s="59">
        <f t="shared" si="59"/>
        <v>1518.1257459857584</v>
      </c>
      <c r="AN96" s="59">
        <f ca="1">AVERAGE(OFFSET($AM$3,0,0,'Données projet'!$E$10+1,1))-AVERAGE(OFFSET($H$3,0,0,'Données projet'!$E$10+1,1))</f>
        <v>559.94918407141222</v>
      </c>
      <c r="AO96" s="59">
        <f t="shared" si="90"/>
        <v>334.6078891555664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9.9276552241875375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5.4280801904178569E-8</v>
      </c>
      <c r="AX96" s="21">
        <f t="shared" si="60"/>
        <v>9.9276552784683396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7.6369230769230851</v>
      </c>
      <c r="BD96" s="12">
        <f>IF('Données projet'!$A$88&gt;35,BD95+BC96-BL95,IF(A96&lt;'Données projet'!$A$88,$BA$205^A96,IF(A96='Données projet'!$A$88,'Données projet'!$B$88,BD95+BC96-BL95)))</f>
        <v>247.09692307692325</v>
      </c>
      <c r="BE96" s="13">
        <f>BD96*VLOOKUP('Données projet'!$B$11,Paramètres!$A$1:$I$89,3,0)*VLOOKUP('Données projet'!$B$11,Paramètres!$A$1:$I$89,5,0)</f>
        <v>115.64136000000008</v>
      </c>
      <c r="BF96" s="13">
        <f t="shared" si="91"/>
        <v>30.656239480730619</v>
      </c>
      <c r="BG96" s="20">
        <f t="shared" si="61"/>
        <v>254.80165242893929</v>
      </c>
      <c r="BH96" s="59">
        <f t="shared" si="62"/>
        <v>548.13498576227266</v>
      </c>
      <c r="BI96" s="59">
        <f ca="1">AVERAGE(OFFSET($BH$3,0,0,'Données projet'!$E$11+1,1))-AVERAGE(OFFSET($H$3,0,0,'Données projet'!$E$11+1,1))</f>
        <v>276.78862011733338</v>
      </c>
      <c r="BJ96" s="59">
        <f t="shared" si="92"/>
        <v>202.1678469635836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-275.00000000000028</v>
      </c>
      <c r="BZ96" s="13">
        <f>BY96*VLOOKUP('Données projet'!$B$12,Paramètres!$A$1:$I$89,3,0)*VLOOKUP('Données projet'!$B$12,Paramètres!$A$1:$I$89,5,0)</f>
        <v>-214.50000000000023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286.5685205631126</v>
      </c>
      <c r="CE96" s="59">
        <f t="shared" si="94"/>
        <v>264.17357326498581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0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4.9000000000000004</v>
      </c>
      <c r="N97" s="13">
        <f>IF('Données projet'!$A$36&gt;35,N96+M97-V96,IF(A97&lt;'Données projet'!$A$36,$K$205^A97,IF(A97='Données projet'!$A$36,'Données projet'!$B$36,N96+M97-V96)))</f>
        <v>273.60000000000042</v>
      </c>
      <c r="O97" s="13">
        <f>N97*VLOOKUP('Données projet'!$B$9,Paramètres!$A$1:$I$89,3,0)*VLOOKUP('Données projet'!$B$9,Paramètres!$A$1:$I$89,5,0)</f>
        <v>247.5532800000004</v>
      </c>
      <c r="P97" s="13">
        <f t="shared" si="87"/>
        <v>60.061713068870304</v>
      </c>
      <c r="Q97" s="20">
        <f t="shared" si="54"/>
        <v>535.76277959494985</v>
      </c>
      <c r="R97" s="59">
        <f t="shared" si="55"/>
        <v>829.09611292828322</v>
      </c>
      <c r="S97" s="59">
        <f ca="1">AVERAGE(OFFSET($R$3,0,0,'Données projet'!$E$9+1,1))-AVERAGE(OFFSET($H$3,0,0,'Données projet'!$E$9+1,1))</f>
        <v>346.35147716792028</v>
      </c>
      <c r="T97" s="59">
        <f t="shared" si="88"/>
        <v>231.36959598460686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1.0863990723281051E-7</v>
      </c>
      <c r="AC97" s="22">
        <f t="shared" si="57"/>
        <v>1.0863990723281051E-7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964.00000000000023</v>
      </c>
      <c r="AJ97" s="13">
        <f>AI97*VLOOKUP('Données projet'!$B$10,Paramètres!$A$1:$I$89,3,0)*VLOOKUP('Données projet'!$B$10,Paramètres!$A$1:$I$89,5,0)</f>
        <v>576.47200000000021</v>
      </c>
      <c r="AK97" s="13">
        <f t="shared" si="89"/>
        <v>126.75809338895206</v>
      </c>
      <c r="AL97" s="20">
        <f t="shared" si="58"/>
        <v>1224.7924126524251</v>
      </c>
      <c r="AM97" s="59">
        <f t="shared" si="59"/>
        <v>1518.1257459857584</v>
      </c>
      <c r="AN97" s="59">
        <f ca="1">AVERAGE(OFFSET($AM$3,0,0,'Données projet'!$E$10+1,1))-AVERAGE(OFFSET($H$3,0,0,'Données projet'!$E$10+1,1))</f>
        <v>559.94918407141222</v>
      </c>
      <c r="AO97" s="59">
        <f t="shared" si="90"/>
        <v>334.6078891555664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9.7329799605129974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3.8382323114688327E-8</v>
      </c>
      <c r="AX97" s="21">
        <f t="shared" si="60"/>
        <v>9.7329799988953205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7.6369230769230851</v>
      </c>
      <c r="BD97" s="12">
        <f>IF('Données projet'!$A$88&gt;35,BD96+BC97-BL96,IF(A97&lt;'Données projet'!$A$88,$BA$205^A97,IF(A97='Données projet'!$A$88,'Données projet'!$B$88,BD96+BC97-BL96)))</f>
        <v>254.73384615384634</v>
      </c>
      <c r="BE97" s="13">
        <f>BD97*VLOOKUP('Données projet'!$B$11,Paramètres!$A$1:$I$89,3,0)*VLOOKUP('Données projet'!$B$11,Paramètres!$A$1:$I$89,5,0)</f>
        <v>119.21544000000009</v>
      </c>
      <c r="BF97" s="13">
        <f t="shared" si="91"/>
        <v>31.491943759871322</v>
      </c>
      <c r="BG97" s="20">
        <f t="shared" si="61"/>
        <v>262.48202671510938</v>
      </c>
      <c r="BH97" s="59">
        <f t="shared" si="62"/>
        <v>555.8153600484427</v>
      </c>
      <c r="BI97" s="59">
        <f ca="1">AVERAGE(OFFSET($BH$3,0,0,'Données projet'!$E$11+1,1))-AVERAGE(OFFSET($H$3,0,0,'Données projet'!$E$11+1,1))</f>
        <v>276.78862011733338</v>
      </c>
      <c r="BJ97" s="59">
        <f t="shared" si="92"/>
        <v>202.1678469635836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-275.00000000000028</v>
      </c>
      <c r="BZ97" s="13">
        <f>BY97*VLOOKUP('Données projet'!$B$12,Paramètres!$A$1:$I$89,3,0)*VLOOKUP('Données projet'!$B$12,Paramètres!$A$1:$I$89,5,0)</f>
        <v>-214.50000000000023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286.5685205631126</v>
      </c>
      <c r="CE97" s="59">
        <f t="shared" si="94"/>
        <v>264.17357326498581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0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4.9000000000000004</v>
      </c>
      <c r="N98" s="13">
        <f>IF('Données projet'!$A$36&gt;35,N97+M98-V97,IF(A98&lt;'Données projet'!$A$36,$K$205^A98,IF(A98='Données projet'!$A$36,'Données projet'!$B$36,N97+M98-V97)))</f>
        <v>278.5000000000004</v>
      </c>
      <c r="O98" s="13">
        <f>N98*VLOOKUP('Données projet'!$B$9,Paramètres!$A$1:$I$89,3,0)*VLOOKUP('Données projet'!$B$9,Paramètres!$A$1:$I$89,5,0)</f>
        <v>251.98680000000036</v>
      </c>
      <c r="P98" s="13">
        <f t="shared" si="87"/>
        <v>61.011187970195103</v>
      </c>
      <c r="Q98" s="20">
        <f t="shared" si="54"/>
        <v>545.13816238142374</v>
      </c>
      <c r="R98" s="59">
        <f t="shared" si="55"/>
        <v>838.47149571475711</v>
      </c>
      <c r="S98" s="59">
        <f ca="1">AVERAGE(OFFSET($R$3,0,0,'Données projet'!$E$9+1,1))-AVERAGE(OFFSET($H$3,0,0,'Données projet'!$E$9+1,1))</f>
        <v>346.35147716792028</v>
      </c>
      <c r="T98" s="59">
        <f t="shared" si="88"/>
        <v>231.36959598460686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7.6820015111797758E-8</v>
      </c>
      <c r="AC98" s="22">
        <f t="shared" si="57"/>
        <v>7.6820015111797758E-8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964.00000000000023</v>
      </c>
      <c r="AJ98" s="13">
        <f>AI98*VLOOKUP('Données projet'!$B$10,Paramètres!$A$1:$I$89,3,0)*VLOOKUP('Données projet'!$B$10,Paramètres!$A$1:$I$89,5,0)</f>
        <v>576.47200000000021</v>
      </c>
      <c r="AK98" s="13">
        <f t="shared" si="89"/>
        <v>126.75809338895206</v>
      </c>
      <c r="AL98" s="20">
        <f t="shared" si="58"/>
        <v>1224.7924126524251</v>
      </c>
      <c r="AM98" s="59">
        <f t="shared" si="59"/>
        <v>1518.1257459857584</v>
      </c>
      <c r="AN98" s="59">
        <f ca="1">AVERAGE(OFFSET($AM$3,0,0,'Données projet'!$E$10+1,1))-AVERAGE(OFFSET($H$3,0,0,'Données projet'!$E$10+1,1))</f>
        <v>559.94918407141222</v>
      </c>
      <c r="AO98" s="59">
        <f t="shared" si="90"/>
        <v>334.6078891555664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9.5421221600189288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2.7140400952089284E-8</v>
      </c>
      <c r="AX98" s="21">
        <f t="shared" si="60"/>
        <v>9.5421221871593289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7.6369230769230851</v>
      </c>
      <c r="BD98" s="12">
        <f>IF('Données projet'!$A$88&gt;35,BD97+BC98-BL97,IF(A98&lt;'Données projet'!$A$88,$BA$205^A98,IF(A98='Données projet'!$A$88,'Données projet'!$B$88,BD97+BC98-BL97)))</f>
        <v>262.37076923076944</v>
      </c>
      <c r="BE98" s="13">
        <f>BD98*VLOOKUP('Données projet'!$B$11,Paramètres!$A$1:$I$89,3,0)*VLOOKUP('Données projet'!$B$11,Paramètres!$A$1:$I$89,5,0)</f>
        <v>122.7895200000001</v>
      </c>
      <c r="BF98" s="13">
        <f t="shared" si="91"/>
        <v>32.324736326041567</v>
      </c>
      <c r="BG98" s="20">
        <f t="shared" si="61"/>
        <v>270.15732976785586</v>
      </c>
      <c r="BH98" s="59">
        <f t="shared" si="62"/>
        <v>563.49066310118917</v>
      </c>
      <c r="BI98" s="59">
        <f ca="1">AVERAGE(OFFSET($BH$3,0,0,'Données projet'!$E$11+1,1))-AVERAGE(OFFSET($H$3,0,0,'Données projet'!$E$11+1,1))</f>
        <v>276.78862011733338</v>
      </c>
      <c r="BJ98" s="59">
        <f t="shared" si="92"/>
        <v>202.1678469635836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-275.00000000000028</v>
      </c>
      <c r="BZ98" s="13">
        <f>BY98*VLOOKUP('Données projet'!$B$12,Paramètres!$A$1:$I$89,3,0)*VLOOKUP('Données projet'!$B$12,Paramètres!$A$1:$I$89,5,0)</f>
        <v>-214.50000000000023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286.5685205631126</v>
      </c>
      <c r="CE98" s="59">
        <f t="shared" si="94"/>
        <v>264.17357326498581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0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4.9000000000000004</v>
      </c>
      <c r="N99" s="13">
        <f>IF('Données projet'!$A$36&gt;35,N98+M99-V98,IF(A99&lt;'Données projet'!$A$36,$K$205^A99,IF(A99='Données projet'!$A$36,'Données projet'!$B$36,N98+M99-V98)))</f>
        <v>283.40000000000038</v>
      </c>
      <c r="O99" s="13">
        <f>N99*VLOOKUP('Données projet'!$B$9,Paramètres!$A$1:$I$89,3,0)*VLOOKUP('Données projet'!$B$9,Paramètres!$A$1:$I$89,5,0)</f>
        <v>256.42032000000034</v>
      </c>
      <c r="P99" s="13">
        <f t="shared" si="87"/>
        <v>61.958720258017024</v>
      </c>
      <c r="Q99" s="20">
        <f t="shared" ref="Q99:Q130" si="107">(O99+P99)*0.475*44/12</f>
        <v>554.51016178271357</v>
      </c>
      <c r="R99" s="59">
        <f t="shared" si="55"/>
        <v>847.84349511604682</v>
      </c>
      <c r="S99" s="59">
        <f ca="1">AVERAGE(OFFSET($R$3,0,0,'Données projet'!$E$9+1,1))-AVERAGE(OFFSET($H$3,0,0,'Données projet'!$E$9+1,1))</f>
        <v>346.35147716792028</v>
      </c>
      <c r="T99" s="59">
        <f t="shared" si="88"/>
        <v>231.36959598460686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5.4319953616405253E-8</v>
      </c>
      <c r="AC99" s="22">
        <f t="shared" si="57"/>
        <v>5.4319953616405253E-8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964.00000000000023</v>
      </c>
      <c r="AJ99" s="13">
        <f>AI99*VLOOKUP('Données projet'!$B$10,Paramètres!$A$1:$I$89,3,0)*VLOOKUP('Données projet'!$B$10,Paramètres!$A$1:$I$89,5,0)</f>
        <v>576.47200000000021</v>
      </c>
      <c r="AK99" s="13">
        <f t="shared" si="89"/>
        <v>126.75809338895206</v>
      </c>
      <c r="AL99" s="20">
        <f t="shared" si="58"/>
        <v>1224.7924126524251</v>
      </c>
      <c r="AM99" s="59">
        <f t="shared" si="59"/>
        <v>1518.1257459857584</v>
      </c>
      <c r="AN99" s="59">
        <f ca="1">AVERAGE(OFFSET($AM$3,0,0,'Données projet'!$E$10+1,1))-AVERAGE(OFFSET($H$3,0,0,'Données projet'!$E$10+1,1))</f>
        <v>559.94918407141222</v>
      </c>
      <c r="AO99" s="59">
        <f t="shared" si="90"/>
        <v>334.6078891555664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9.3550069645807863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1.9191161557344163E-8</v>
      </c>
      <c r="AX99" s="21">
        <f t="shared" si="60"/>
        <v>9.3550069837719487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>
        <f>VLOOKUP(A99,'Données projet'!$A$87:$I$107,2,0)</f>
        <v>270.00769230769231</v>
      </c>
      <c r="BB99" s="12">
        <f>VLOOKUP(A99,'Données projet'!$A$87:$I$107,9,0)</f>
        <v>7.6369230769230851</v>
      </c>
      <c r="BC99" s="12">
        <f t="array" ref="BC99">INDEX(BB:BB,MIN(IF(ISNUMBER(BB99:BB295),ROW(BB99:BB295),"")))</f>
        <v>7.6369230769230851</v>
      </c>
      <c r="BD99" s="12">
        <f>IF('Données projet'!$A$88&gt;35,BD98+BC99-BL98,IF(A99&lt;'Données projet'!$A$88,$BA$205^A99,IF(A99='Données projet'!$A$88,'Données projet'!$B$88,BD98+BC99-BL98)))</f>
        <v>270.00769230769254</v>
      </c>
      <c r="BE99" s="13">
        <f>BD99*VLOOKUP('Données projet'!$B$11,Paramètres!$A$1:$I$89,3,0)*VLOOKUP('Données projet'!$B$11,Paramètres!$A$1:$I$89,5,0)</f>
        <v>126.3636000000001</v>
      </c>
      <c r="BF99" s="13">
        <f t="shared" si="91"/>
        <v>33.154711663654915</v>
      </c>
      <c r="BG99" s="20">
        <f t="shared" si="61"/>
        <v>277.82772614753247</v>
      </c>
      <c r="BH99" s="59">
        <f t="shared" si="62"/>
        <v>571.16105948086579</v>
      </c>
      <c r="BI99" s="59">
        <f ca="1">AVERAGE(OFFSET($BH$3,0,0,'Données projet'!$E$11+1,1))-AVERAGE(OFFSET($H$3,0,0,'Données projet'!$E$11+1,1))</f>
        <v>276.78862011733338</v>
      </c>
      <c r="BJ99" s="59">
        <f t="shared" si="92"/>
        <v>202.1678469635836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-275.00000000000028</v>
      </c>
      <c r="BZ99" s="13">
        <f>BY99*VLOOKUP('Données projet'!$B$12,Paramètres!$A$1:$I$89,3,0)*VLOOKUP('Données projet'!$B$12,Paramètres!$A$1:$I$89,5,0)</f>
        <v>-214.50000000000023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286.5685205631126</v>
      </c>
      <c r="CE99" s="59">
        <f t="shared" si="94"/>
        <v>264.17357326498581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0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4.9000000000000004</v>
      </c>
      <c r="N100" s="13">
        <f>IF('Données projet'!$A$36&gt;35,N99+M100-V99,IF(A100&lt;'Données projet'!$A$36,$K$205^A100,IF(A100='Données projet'!$A$36,'Données projet'!$B$36,N99+M100-V99)))</f>
        <v>288.30000000000035</v>
      </c>
      <c r="O100" s="13">
        <f>N100*VLOOKUP('Données projet'!$B$9,Paramètres!$A$1:$I$89,3,0)*VLOOKUP('Données projet'!$B$9,Paramètres!$A$1:$I$89,5,0)</f>
        <v>260.85384000000033</v>
      </c>
      <c r="P100" s="13">
        <f t="shared" si="87"/>
        <v>62.90434739590382</v>
      </c>
      <c r="Q100" s="20">
        <f t="shared" si="107"/>
        <v>563.87884304786633</v>
      </c>
      <c r="R100" s="59">
        <f t="shared" si="55"/>
        <v>857.2121763811997</v>
      </c>
      <c r="S100" s="59">
        <f ca="1">AVERAGE(OFFSET($R$3,0,0,'Données projet'!$E$9+1,1))-AVERAGE(OFFSET($H$3,0,0,'Données projet'!$E$9+1,1))</f>
        <v>346.35147716792028</v>
      </c>
      <c r="T100" s="59">
        <f t="shared" si="88"/>
        <v>231.36959598460686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3.8410007555898879E-8</v>
      </c>
      <c r="AC100" s="22">
        <f t="shared" si="57"/>
        <v>3.8410007555898879E-8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964.00000000000023</v>
      </c>
      <c r="AJ100" s="13">
        <f>AI100*VLOOKUP('Données projet'!$B$10,Paramètres!$A$1:$I$89,3,0)*VLOOKUP('Données projet'!$B$10,Paramètres!$A$1:$I$89,5,0)</f>
        <v>576.47200000000021</v>
      </c>
      <c r="AK100" s="13">
        <f t="shared" si="89"/>
        <v>126.75809338895206</v>
      </c>
      <c r="AL100" s="20">
        <f t="shared" si="58"/>
        <v>1224.7924126524251</v>
      </c>
      <c r="AM100" s="59">
        <f t="shared" si="59"/>
        <v>1518.1257459857584</v>
      </c>
      <c r="AN100" s="59">
        <f ca="1">AVERAGE(OFFSET($AM$3,0,0,'Données projet'!$E$10+1,1))-AVERAGE(OFFSET($H$3,0,0,'Données projet'!$E$10+1,1))</f>
        <v>559.94918407141222</v>
      </c>
      <c r="AO100" s="59">
        <f t="shared" si="90"/>
        <v>334.6078891555664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9.1715609839961854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1.3570200476044642E-8</v>
      </c>
      <c r="AX100" s="21">
        <f t="shared" si="60"/>
        <v>9.1715609975663863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7.5199999999999934</v>
      </c>
      <c r="BD100" s="12">
        <f>IF('Données projet'!$A$88&gt;35,BD99+BC100-BL99,IF(A100&lt;'Données projet'!$A$88,$BA$205^A100,IF(A100='Données projet'!$A$88,'Données projet'!$B$88,BD99+BC100-BL99)))</f>
        <v>277.52769230769252</v>
      </c>
      <c r="BE100" s="13">
        <f>BD100*VLOOKUP('Données projet'!$B$11,Paramètres!$A$1:$I$89,3,0)*VLOOKUP('Données projet'!$B$11,Paramètres!$A$1:$I$89,5,0)</f>
        <v>129.88296000000011</v>
      </c>
      <c r="BF100" s="13">
        <f t="shared" si="91"/>
        <v>33.969313407178149</v>
      </c>
      <c r="BG100" s="20">
        <f t="shared" si="61"/>
        <v>285.3760428508354</v>
      </c>
      <c r="BH100" s="59">
        <f t="shared" si="62"/>
        <v>578.70937618416872</v>
      </c>
      <c r="BI100" s="59">
        <f ca="1">AVERAGE(OFFSET($BH$3,0,0,'Données projet'!$E$11+1,1))-AVERAGE(OFFSET($H$3,0,0,'Données projet'!$E$11+1,1))</f>
        <v>276.78862011733338</v>
      </c>
      <c r="BJ100" s="59">
        <f t="shared" si="92"/>
        <v>202.1678469635836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-275.00000000000028</v>
      </c>
      <c r="BZ100" s="13">
        <f>BY100*VLOOKUP('Données projet'!$B$12,Paramètres!$A$1:$I$89,3,0)*VLOOKUP('Données projet'!$B$12,Paramètres!$A$1:$I$89,5,0)</f>
        <v>-214.50000000000023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286.5685205631126</v>
      </c>
      <c r="CE100" s="59">
        <f t="shared" si="94"/>
        <v>264.17357326498581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0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4.9000000000000004</v>
      </c>
      <c r="N101" s="13">
        <f>IF('Données projet'!$A$36&gt;35,N100+M101-V100,IF(A101&lt;'Données projet'!$A$36,$K$205^A101,IF(A101='Données projet'!$A$36,'Données projet'!$B$36,N100+M101-V100)))</f>
        <v>293.20000000000033</v>
      </c>
      <c r="O101" s="13">
        <f>N101*VLOOKUP('Données projet'!$B$9,Paramètres!$A$1:$I$89,3,0)*VLOOKUP('Données projet'!$B$9,Paramètres!$A$1:$I$89,5,0)</f>
        <v>265.28736000000032</v>
      </c>
      <c r="P101" s="13">
        <f t="shared" si="87"/>
        <v>63.848105500970064</v>
      </c>
      <c r="Q101" s="20">
        <f t="shared" si="107"/>
        <v>573.24426908085672</v>
      </c>
      <c r="R101" s="59">
        <f t="shared" si="55"/>
        <v>866.5776024141901</v>
      </c>
      <c r="S101" s="59">
        <f ca="1">AVERAGE(OFFSET($R$3,0,0,'Données projet'!$E$9+1,1))-AVERAGE(OFFSET($H$3,0,0,'Données projet'!$E$9+1,1))</f>
        <v>346.35147716792028</v>
      </c>
      <c r="T101" s="59">
        <f t="shared" si="88"/>
        <v>231.36959598460686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2.7159976808202626E-8</v>
      </c>
      <c r="AC101" s="22">
        <f t="shared" si="57"/>
        <v>2.7159976808202626E-8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964.00000000000023</v>
      </c>
      <c r="AJ101" s="13">
        <f>AI101*VLOOKUP('Données projet'!$B$10,Paramètres!$A$1:$I$89,3,0)*VLOOKUP('Données projet'!$B$10,Paramètres!$A$1:$I$89,5,0)</f>
        <v>576.47200000000021</v>
      </c>
      <c r="AK101" s="13">
        <f t="shared" si="89"/>
        <v>126.75809338895206</v>
      </c>
      <c r="AL101" s="20">
        <f t="shared" si="58"/>
        <v>1224.7924126524251</v>
      </c>
      <c r="AM101" s="59">
        <f t="shared" si="59"/>
        <v>1518.1257459857584</v>
      </c>
      <c r="AN101" s="59">
        <f ca="1">AVERAGE(OFFSET($AM$3,0,0,'Données projet'!$E$10+1,1))-AVERAGE(OFFSET($H$3,0,0,'Données projet'!$E$10+1,1))</f>
        <v>559.94918407141222</v>
      </c>
      <c r="AO101" s="59">
        <f t="shared" si="90"/>
        <v>334.6078891555664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8.9917122671998495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9.5955807786720817E-9</v>
      </c>
      <c r="AX101" s="21">
        <f t="shared" si="60"/>
        <v>8.9917122767954307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7.5199999999999934</v>
      </c>
      <c r="BD101" s="12">
        <f>IF('Données projet'!$A$88&gt;35,BD100+BC101-BL100,IF(A101&lt;'Données projet'!$A$88,$BA$205^A101,IF(A101='Données projet'!$A$88,'Données projet'!$B$88,BD100+BC101-BL100)))</f>
        <v>285.0476923076925</v>
      </c>
      <c r="BE101" s="13">
        <f>BD101*VLOOKUP('Données projet'!$B$11,Paramètres!$A$1:$I$89,3,0)*VLOOKUP('Données projet'!$B$11,Paramètres!$A$1:$I$89,5,0)</f>
        <v>133.40232000000009</v>
      </c>
      <c r="BF101" s="13">
        <f t="shared" si="91"/>
        <v>34.781349595951248</v>
      </c>
      <c r="BG101" s="20">
        <f t="shared" si="61"/>
        <v>292.91989121294858</v>
      </c>
      <c r="BH101" s="59">
        <f t="shared" si="62"/>
        <v>586.2532245462819</v>
      </c>
      <c r="BI101" s="59">
        <f ca="1">AVERAGE(OFFSET($BH$3,0,0,'Données projet'!$E$11+1,1))-AVERAGE(OFFSET($H$3,0,0,'Données projet'!$E$11+1,1))</f>
        <v>276.78862011733338</v>
      </c>
      <c r="BJ101" s="59">
        <f t="shared" si="92"/>
        <v>202.1678469635836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-275.00000000000028</v>
      </c>
      <c r="BZ101" s="13">
        <f>BY101*VLOOKUP('Données projet'!$B$12,Paramètres!$A$1:$I$89,3,0)*VLOOKUP('Données projet'!$B$12,Paramètres!$A$1:$I$89,5,0)</f>
        <v>-214.50000000000023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286.5685205631126</v>
      </c>
      <c r="CE101" s="59">
        <f t="shared" si="94"/>
        <v>264.17357326498581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0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4.9000000000000004</v>
      </c>
      <c r="N102" s="13">
        <f>IF('Données projet'!$A$36&gt;35,N101+M102-V101,IF(A102&lt;'Données projet'!$A$36,$K$205^A102,IF(A102='Données projet'!$A$36,'Données projet'!$B$36,N101+M102-V101)))</f>
        <v>298.10000000000031</v>
      </c>
      <c r="O102" s="13">
        <f>N102*VLOOKUP('Données projet'!$B$9,Paramètres!$A$1:$I$89,3,0)*VLOOKUP('Données projet'!$B$9,Paramètres!$A$1:$I$89,5,0)</f>
        <v>269.72088000000025</v>
      </c>
      <c r="P102" s="13">
        <f t="shared" si="87"/>
        <v>64.790029413947011</v>
      </c>
      <c r="Q102" s="20">
        <f t="shared" si="107"/>
        <v>582.60650056262477</v>
      </c>
      <c r="R102" s="59">
        <f t="shared" si="55"/>
        <v>875.93983389595815</v>
      </c>
      <c r="S102" s="59">
        <f ca="1">AVERAGE(OFFSET($R$3,0,0,'Données projet'!$E$9+1,1))-AVERAGE(OFFSET($H$3,0,0,'Données projet'!$E$9+1,1))</f>
        <v>346.35147716792028</v>
      </c>
      <c r="T102" s="59">
        <f t="shared" si="88"/>
        <v>231.36959598460686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1.920500377794944E-8</v>
      </c>
      <c r="AC102" s="22">
        <f t="shared" si="57"/>
        <v>1.920500377794944E-8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964.00000000000023</v>
      </c>
      <c r="AJ102" s="13">
        <f>AI102*VLOOKUP('Données projet'!$B$10,Paramètres!$A$1:$I$89,3,0)*VLOOKUP('Données projet'!$B$10,Paramètres!$A$1:$I$89,5,0)</f>
        <v>576.47200000000021</v>
      </c>
      <c r="AK102" s="13">
        <f t="shared" si="89"/>
        <v>126.75809338895206</v>
      </c>
      <c r="AL102" s="20">
        <f t="shared" si="58"/>
        <v>1224.7924126524251</v>
      </c>
      <c r="AM102" s="59">
        <f t="shared" si="59"/>
        <v>1518.1257459857584</v>
      </c>
      <c r="AN102" s="59">
        <f ca="1">AVERAGE(OFFSET($AM$3,0,0,'Données projet'!$E$10+1,1))-AVERAGE(OFFSET($H$3,0,0,'Données projet'!$E$10+1,1))</f>
        <v>559.94918407141222</v>
      </c>
      <c r="AO102" s="59">
        <f t="shared" si="90"/>
        <v>334.6078891555664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8.8153902740430041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6.7851002380223211E-9</v>
      </c>
      <c r="AX102" s="21">
        <f t="shared" si="60"/>
        <v>8.8153902808281046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7.5199999999999934</v>
      </c>
      <c r="BD102" s="12">
        <f>IF('Données projet'!$A$88&gt;35,BD101+BC102-BL101,IF(A102&lt;'Données projet'!$A$88,$BA$205^A102,IF(A102='Données projet'!$A$88,'Données projet'!$B$88,BD101+BC102-BL101)))</f>
        <v>292.56769230769248</v>
      </c>
      <c r="BE102" s="13">
        <f>BD102*VLOOKUP('Données projet'!$B$11,Paramètres!$A$1:$I$89,3,0)*VLOOKUP('Données projet'!$B$11,Paramètres!$A$1:$I$89,5,0)</f>
        <v>136.92168000000009</v>
      </c>
      <c r="BF102" s="13">
        <f t="shared" si="91"/>
        <v>35.590895693444274</v>
      </c>
      <c r="BG102" s="20">
        <f t="shared" si="61"/>
        <v>300.45940266608233</v>
      </c>
      <c r="BH102" s="59">
        <f t="shared" si="62"/>
        <v>593.79273599941564</v>
      </c>
      <c r="BI102" s="59">
        <f ca="1">AVERAGE(OFFSET($BH$3,0,0,'Données projet'!$E$11+1,1))-AVERAGE(OFFSET($H$3,0,0,'Données projet'!$E$11+1,1))</f>
        <v>276.78862011733338</v>
      </c>
      <c r="BJ102" s="59">
        <f t="shared" si="92"/>
        <v>202.1678469635836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-275.00000000000028</v>
      </c>
      <c r="BZ102" s="13">
        <f>BY102*VLOOKUP('Données projet'!$B$12,Paramètres!$A$1:$I$89,3,0)*VLOOKUP('Données projet'!$B$12,Paramètres!$A$1:$I$89,5,0)</f>
        <v>-214.50000000000023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286.5685205631126</v>
      </c>
      <c r="CE102" s="59">
        <f t="shared" si="94"/>
        <v>264.17357326498581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0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303</v>
      </c>
      <c r="L103" s="12">
        <f>VLOOKUP(A103,'Données projet'!$A$35:$I$55,9,0)</f>
        <v>4.9000000000000004</v>
      </c>
      <c r="M103" s="12">
        <f t="array" ref="M103">INDEX(L:L,MIN(IF(ISNUMBER(L103:L299),ROW(L103:L299),"")))</f>
        <v>4.9000000000000004</v>
      </c>
      <c r="N103" s="13">
        <f>IF('Données projet'!$A$36&gt;35,N102+M103-V102,IF(A103&lt;'Données projet'!$A$36,$K$205^A103,IF(A103='Données projet'!$A$36,'Données projet'!$B$36,N102+M103-V102)))</f>
        <v>303.00000000000028</v>
      </c>
      <c r="O103" s="13">
        <f>N103*VLOOKUP('Données projet'!$B$9,Paramètres!$A$1:$I$89,3,0)*VLOOKUP('Données projet'!$B$9,Paramètres!$A$1:$I$89,5,0)</f>
        <v>274.15440000000024</v>
      </c>
      <c r="P103" s="13">
        <f t="shared" si="87"/>
        <v>65.730152764515893</v>
      </c>
      <c r="Q103" s="20">
        <f t="shared" si="107"/>
        <v>591.96559606486551</v>
      </c>
      <c r="R103" s="59">
        <f t="shared" si="55"/>
        <v>885.29892939819888</v>
      </c>
      <c r="S103" s="59">
        <f ca="1">AVERAGE(OFFSET($R$3,0,0,'Données projet'!$E$9+1,1))-AVERAGE(OFFSET($H$3,0,0,'Données projet'!$E$9+1,1))</f>
        <v>346.35147716792028</v>
      </c>
      <c r="T103" s="59">
        <f t="shared" si="88"/>
        <v>231.36959598460686</v>
      </c>
      <c r="U103" s="15" t="str">
        <f>IF(ISNA(VLOOKUP(A103,'Données projet'!$A$35:$I$55,3,0)),0,VLOOKUP(A103,'Données projet'!$A$35:$I$55,3,0))</f>
        <v>CR</v>
      </c>
      <c r="V103" s="15">
        <f>IF(ISNA(VLOOKUP(A103,'Données projet'!$A$35:$I$55,4,0)),0,VLOOKUP(A103,'Données projet'!$A$35:$I$55,4,0))</f>
        <v>303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1.3579988404101313E-8</v>
      </c>
      <c r="AC103" s="22">
        <f t="shared" si="57"/>
        <v>1.3579988404101313E-8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964.00000000000023</v>
      </c>
      <c r="AJ103" s="13">
        <f>AI103*VLOOKUP('Données projet'!$B$10,Paramètres!$A$1:$I$89,3,0)*VLOOKUP('Données projet'!$B$10,Paramètres!$A$1:$I$89,5,0)</f>
        <v>576.47200000000021</v>
      </c>
      <c r="AK103" s="13">
        <f t="shared" si="89"/>
        <v>126.75809338895206</v>
      </c>
      <c r="AL103" s="20">
        <f t="shared" si="58"/>
        <v>1224.7924126524251</v>
      </c>
      <c r="AM103" s="59">
        <f t="shared" si="59"/>
        <v>1518.1257459857584</v>
      </c>
      <c r="AN103" s="59">
        <f ca="1">AVERAGE(OFFSET($AM$3,0,0,'Données projet'!$E$10+1,1))-AVERAGE(OFFSET($H$3,0,0,'Données projet'!$E$10+1,1))</f>
        <v>559.94918407141222</v>
      </c>
      <c r="AO103" s="59">
        <f t="shared" si="90"/>
        <v>334.6078891555664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8.6425258476261675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4.7977903893360409E-9</v>
      </c>
      <c r="AX103" s="21">
        <f t="shared" si="60"/>
        <v>8.6425258524239581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7.5199999999999934</v>
      </c>
      <c r="BD103" s="12">
        <f>IF('Données projet'!$A$88&gt;35,BD102+BC103-BL102,IF(A103&lt;'Données projet'!$A$88,$BA$205^A103,IF(A103='Données projet'!$A$88,'Données projet'!$B$88,BD102+BC103-BL102)))</f>
        <v>300.08769230769246</v>
      </c>
      <c r="BE103" s="13">
        <f>BD103*VLOOKUP('Données projet'!$B$11,Paramètres!$A$1:$I$89,3,0)*VLOOKUP('Données projet'!$B$11,Paramètres!$A$1:$I$89,5,0)</f>
        <v>140.44104000000007</v>
      </c>
      <c r="BF103" s="13">
        <f t="shared" si="91"/>
        <v>36.398023062778648</v>
      </c>
      <c r="BG103" s="20">
        <f t="shared" si="61"/>
        <v>307.99470150100632</v>
      </c>
      <c r="BH103" s="59">
        <f t="shared" si="62"/>
        <v>601.32803483433963</v>
      </c>
      <c r="BI103" s="59">
        <f ca="1">AVERAGE(OFFSET($BH$3,0,0,'Données projet'!$E$11+1,1))-AVERAGE(OFFSET($H$3,0,0,'Données projet'!$E$11+1,1))</f>
        <v>276.78862011733338</v>
      </c>
      <c r="BJ103" s="59">
        <f t="shared" si="92"/>
        <v>202.1678469635836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-275.00000000000028</v>
      </c>
      <c r="BZ103" s="13">
        <f>BY103*VLOOKUP('Données projet'!$B$12,Paramètres!$A$1:$I$89,3,0)*VLOOKUP('Données projet'!$B$12,Paramètres!$A$1:$I$89,5,0)</f>
        <v>-214.50000000000023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286.5685205631126</v>
      </c>
      <c r="CE103" s="59">
        <f t="shared" si="94"/>
        <v>264.17357326498581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0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2.8421709430404007E-13</v>
      </c>
      <c r="O104" s="13">
        <f>N104*VLOOKUP('Données projet'!$B$9,Paramètres!$A$1:$I$89,3,0)*VLOOKUP('Données projet'!$B$9,Paramètres!$A$1:$I$89,5,0)</f>
        <v>2.5715962692629546E-13</v>
      </c>
      <c r="P104" s="13">
        <f t="shared" si="87"/>
        <v>3.4610450122128953E-12</v>
      </c>
      <c r="Q104" s="20">
        <f t="shared" si="107"/>
        <v>6.4758730798340893E-12</v>
      </c>
      <c r="R104" s="59">
        <f t="shared" si="55"/>
        <v>293.33333333333979</v>
      </c>
      <c r="S104" s="59">
        <f ca="1">AVERAGE(OFFSET($R$3,0,0,'Données projet'!$E$9+1,1))-AVERAGE(OFFSET($H$3,0,0,'Données projet'!$E$9+1,1))</f>
        <v>346.35147716792028</v>
      </c>
      <c r="T104" s="59">
        <f t="shared" si="88"/>
        <v>231.36959598460686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9.6025018889747198E-9</v>
      </c>
      <c r="AC104" s="22">
        <f t="shared" si="57"/>
        <v>9.6025018889747198E-9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964.00000000000023</v>
      </c>
      <c r="AJ104" s="13">
        <f>AI104*VLOOKUP('Données projet'!$B$10,Paramètres!$A$1:$I$89,3,0)*VLOOKUP('Données projet'!$B$10,Paramètres!$A$1:$I$89,5,0)</f>
        <v>576.47200000000021</v>
      </c>
      <c r="AK104" s="13">
        <f t="shared" si="89"/>
        <v>126.75809338895206</v>
      </c>
      <c r="AL104" s="20">
        <f t="shared" si="58"/>
        <v>1224.7924126524251</v>
      </c>
      <c r="AM104" s="59">
        <f t="shared" si="59"/>
        <v>1518.1257459857584</v>
      </c>
      <c r="AN104" s="59">
        <f ca="1">AVERAGE(OFFSET($AM$3,0,0,'Données projet'!$E$10+1,1))-AVERAGE(OFFSET($H$3,0,0,'Données projet'!$E$10+1,1))</f>
        <v>559.94918407141222</v>
      </c>
      <c r="AO104" s="59">
        <f t="shared" si="90"/>
        <v>334.6078891555664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8.4730511871744767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3.3925501190111605E-9</v>
      </c>
      <c r="AX104" s="21">
        <f t="shared" si="60"/>
        <v>8.4730511905670269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>
        <f>VLOOKUP(A104,'Données projet'!$A$87:$I$107,2,0)</f>
        <v>307.60769230769228</v>
      </c>
      <c r="BB104" s="12">
        <f>VLOOKUP(A104,'Données projet'!$A$87:$I$107,9,0)</f>
        <v>7.5199999999999934</v>
      </c>
      <c r="BC104" s="12">
        <f t="array" ref="BC104">INDEX(BB:BB,MIN(IF(ISNUMBER(BB104:BB300),ROW(BB104:BB300),"")))</f>
        <v>7.5199999999999934</v>
      </c>
      <c r="BD104" s="12">
        <f>IF('Données projet'!$A$88&gt;35,BD103+BC104-BL103,IF(A104&lt;'Données projet'!$A$88,$BA$205^A104,IF(A104='Données projet'!$A$88,'Données projet'!$B$88,BD103+BC104-BL103)))</f>
        <v>307.60769230769245</v>
      </c>
      <c r="BE104" s="13">
        <f>BD104*VLOOKUP('Données projet'!$B$11,Paramètres!$A$1:$I$89,3,0)*VLOOKUP('Données projet'!$B$11,Paramètres!$A$1:$I$89,5,0)</f>
        <v>143.96040000000008</v>
      </c>
      <c r="BF104" s="13">
        <f t="shared" si="91"/>
        <v>37.202799286612269</v>
      </c>
      <c r="BG104" s="20">
        <f t="shared" si="61"/>
        <v>315.52590542418318</v>
      </c>
      <c r="BH104" s="59">
        <f t="shared" si="62"/>
        <v>608.85923875751655</v>
      </c>
      <c r="BI104" s="59">
        <f ca="1">AVERAGE(OFFSET($BH$3,0,0,'Données projet'!$E$11+1,1))-AVERAGE(OFFSET($H$3,0,0,'Données projet'!$E$11+1,1))</f>
        <v>276.78862011733338</v>
      </c>
      <c r="BJ104" s="59">
        <f t="shared" si="92"/>
        <v>202.1678469635836</v>
      </c>
      <c r="BK104" s="15">
        <f>IF(ISNA(VLOOKUP(A104,'Données projet'!$A$87:$I$107,3,0)),0,VLOOKUP(A104,'Données projet'!$A$87:$I$107,3,0))</f>
        <v>8</v>
      </c>
      <c r="BL104" s="15">
        <f>IF(ISNA(VLOOKUP(A104,'Données projet'!$A$87:$I$107,4,0)),0,VLOOKUP(A104,'Données projet'!$A$87:$I$107,4,0))</f>
        <v>307.60769230769228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-275.00000000000028</v>
      </c>
      <c r="BZ104" s="13">
        <f>BY104*VLOOKUP('Données projet'!$B$12,Paramètres!$A$1:$I$89,3,0)*VLOOKUP('Données projet'!$B$12,Paramètres!$A$1:$I$89,5,0)</f>
        <v>-214.50000000000023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286.5685205631126</v>
      </c>
      <c r="CE104" s="59">
        <f t="shared" si="94"/>
        <v>264.17357326498581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0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2.8421709430404007E-13</v>
      </c>
      <c r="O105" s="13">
        <f>N105*VLOOKUP('Données projet'!$B$9,Paramètres!$A$1:$I$89,3,0)*VLOOKUP('Données projet'!$B$9,Paramètres!$A$1:$I$89,5,0)</f>
        <v>2.5715962692629546E-13</v>
      </c>
      <c r="P105" s="13">
        <f t="shared" si="87"/>
        <v>3.4610450122128953E-12</v>
      </c>
      <c r="Q105" s="20">
        <f t="shared" si="107"/>
        <v>6.4758730798340893E-12</v>
      </c>
      <c r="R105" s="59">
        <f t="shared" si="55"/>
        <v>293.33333333333979</v>
      </c>
      <c r="S105" s="59">
        <f ca="1">AVERAGE(OFFSET($R$3,0,0,'Données projet'!$E$9+1,1))-AVERAGE(OFFSET($H$3,0,0,'Données projet'!$E$9+1,1))</f>
        <v>346.35147716792028</v>
      </c>
      <c r="T105" s="59">
        <f t="shared" si="88"/>
        <v>231.36959598460686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6.7899942020506566E-9</v>
      </c>
      <c r="AC105" s="22">
        <f t="shared" si="57"/>
        <v>6.7899942020506566E-9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964.00000000000023</v>
      </c>
      <c r="AJ105" s="13">
        <f>AI105*VLOOKUP('Données projet'!$B$10,Paramètres!$A$1:$I$89,3,0)*VLOOKUP('Données projet'!$B$10,Paramètres!$A$1:$I$89,5,0)</f>
        <v>576.47200000000021</v>
      </c>
      <c r="AK105" s="13">
        <f t="shared" si="89"/>
        <v>126.75809338895206</v>
      </c>
      <c r="AL105" s="20">
        <f t="shared" si="58"/>
        <v>1224.7924126524251</v>
      </c>
      <c r="AM105" s="59">
        <f t="shared" si="59"/>
        <v>1518.1257459857584</v>
      </c>
      <c r="AN105" s="59">
        <f ca="1">AVERAGE(OFFSET($AM$3,0,0,'Données projet'!$E$10+1,1))-AVERAGE(OFFSET($H$3,0,0,'Données projet'!$E$10+1,1))</f>
        <v>559.94918407141222</v>
      </c>
      <c r="AO105" s="59">
        <f t="shared" si="90"/>
        <v>334.6078891555664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8.3068998214449064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2.3988951946680204E-9</v>
      </c>
      <c r="AX105" s="21">
        <f t="shared" si="60"/>
        <v>8.3068998238438017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1.7053025658242404E-13</v>
      </c>
      <c r="BE105" s="13">
        <f>BD105*VLOOKUP('Données projet'!$B$11,Paramètres!$A$1:$I$89,3,0)*VLOOKUP('Données projet'!$B$11,Paramètres!$A$1:$I$89,5,0)</f>
        <v>7.9808160080574461E-14</v>
      </c>
      <c r="BF105" s="13">
        <f t="shared" si="91"/>
        <v>1.2308384591775343E-12</v>
      </c>
      <c r="BG105" s="20">
        <f t="shared" si="61"/>
        <v>2.282709528541206E-12</v>
      </c>
      <c r="BH105" s="59">
        <f t="shared" si="62"/>
        <v>293.33333333333559</v>
      </c>
      <c r="BI105" s="59">
        <f ca="1">AVERAGE(OFFSET($BH$3,0,0,'Données projet'!$E$11+1,1))-AVERAGE(OFFSET($H$3,0,0,'Données projet'!$E$11+1,1))</f>
        <v>276.78862011733338</v>
      </c>
      <c r="BJ105" s="59">
        <f t="shared" si="92"/>
        <v>202.1678469635836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-275.00000000000028</v>
      </c>
      <c r="BZ105" s="13">
        <f>BY105*VLOOKUP('Données projet'!$B$12,Paramètres!$A$1:$I$89,3,0)*VLOOKUP('Données projet'!$B$12,Paramètres!$A$1:$I$89,5,0)</f>
        <v>-214.50000000000023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286.5685205631126</v>
      </c>
      <c r="CE105" s="59">
        <f t="shared" si="94"/>
        <v>264.17357326498581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0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2.8421709430404007E-13</v>
      </c>
      <c r="O106" s="13">
        <f>N106*VLOOKUP('Données projet'!$B$9,Paramètres!$A$1:$I$89,3,0)*VLOOKUP('Données projet'!$B$9,Paramètres!$A$1:$I$89,5,0)</f>
        <v>2.5715962692629546E-13</v>
      </c>
      <c r="P106" s="13">
        <f t="shared" si="87"/>
        <v>3.4610450122128953E-12</v>
      </c>
      <c r="Q106" s="20">
        <f t="shared" si="107"/>
        <v>6.4758730798340893E-12</v>
      </c>
      <c r="R106" s="59">
        <f t="shared" si="55"/>
        <v>293.33333333333979</v>
      </c>
      <c r="S106" s="59">
        <f ca="1">AVERAGE(OFFSET($R$3,0,0,'Données projet'!$E$9+1,1))-AVERAGE(OFFSET($H$3,0,0,'Données projet'!$E$9+1,1))</f>
        <v>346.35147716792028</v>
      </c>
      <c r="T106" s="59">
        <f t="shared" si="88"/>
        <v>231.36959598460686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4.8012509444873599E-9</v>
      </c>
      <c r="AC106" s="22">
        <f t="shared" si="57"/>
        <v>4.8012509444873599E-9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964.00000000000023</v>
      </c>
      <c r="AJ106" s="13">
        <f>AI106*VLOOKUP('Données projet'!$B$10,Paramètres!$A$1:$I$89,3,0)*VLOOKUP('Données projet'!$B$10,Paramètres!$A$1:$I$89,5,0)</f>
        <v>576.47200000000021</v>
      </c>
      <c r="AK106" s="13">
        <f t="shared" si="89"/>
        <v>126.75809338895206</v>
      </c>
      <c r="AL106" s="20">
        <f t="shared" si="58"/>
        <v>1224.7924126524251</v>
      </c>
      <c r="AM106" s="59">
        <f t="shared" si="59"/>
        <v>1518.1257459857584</v>
      </c>
      <c r="AN106" s="59">
        <f ca="1">AVERAGE(OFFSET($AM$3,0,0,'Données projet'!$E$10+1,1))-AVERAGE(OFFSET($H$3,0,0,'Données projet'!$E$10+1,1))</f>
        <v>559.94918407141222</v>
      </c>
      <c r="AO106" s="59">
        <f t="shared" si="90"/>
        <v>334.6078891555664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8.144006582654967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1.6962750595055803E-9</v>
      </c>
      <c r="AX106" s="21">
        <f t="shared" si="60"/>
        <v>8.1440065843512421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1.7053025658242404E-13</v>
      </c>
      <c r="BE106" s="13">
        <f>BD106*VLOOKUP('Données projet'!$B$11,Paramètres!$A$1:$I$89,3,0)*VLOOKUP('Données projet'!$B$11,Paramètres!$A$1:$I$89,5,0)</f>
        <v>7.9808160080574461E-14</v>
      </c>
      <c r="BF106" s="13">
        <f t="shared" si="91"/>
        <v>1.2308384591775343E-12</v>
      </c>
      <c r="BG106" s="20">
        <f t="shared" si="61"/>
        <v>2.282709528541206E-12</v>
      </c>
      <c r="BH106" s="59">
        <f t="shared" si="62"/>
        <v>293.33333333333559</v>
      </c>
      <c r="BI106" s="59">
        <f ca="1">AVERAGE(OFFSET($BH$3,0,0,'Données projet'!$E$11+1,1))-AVERAGE(OFFSET($H$3,0,0,'Données projet'!$E$11+1,1))</f>
        <v>276.78862011733338</v>
      </c>
      <c r="BJ106" s="59">
        <f t="shared" si="92"/>
        <v>202.1678469635836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-275.00000000000028</v>
      </c>
      <c r="BZ106" s="13">
        <f>BY106*VLOOKUP('Données projet'!$B$12,Paramètres!$A$1:$I$89,3,0)*VLOOKUP('Données projet'!$B$12,Paramètres!$A$1:$I$89,5,0)</f>
        <v>-214.50000000000023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286.5685205631126</v>
      </c>
      <c r="CE106" s="59">
        <f t="shared" si="94"/>
        <v>264.17357326498581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0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2.8421709430404007E-13</v>
      </c>
      <c r="O107" s="13">
        <f>N107*VLOOKUP('Données projet'!$B$9,Paramètres!$A$1:$I$89,3,0)*VLOOKUP('Données projet'!$B$9,Paramètres!$A$1:$I$89,5,0)</f>
        <v>2.5715962692629546E-13</v>
      </c>
      <c r="P107" s="13">
        <f t="shared" si="87"/>
        <v>3.4610450122128953E-12</v>
      </c>
      <c r="Q107" s="20">
        <f t="shared" si="107"/>
        <v>6.4758730798340893E-12</v>
      </c>
      <c r="R107" s="59">
        <f t="shared" si="55"/>
        <v>293.33333333333979</v>
      </c>
      <c r="S107" s="59">
        <f ca="1">AVERAGE(OFFSET($R$3,0,0,'Données projet'!$E$9+1,1))-AVERAGE(OFFSET($H$3,0,0,'Données projet'!$E$9+1,1))</f>
        <v>346.35147716792028</v>
      </c>
      <c r="T107" s="59">
        <f t="shared" si="88"/>
        <v>231.36959598460686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3.3949971010253283E-9</v>
      </c>
      <c r="AC107" s="22">
        <f t="shared" si="57"/>
        <v>3.3949971010253283E-9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964.00000000000023</v>
      </c>
      <c r="AJ107" s="13">
        <f>AI107*VLOOKUP('Données projet'!$B$10,Paramètres!$A$1:$I$89,3,0)*VLOOKUP('Données projet'!$B$10,Paramètres!$A$1:$I$89,5,0)</f>
        <v>576.47200000000021</v>
      </c>
      <c r="AK107" s="13">
        <f t="shared" si="89"/>
        <v>126.75809338895206</v>
      </c>
      <c r="AL107" s="20">
        <f t="shared" si="58"/>
        <v>1224.7924126524251</v>
      </c>
      <c r="AM107" s="59">
        <f t="shared" si="59"/>
        <v>1518.1257459857584</v>
      </c>
      <c r="AN107" s="59">
        <f ca="1">AVERAGE(OFFSET($AM$3,0,0,'Données projet'!$E$10+1,1))-AVERAGE(OFFSET($H$3,0,0,'Données projet'!$E$10+1,1))</f>
        <v>559.94918407141222</v>
      </c>
      <c r="AO107" s="59">
        <f t="shared" si="90"/>
        <v>334.6078891555664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7.9843075809226329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1.1994475973340102E-9</v>
      </c>
      <c r="AX107" s="21">
        <f t="shared" si="60"/>
        <v>7.9843075821220806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1.7053025658242404E-13</v>
      </c>
      <c r="BE107" s="13">
        <f>BD107*VLOOKUP('Données projet'!$B$11,Paramètres!$A$1:$I$89,3,0)*VLOOKUP('Données projet'!$B$11,Paramètres!$A$1:$I$89,5,0)</f>
        <v>7.9808160080574461E-14</v>
      </c>
      <c r="BF107" s="13">
        <f t="shared" si="91"/>
        <v>1.2308384591775343E-12</v>
      </c>
      <c r="BG107" s="20">
        <f t="shared" si="61"/>
        <v>2.282709528541206E-12</v>
      </c>
      <c r="BH107" s="59">
        <f t="shared" si="62"/>
        <v>293.33333333333559</v>
      </c>
      <c r="BI107" s="59">
        <f ca="1">AVERAGE(OFFSET($BH$3,0,0,'Données projet'!$E$11+1,1))-AVERAGE(OFFSET($H$3,0,0,'Données projet'!$E$11+1,1))</f>
        <v>276.78862011733338</v>
      </c>
      <c r="BJ107" s="59">
        <f t="shared" si="92"/>
        <v>202.1678469635836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-275.00000000000028</v>
      </c>
      <c r="BZ107" s="13">
        <f>BY107*VLOOKUP('Données projet'!$B$12,Paramètres!$A$1:$I$89,3,0)*VLOOKUP('Données projet'!$B$12,Paramètres!$A$1:$I$89,5,0)</f>
        <v>-214.50000000000023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286.5685205631126</v>
      </c>
      <c r="CE107" s="59">
        <f t="shared" si="94"/>
        <v>264.17357326498581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0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2.8421709430404007E-13</v>
      </c>
      <c r="O108" s="13">
        <f>N108*VLOOKUP('Données projet'!$B$9,Paramètres!$A$1:$I$89,3,0)*VLOOKUP('Données projet'!$B$9,Paramètres!$A$1:$I$89,5,0)</f>
        <v>2.5715962692629546E-13</v>
      </c>
      <c r="P108" s="13">
        <f t="shared" si="87"/>
        <v>3.4610450122128953E-12</v>
      </c>
      <c r="Q108" s="20">
        <f t="shared" si="107"/>
        <v>6.4758730798340893E-12</v>
      </c>
      <c r="R108" s="59">
        <f t="shared" si="55"/>
        <v>293.33333333333979</v>
      </c>
      <c r="S108" s="59">
        <f ca="1">AVERAGE(OFFSET($R$3,0,0,'Données projet'!$E$9+1,1))-AVERAGE(OFFSET($H$3,0,0,'Données projet'!$E$9+1,1))</f>
        <v>346.35147716792028</v>
      </c>
      <c r="T108" s="59">
        <f t="shared" si="88"/>
        <v>231.36959598460686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2.4006254722436799E-9</v>
      </c>
      <c r="AC108" s="22">
        <f t="shared" si="57"/>
        <v>2.4006254722436799E-9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964.00000000000023</v>
      </c>
      <c r="AJ108" s="13">
        <f>AI108*VLOOKUP('Données projet'!$B$10,Paramètres!$A$1:$I$89,3,0)*VLOOKUP('Données projet'!$B$10,Paramètres!$A$1:$I$89,5,0)</f>
        <v>576.47200000000021</v>
      </c>
      <c r="AK108" s="13">
        <f t="shared" si="89"/>
        <v>126.75809338895206</v>
      </c>
      <c r="AL108" s="20">
        <f t="shared" si="58"/>
        <v>1224.7924126524251</v>
      </c>
      <c r="AM108" s="59">
        <f t="shared" si="59"/>
        <v>1518.1257459857584</v>
      </c>
      <c r="AN108" s="59">
        <f ca="1">AVERAGE(OFFSET($AM$3,0,0,'Données projet'!$E$10+1,1))-AVERAGE(OFFSET($H$3,0,0,'Données projet'!$E$10+1,1))</f>
        <v>559.94918407141222</v>
      </c>
      <c r="AO108" s="59">
        <f t="shared" si="90"/>
        <v>334.6078891555664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7.8277401792074972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8.4813752975279013E-10</v>
      </c>
      <c r="AX108" s="21">
        <f t="shared" si="60"/>
        <v>7.8277401800556348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1.7053025658242404E-13</v>
      </c>
      <c r="BE108" s="13">
        <f>BD108*VLOOKUP('Données projet'!$B$11,Paramètres!$A$1:$I$89,3,0)*VLOOKUP('Données projet'!$B$11,Paramètres!$A$1:$I$89,5,0)</f>
        <v>7.9808160080574461E-14</v>
      </c>
      <c r="BF108" s="13">
        <f t="shared" si="91"/>
        <v>1.2308384591775343E-12</v>
      </c>
      <c r="BG108" s="20">
        <f t="shared" si="61"/>
        <v>2.282709528541206E-12</v>
      </c>
      <c r="BH108" s="59">
        <f t="shared" si="62"/>
        <v>293.33333333333559</v>
      </c>
      <c r="BI108" s="59">
        <f ca="1">AVERAGE(OFFSET($BH$3,0,0,'Données projet'!$E$11+1,1))-AVERAGE(OFFSET($H$3,0,0,'Données projet'!$E$11+1,1))</f>
        <v>276.78862011733338</v>
      </c>
      <c r="BJ108" s="59">
        <f t="shared" si="92"/>
        <v>202.1678469635836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-275.00000000000028</v>
      </c>
      <c r="BZ108" s="13">
        <f>BY108*VLOOKUP('Données projet'!$B$12,Paramètres!$A$1:$I$89,3,0)*VLOOKUP('Données projet'!$B$12,Paramètres!$A$1:$I$89,5,0)</f>
        <v>-214.50000000000023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286.5685205631126</v>
      </c>
      <c r="CE108" s="59">
        <f t="shared" si="94"/>
        <v>264.17357326498581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0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2.8421709430404007E-13</v>
      </c>
      <c r="O109" s="13">
        <f>N109*VLOOKUP('Données projet'!$B$9,Paramètres!$A$1:$I$89,3,0)*VLOOKUP('Données projet'!$B$9,Paramètres!$A$1:$I$89,5,0)</f>
        <v>2.5715962692629546E-13</v>
      </c>
      <c r="P109" s="13">
        <f t="shared" si="87"/>
        <v>3.4610450122128953E-12</v>
      </c>
      <c r="Q109" s="20">
        <f t="shared" si="107"/>
        <v>6.4758730798340893E-12</v>
      </c>
      <c r="R109" s="59">
        <f t="shared" si="55"/>
        <v>293.33333333333979</v>
      </c>
      <c r="S109" s="59">
        <f ca="1">AVERAGE(OFFSET($R$3,0,0,'Données projet'!$E$9+1,1))-AVERAGE(OFFSET($H$3,0,0,'Données projet'!$E$9+1,1))</f>
        <v>346.35147716792028</v>
      </c>
      <c r="T109" s="59">
        <f t="shared" si="88"/>
        <v>231.36959598460686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1.6974985505126641E-9</v>
      </c>
      <c r="AC109" s="22">
        <f t="shared" si="57"/>
        <v>1.6974985505126641E-9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964.00000000000023</v>
      </c>
      <c r="AJ109" s="13">
        <f>AI109*VLOOKUP('Données projet'!$B$10,Paramètres!$A$1:$I$89,3,0)*VLOOKUP('Données projet'!$B$10,Paramètres!$A$1:$I$89,5,0)</f>
        <v>576.47200000000021</v>
      </c>
      <c r="AK109" s="13">
        <f t="shared" si="89"/>
        <v>126.75809338895206</v>
      </c>
      <c r="AL109" s="20">
        <f t="shared" si="58"/>
        <v>1224.7924126524251</v>
      </c>
      <c r="AM109" s="59">
        <f t="shared" si="59"/>
        <v>1518.1257459857584</v>
      </c>
      <c r="AN109" s="59">
        <f ca="1">AVERAGE(OFFSET($AM$3,0,0,'Données projet'!$E$10+1,1))-AVERAGE(OFFSET($H$3,0,0,'Données projet'!$E$10+1,1))</f>
        <v>559.94918407141222</v>
      </c>
      <c r="AO109" s="59">
        <f t="shared" si="90"/>
        <v>334.6078891555664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7.67424296874331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5.9972379866700511E-10</v>
      </c>
      <c r="AX109" s="21">
        <f t="shared" si="60"/>
        <v>7.6742429693430338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1.7053025658242404E-13</v>
      </c>
      <c r="BE109" s="13">
        <f>BD109*VLOOKUP('Données projet'!$B$11,Paramètres!$A$1:$I$89,3,0)*VLOOKUP('Données projet'!$B$11,Paramètres!$A$1:$I$89,5,0)</f>
        <v>7.9808160080574461E-14</v>
      </c>
      <c r="BF109" s="13">
        <f t="shared" si="91"/>
        <v>1.2308384591775343E-12</v>
      </c>
      <c r="BG109" s="20">
        <f t="shared" si="61"/>
        <v>2.282709528541206E-12</v>
      </c>
      <c r="BH109" s="59">
        <f t="shared" si="62"/>
        <v>293.33333333333559</v>
      </c>
      <c r="BI109" s="59">
        <f ca="1">AVERAGE(OFFSET($BH$3,0,0,'Données projet'!$E$11+1,1))-AVERAGE(OFFSET($H$3,0,0,'Données projet'!$E$11+1,1))</f>
        <v>276.78862011733338</v>
      </c>
      <c r="BJ109" s="59">
        <f t="shared" si="92"/>
        <v>202.1678469635836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-275.00000000000028</v>
      </c>
      <c r="BZ109" s="13">
        <f>BY109*VLOOKUP('Données projet'!$B$12,Paramètres!$A$1:$I$89,3,0)*VLOOKUP('Données projet'!$B$12,Paramètres!$A$1:$I$89,5,0)</f>
        <v>-214.50000000000023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286.5685205631126</v>
      </c>
      <c r="CE109" s="59">
        <f t="shared" si="94"/>
        <v>264.17357326498581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0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2.8421709430404007E-13</v>
      </c>
      <c r="O110" s="13">
        <f>N110*VLOOKUP('Données projet'!$B$9,Paramètres!$A$1:$I$89,3,0)*VLOOKUP('Données projet'!$B$9,Paramètres!$A$1:$I$89,5,0)</f>
        <v>2.5715962692629546E-13</v>
      </c>
      <c r="P110" s="13">
        <f t="shared" si="87"/>
        <v>3.4610450122128953E-12</v>
      </c>
      <c r="Q110" s="20">
        <f t="shared" si="107"/>
        <v>6.4758730798340893E-12</v>
      </c>
      <c r="R110" s="59">
        <f t="shared" si="55"/>
        <v>293.33333333333979</v>
      </c>
      <c r="S110" s="59">
        <f ca="1">AVERAGE(OFFSET($R$3,0,0,'Données projet'!$E$9+1,1))-AVERAGE(OFFSET($H$3,0,0,'Données projet'!$E$9+1,1))</f>
        <v>346.35147716792028</v>
      </c>
      <c r="T110" s="59">
        <f t="shared" si="88"/>
        <v>231.36959598460686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1.20031273612184E-9</v>
      </c>
      <c r="AC110" s="22">
        <f t="shared" si="57"/>
        <v>1.20031273612184E-9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964.00000000000023</v>
      </c>
      <c r="AJ110" s="13">
        <f>AI110*VLOOKUP('Données projet'!$B$10,Paramètres!$A$1:$I$89,3,0)*VLOOKUP('Données projet'!$B$10,Paramètres!$A$1:$I$89,5,0)</f>
        <v>576.47200000000021</v>
      </c>
      <c r="AK110" s="13">
        <f t="shared" si="89"/>
        <v>126.75809338895206</v>
      </c>
      <c r="AL110" s="20">
        <f t="shared" si="58"/>
        <v>1224.7924126524251</v>
      </c>
      <c r="AM110" s="59">
        <f t="shared" si="59"/>
        <v>1518.1257459857584</v>
      </c>
      <c r="AN110" s="59">
        <f ca="1">AVERAGE(OFFSET($AM$3,0,0,'Données projet'!$E$10+1,1))-AVERAGE(OFFSET($H$3,0,0,'Données projet'!$E$10+1,1))</f>
        <v>559.94918407141222</v>
      </c>
      <c r="AO110" s="59">
        <f t="shared" si="90"/>
        <v>334.6078891555664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7.5237557449522718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4.2406876487639507E-10</v>
      </c>
      <c r="AX110" s="21">
        <f t="shared" si="60"/>
        <v>7.5237557453763406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1.7053025658242404E-13</v>
      </c>
      <c r="BE110" s="13">
        <f>BD110*VLOOKUP('Données projet'!$B$11,Paramètres!$A$1:$I$89,3,0)*VLOOKUP('Données projet'!$B$11,Paramètres!$A$1:$I$89,5,0)</f>
        <v>7.9808160080574461E-14</v>
      </c>
      <c r="BF110" s="13">
        <f t="shared" si="91"/>
        <v>1.2308384591775343E-12</v>
      </c>
      <c r="BG110" s="20">
        <f t="shared" si="61"/>
        <v>2.282709528541206E-12</v>
      </c>
      <c r="BH110" s="59">
        <f t="shared" si="62"/>
        <v>293.33333333333559</v>
      </c>
      <c r="BI110" s="59">
        <f ca="1">AVERAGE(OFFSET($BH$3,0,0,'Données projet'!$E$11+1,1))-AVERAGE(OFFSET($H$3,0,0,'Données projet'!$E$11+1,1))</f>
        <v>276.78862011733338</v>
      </c>
      <c r="BJ110" s="59">
        <f t="shared" si="92"/>
        <v>202.1678469635836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-275.00000000000028</v>
      </c>
      <c r="BZ110" s="13">
        <f>BY110*VLOOKUP('Données projet'!$B$12,Paramètres!$A$1:$I$89,3,0)*VLOOKUP('Données projet'!$B$12,Paramètres!$A$1:$I$89,5,0)</f>
        <v>-214.50000000000023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286.5685205631126</v>
      </c>
      <c r="CE110" s="59">
        <f t="shared" si="94"/>
        <v>264.17357326498581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0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2.8421709430404007E-13</v>
      </c>
      <c r="O111" s="13">
        <f>N111*VLOOKUP('Données projet'!$B$9,Paramètres!$A$1:$I$89,3,0)*VLOOKUP('Données projet'!$B$9,Paramètres!$A$1:$I$89,5,0)</f>
        <v>2.5715962692629546E-13</v>
      </c>
      <c r="P111" s="13">
        <f t="shared" si="87"/>
        <v>3.4610450122128953E-12</v>
      </c>
      <c r="Q111" s="20">
        <f t="shared" si="107"/>
        <v>6.4758730798340893E-12</v>
      </c>
      <c r="R111" s="59">
        <f t="shared" si="55"/>
        <v>293.33333333333979</v>
      </c>
      <c r="S111" s="59">
        <f ca="1">AVERAGE(OFFSET($R$3,0,0,'Données projet'!$E$9+1,1))-AVERAGE(OFFSET($H$3,0,0,'Données projet'!$E$9+1,1))</f>
        <v>346.35147716792028</v>
      </c>
      <c r="T111" s="59">
        <f t="shared" si="88"/>
        <v>231.36959598460686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8.4874927525633207E-10</v>
      </c>
      <c r="AC111" s="22">
        <f t="shared" si="57"/>
        <v>8.4874927525633207E-10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964.00000000000023</v>
      </c>
      <c r="AJ111" s="13">
        <f>AI111*VLOOKUP('Données projet'!$B$10,Paramètres!$A$1:$I$89,3,0)*VLOOKUP('Données projet'!$B$10,Paramètres!$A$1:$I$89,5,0)</f>
        <v>576.47200000000021</v>
      </c>
      <c r="AK111" s="13">
        <f t="shared" si="89"/>
        <v>126.75809338895206</v>
      </c>
      <c r="AL111" s="20">
        <f t="shared" si="58"/>
        <v>1224.7924126524251</v>
      </c>
      <c r="AM111" s="59">
        <f t="shared" si="59"/>
        <v>1518.1257459857584</v>
      </c>
      <c r="AN111" s="59">
        <f ca="1">AVERAGE(OFFSET($AM$3,0,0,'Données projet'!$E$10+1,1))-AVERAGE(OFFSET($H$3,0,0,'Données projet'!$E$10+1,1))</f>
        <v>559.94918407141222</v>
      </c>
      <c r="AO111" s="59">
        <f t="shared" si="90"/>
        <v>334.6078891555664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7.3762194838316324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2.9986189933350255E-10</v>
      </c>
      <c r="AX111" s="21">
        <f t="shared" si="60"/>
        <v>7.3762194841314939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1.7053025658242404E-13</v>
      </c>
      <c r="BE111" s="13">
        <f>BD111*VLOOKUP('Données projet'!$B$11,Paramètres!$A$1:$I$89,3,0)*VLOOKUP('Données projet'!$B$11,Paramètres!$A$1:$I$89,5,0)</f>
        <v>7.9808160080574461E-14</v>
      </c>
      <c r="BF111" s="13">
        <f t="shared" si="91"/>
        <v>1.2308384591775343E-12</v>
      </c>
      <c r="BG111" s="20">
        <f t="shared" si="61"/>
        <v>2.282709528541206E-12</v>
      </c>
      <c r="BH111" s="59">
        <f t="shared" si="62"/>
        <v>293.33333333333559</v>
      </c>
      <c r="BI111" s="59">
        <f ca="1">AVERAGE(OFFSET($BH$3,0,0,'Données projet'!$E$11+1,1))-AVERAGE(OFFSET($H$3,0,0,'Données projet'!$E$11+1,1))</f>
        <v>276.78862011733338</v>
      </c>
      <c r="BJ111" s="59">
        <f t="shared" si="92"/>
        <v>202.1678469635836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-275.00000000000028</v>
      </c>
      <c r="BZ111" s="13">
        <f>BY111*VLOOKUP('Données projet'!$B$12,Paramètres!$A$1:$I$89,3,0)*VLOOKUP('Données projet'!$B$12,Paramètres!$A$1:$I$89,5,0)</f>
        <v>-214.50000000000023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286.5685205631126</v>
      </c>
      <c r="CE111" s="59">
        <f t="shared" si="94"/>
        <v>264.17357326498581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0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2.8421709430404007E-13</v>
      </c>
      <c r="O112" s="13">
        <f>N112*VLOOKUP('Données projet'!$B$9,Paramètres!$A$1:$I$89,3,0)*VLOOKUP('Données projet'!$B$9,Paramètres!$A$1:$I$89,5,0)</f>
        <v>2.5715962692629546E-13</v>
      </c>
      <c r="P112" s="13">
        <f t="shared" si="87"/>
        <v>3.4610450122128953E-12</v>
      </c>
      <c r="Q112" s="20">
        <f t="shared" si="107"/>
        <v>6.4758730798340893E-12</v>
      </c>
      <c r="R112" s="59">
        <f t="shared" si="55"/>
        <v>293.33333333333979</v>
      </c>
      <c r="S112" s="59">
        <f ca="1">AVERAGE(OFFSET($R$3,0,0,'Données projet'!$E$9+1,1))-AVERAGE(OFFSET($H$3,0,0,'Données projet'!$E$9+1,1))</f>
        <v>346.35147716792028</v>
      </c>
      <c r="T112" s="59">
        <f t="shared" si="88"/>
        <v>231.36959598460686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6.0015636806091999E-10</v>
      </c>
      <c r="AC112" s="22">
        <f t="shared" si="57"/>
        <v>6.0015636806091999E-10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964.00000000000023</v>
      </c>
      <c r="AJ112" s="13">
        <f>AI112*VLOOKUP('Données projet'!$B$10,Paramètres!$A$1:$I$89,3,0)*VLOOKUP('Données projet'!$B$10,Paramètres!$A$1:$I$89,5,0)</f>
        <v>576.47200000000021</v>
      </c>
      <c r="AK112" s="13">
        <f t="shared" si="89"/>
        <v>126.75809338895206</v>
      </c>
      <c r="AL112" s="20">
        <f t="shared" si="58"/>
        <v>1224.7924126524251</v>
      </c>
      <c r="AM112" s="59">
        <f t="shared" si="59"/>
        <v>1518.1257459857584</v>
      </c>
      <c r="AN112" s="59">
        <f ca="1">AVERAGE(OFFSET($AM$3,0,0,'Données projet'!$E$10+1,1))-AVERAGE(OFFSET($H$3,0,0,'Données projet'!$E$10+1,1))</f>
        <v>559.94918407141222</v>
      </c>
      <c r="AO112" s="59">
        <f t="shared" si="90"/>
        <v>334.6078891555664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7.2315763188033353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2.1203438243819753E-10</v>
      </c>
      <c r="AX112" s="21">
        <f t="shared" si="60"/>
        <v>7.2315763190153692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1.7053025658242404E-13</v>
      </c>
      <c r="BE112" s="13">
        <f>BD112*VLOOKUP('Données projet'!$B$11,Paramètres!$A$1:$I$89,3,0)*VLOOKUP('Données projet'!$B$11,Paramètres!$A$1:$I$89,5,0)</f>
        <v>7.9808160080574461E-14</v>
      </c>
      <c r="BF112" s="13">
        <f t="shared" si="91"/>
        <v>1.2308384591775343E-12</v>
      </c>
      <c r="BG112" s="20">
        <f t="shared" si="61"/>
        <v>2.282709528541206E-12</v>
      </c>
      <c r="BH112" s="59">
        <f t="shared" si="62"/>
        <v>293.33333333333559</v>
      </c>
      <c r="BI112" s="59">
        <f ca="1">AVERAGE(OFFSET($BH$3,0,0,'Données projet'!$E$11+1,1))-AVERAGE(OFFSET($H$3,0,0,'Données projet'!$E$11+1,1))</f>
        <v>276.78862011733338</v>
      </c>
      <c r="BJ112" s="59">
        <f t="shared" si="92"/>
        <v>202.1678469635836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-275.00000000000028</v>
      </c>
      <c r="BZ112" s="13">
        <f>BY112*VLOOKUP('Données projet'!$B$12,Paramètres!$A$1:$I$89,3,0)*VLOOKUP('Données projet'!$B$12,Paramètres!$A$1:$I$89,5,0)</f>
        <v>-214.50000000000023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286.5685205631126</v>
      </c>
      <c r="CE112" s="59">
        <f t="shared" si="94"/>
        <v>264.17357326498581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0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2.8421709430404007E-13</v>
      </c>
      <c r="O113" s="13">
        <f>N113*VLOOKUP('Données projet'!$B$9,Paramètres!$A$1:$I$89,3,0)*VLOOKUP('Données projet'!$B$9,Paramètres!$A$1:$I$89,5,0)</f>
        <v>2.5715962692629546E-13</v>
      </c>
      <c r="P113" s="13">
        <f t="shared" si="87"/>
        <v>3.4610450122128953E-12</v>
      </c>
      <c r="Q113" s="20">
        <f t="shared" si="107"/>
        <v>6.4758730798340893E-12</v>
      </c>
      <c r="R113" s="59">
        <f t="shared" si="55"/>
        <v>293.33333333333979</v>
      </c>
      <c r="S113" s="59">
        <f ca="1">AVERAGE(OFFSET($R$3,0,0,'Données projet'!$E$9+1,1))-AVERAGE(OFFSET($H$3,0,0,'Données projet'!$E$9+1,1))</f>
        <v>346.35147716792028</v>
      </c>
      <c r="T113" s="59">
        <f t="shared" si="88"/>
        <v>231.36959598460686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4.2437463762816604E-10</v>
      </c>
      <c r="AC113" s="22">
        <f t="shared" si="57"/>
        <v>4.2437463762816604E-10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964.00000000000023</v>
      </c>
      <c r="AJ113" s="13">
        <f>AI113*VLOOKUP('Données projet'!$B$10,Paramètres!$A$1:$I$89,3,0)*VLOOKUP('Données projet'!$B$10,Paramètres!$A$1:$I$89,5,0)</f>
        <v>576.47200000000021</v>
      </c>
      <c r="AK113" s="13">
        <f t="shared" si="89"/>
        <v>126.75809338895206</v>
      </c>
      <c r="AL113" s="20">
        <f t="shared" si="58"/>
        <v>1224.7924126524251</v>
      </c>
      <c r="AM113" s="59">
        <f t="shared" si="59"/>
        <v>1518.1257459857584</v>
      </c>
      <c r="AN113" s="59">
        <f ca="1">AVERAGE(OFFSET($AM$3,0,0,'Données projet'!$E$10+1,1))-AVERAGE(OFFSET($H$3,0,0,'Données projet'!$E$10+1,1))</f>
        <v>559.94918407141222</v>
      </c>
      <c r="AO113" s="59">
        <f t="shared" si="90"/>
        <v>334.6078891555664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7.0897695180176239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1.4993094966675128E-10</v>
      </c>
      <c r="AX113" s="21">
        <f t="shared" si="60"/>
        <v>7.0897695181675546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1.7053025658242404E-13</v>
      </c>
      <c r="BE113" s="13">
        <f>BD113*VLOOKUP('Données projet'!$B$11,Paramètres!$A$1:$I$89,3,0)*VLOOKUP('Données projet'!$B$11,Paramètres!$A$1:$I$89,5,0)</f>
        <v>7.9808160080574461E-14</v>
      </c>
      <c r="BF113" s="13">
        <f t="shared" si="91"/>
        <v>1.2308384591775343E-12</v>
      </c>
      <c r="BG113" s="20">
        <f t="shared" si="61"/>
        <v>2.282709528541206E-12</v>
      </c>
      <c r="BH113" s="59">
        <f t="shared" si="62"/>
        <v>293.33333333333559</v>
      </c>
      <c r="BI113" s="59">
        <f ca="1">AVERAGE(OFFSET($BH$3,0,0,'Données projet'!$E$11+1,1))-AVERAGE(OFFSET($H$3,0,0,'Données projet'!$E$11+1,1))</f>
        <v>276.78862011733338</v>
      </c>
      <c r="BJ113" s="59">
        <f t="shared" si="92"/>
        <v>202.1678469635836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-275.00000000000028</v>
      </c>
      <c r="BZ113" s="13">
        <f>BY113*VLOOKUP('Données projet'!$B$12,Paramètres!$A$1:$I$89,3,0)*VLOOKUP('Données projet'!$B$12,Paramètres!$A$1:$I$89,5,0)</f>
        <v>-214.50000000000023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286.5685205631126</v>
      </c>
      <c r="CE113" s="59">
        <f t="shared" si="94"/>
        <v>264.17357326498581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0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2.8421709430404007E-13</v>
      </c>
      <c r="O114" s="13">
        <f>N114*VLOOKUP('Données projet'!$B$9,Paramètres!$A$1:$I$89,3,0)*VLOOKUP('Données projet'!$B$9,Paramètres!$A$1:$I$89,5,0)</f>
        <v>2.5715962692629546E-13</v>
      </c>
      <c r="P114" s="13">
        <f t="shared" si="87"/>
        <v>3.4610450122128953E-12</v>
      </c>
      <c r="Q114" s="20">
        <f t="shared" si="107"/>
        <v>6.4758730798340893E-12</v>
      </c>
      <c r="R114" s="59">
        <f t="shared" si="55"/>
        <v>293.33333333333979</v>
      </c>
      <c r="S114" s="59">
        <f ca="1">AVERAGE(OFFSET($R$3,0,0,'Données projet'!$E$9+1,1))-AVERAGE(OFFSET($H$3,0,0,'Données projet'!$E$9+1,1))</f>
        <v>346.35147716792028</v>
      </c>
      <c r="T114" s="59">
        <f t="shared" si="88"/>
        <v>231.36959598460686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3.0007818403045999E-10</v>
      </c>
      <c r="AC114" s="22">
        <f t="shared" si="57"/>
        <v>3.0007818403045999E-10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964.00000000000023</v>
      </c>
      <c r="AJ114" s="13">
        <f>AI114*VLOOKUP('Données projet'!$B$10,Paramètres!$A$1:$I$89,3,0)*VLOOKUP('Données projet'!$B$10,Paramètres!$A$1:$I$89,5,0)</f>
        <v>576.47200000000021</v>
      </c>
      <c r="AK114" s="13">
        <f t="shared" si="89"/>
        <v>126.75809338895206</v>
      </c>
      <c r="AL114" s="20">
        <f t="shared" si="58"/>
        <v>1224.7924126524251</v>
      </c>
      <c r="AM114" s="59">
        <f t="shared" si="59"/>
        <v>1518.1257459857584</v>
      </c>
      <c r="AN114" s="59">
        <f ca="1">AVERAGE(OFFSET($AM$3,0,0,'Données projet'!$E$10+1,1))-AVERAGE(OFFSET($H$3,0,0,'Données projet'!$E$10+1,1))</f>
        <v>559.94918407141222</v>
      </c>
      <c r="AO114" s="59">
        <f t="shared" si="90"/>
        <v>334.6078891555664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6.9507434621017117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1.0601719121909877E-10</v>
      </c>
      <c r="AX114" s="21">
        <f t="shared" si="60"/>
        <v>6.9507434622077291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1.7053025658242404E-13</v>
      </c>
      <c r="BE114" s="13">
        <f>BD114*VLOOKUP('Données projet'!$B$11,Paramètres!$A$1:$I$89,3,0)*VLOOKUP('Données projet'!$B$11,Paramètres!$A$1:$I$89,5,0)</f>
        <v>7.9808160080574461E-14</v>
      </c>
      <c r="BF114" s="13">
        <f t="shared" si="91"/>
        <v>1.2308384591775343E-12</v>
      </c>
      <c r="BG114" s="20">
        <f t="shared" si="61"/>
        <v>2.282709528541206E-12</v>
      </c>
      <c r="BH114" s="59">
        <f t="shared" si="62"/>
        <v>293.33333333333559</v>
      </c>
      <c r="BI114" s="59">
        <f ca="1">AVERAGE(OFFSET($BH$3,0,0,'Données projet'!$E$11+1,1))-AVERAGE(OFFSET($H$3,0,0,'Données projet'!$E$11+1,1))</f>
        <v>276.78862011733338</v>
      </c>
      <c r="BJ114" s="59">
        <f t="shared" si="92"/>
        <v>202.1678469635836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-275.00000000000028</v>
      </c>
      <c r="BZ114" s="13">
        <f>BY114*VLOOKUP('Données projet'!$B$12,Paramètres!$A$1:$I$89,3,0)*VLOOKUP('Données projet'!$B$12,Paramètres!$A$1:$I$89,5,0)</f>
        <v>-214.50000000000023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286.5685205631126</v>
      </c>
      <c r="CE114" s="59">
        <f t="shared" si="94"/>
        <v>264.17357326498581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0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2.8421709430404007E-13</v>
      </c>
      <c r="O115" s="13">
        <f>N115*VLOOKUP('Données projet'!$B$9,Paramètres!$A$1:$I$89,3,0)*VLOOKUP('Données projet'!$B$9,Paramètres!$A$1:$I$89,5,0)</f>
        <v>2.5715962692629546E-13</v>
      </c>
      <c r="P115" s="13">
        <f t="shared" si="87"/>
        <v>3.4610450122128953E-12</v>
      </c>
      <c r="Q115" s="20">
        <f t="shared" si="107"/>
        <v>6.4758730798340893E-12</v>
      </c>
      <c r="R115" s="59">
        <f t="shared" si="55"/>
        <v>293.33333333333979</v>
      </c>
      <c r="S115" s="59">
        <f ca="1">AVERAGE(OFFSET($R$3,0,0,'Données projet'!$E$9+1,1))-AVERAGE(OFFSET($H$3,0,0,'Données projet'!$E$9+1,1))</f>
        <v>346.35147716792028</v>
      </c>
      <c r="T115" s="59">
        <f t="shared" si="88"/>
        <v>231.36959598460686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2.1218731881408302E-10</v>
      </c>
      <c r="AC115" s="22">
        <f t="shared" si="57"/>
        <v>2.1218731881408302E-10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964.00000000000023</v>
      </c>
      <c r="AJ115" s="13">
        <f>AI115*VLOOKUP('Données projet'!$B$10,Paramètres!$A$1:$I$89,3,0)*VLOOKUP('Données projet'!$B$10,Paramètres!$A$1:$I$89,5,0)</f>
        <v>576.47200000000021</v>
      </c>
      <c r="AK115" s="13">
        <f t="shared" si="89"/>
        <v>126.75809338895206</v>
      </c>
      <c r="AL115" s="20">
        <f t="shared" si="58"/>
        <v>1224.7924126524251</v>
      </c>
      <c r="AM115" s="59">
        <f t="shared" si="59"/>
        <v>1518.1257459857584</v>
      </c>
      <c r="AN115" s="59">
        <f ca="1">AVERAGE(OFFSET($AM$3,0,0,'Données projet'!$E$10+1,1))-AVERAGE(OFFSET($H$3,0,0,'Données projet'!$E$10+1,1))</f>
        <v>559.94918407141222</v>
      </c>
      <c r="AO115" s="59">
        <f t="shared" si="90"/>
        <v>334.6078891555664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6.8144436223447897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7.4965474833375638E-11</v>
      </c>
      <c r="AX115" s="21">
        <f t="shared" si="60"/>
        <v>6.8144436224197555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1.7053025658242404E-13</v>
      </c>
      <c r="BE115" s="13">
        <f>BD115*VLOOKUP('Données projet'!$B$11,Paramètres!$A$1:$I$89,3,0)*VLOOKUP('Données projet'!$B$11,Paramètres!$A$1:$I$89,5,0)</f>
        <v>7.9808160080574461E-14</v>
      </c>
      <c r="BF115" s="13">
        <f t="shared" si="91"/>
        <v>1.2308384591775343E-12</v>
      </c>
      <c r="BG115" s="20">
        <f t="shared" si="61"/>
        <v>2.282709528541206E-12</v>
      </c>
      <c r="BH115" s="59">
        <f t="shared" si="62"/>
        <v>293.33333333333559</v>
      </c>
      <c r="BI115" s="59">
        <f ca="1">AVERAGE(OFFSET($BH$3,0,0,'Données projet'!$E$11+1,1))-AVERAGE(OFFSET($H$3,0,0,'Données projet'!$E$11+1,1))</f>
        <v>276.78862011733338</v>
      </c>
      <c r="BJ115" s="59">
        <f t="shared" si="92"/>
        <v>202.1678469635836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-275.00000000000028</v>
      </c>
      <c r="BZ115" s="13">
        <f>BY115*VLOOKUP('Données projet'!$B$12,Paramètres!$A$1:$I$89,3,0)*VLOOKUP('Données projet'!$B$12,Paramètres!$A$1:$I$89,5,0)</f>
        <v>-214.50000000000023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286.5685205631126</v>
      </c>
      <c r="CE115" s="59">
        <f t="shared" si="94"/>
        <v>264.17357326498581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0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2.8421709430404007E-13</v>
      </c>
      <c r="O116" s="13">
        <f>N116*VLOOKUP('Données projet'!$B$9,Paramètres!$A$1:$I$89,3,0)*VLOOKUP('Données projet'!$B$9,Paramètres!$A$1:$I$89,5,0)</f>
        <v>2.5715962692629546E-13</v>
      </c>
      <c r="P116" s="13">
        <f t="shared" si="87"/>
        <v>3.4610450122128953E-12</v>
      </c>
      <c r="Q116" s="20">
        <f t="shared" si="107"/>
        <v>6.4758730798340893E-12</v>
      </c>
      <c r="R116" s="59">
        <f t="shared" si="55"/>
        <v>293.33333333333979</v>
      </c>
      <c r="S116" s="59">
        <f ca="1">AVERAGE(OFFSET($R$3,0,0,'Données projet'!$E$9+1,1))-AVERAGE(OFFSET($H$3,0,0,'Données projet'!$E$9+1,1))</f>
        <v>346.35147716792028</v>
      </c>
      <c r="T116" s="59">
        <f t="shared" si="88"/>
        <v>231.36959598460686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1.5003909201523E-10</v>
      </c>
      <c r="AC116" s="22">
        <f t="shared" si="57"/>
        <v>1.5003909201523E-10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964.00000000000023</v>
      </c>
      <c r="AJ116" s="13">
        <f>AI116*VLOOKUP('Données projet'!$B$10,Paramètres!$A$1:$I$89,3,0)*VLOOKUP('Données projet'!$B$10,Paramètres!$A$1:$I$89,5,0)</f>
        <v>576.47200000000021</v>
      </c>
      <c r="AK116" s="13">
        <f t="shared" si="89"/>
        <v>126.75809338895206</v>
      </c>
      <c r="AL116" s="20">
        <f t="shared" si="58"/>
        <v>1224.7924126524251</v>
      </c>
      <c r="AM116" s="59">
        <f t="shared" si="59"/>
        <v>1518.1257459857584</v>
      </c>
      <c r="AN116" s="59">
        <f ca="1">AVERAGE(OFFSET($AM$3,0,0,'Données projet'!$E$10+1,1))-AVERAGE(OFFSET($H$3,0,0,'Données projet'!$E$10+1,1))</f>
        <v>559.94918407141222</v>
      </c>
      <c r="AO116" s="59">
        <f t="shared" si="90"/>
        <v>334.6078891555664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6.6808165393108077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5.3008595609549383E-11</v>
      </c>
      <c r="AX116" s="21">
        <f t="shared" si="60"/>
        <v>6.6808165393638159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1.7053025658242404E-13</v>
      </c>
      <c r="BE116" s="13">
        <f>BD116*VLOOKUP('Données projet'!$B$11,Paramètres!$A$1:$I$89,3,0)*VLOOKUP('Données projet'!$B$11,Paramètres!$A$1:$I$89,5,0)</f>
        <v>7.9808160080574461E-14</v>
      </c>
      <c r="BF116" s="13">
        <f t="shared" si="91"/>
        <v>1.2308384591775343E-12</v>
      </c>
      <c r="BG116" s="20">
        <f t="shared" si="61"/>
        <v>2.282709528541206E-12</v>
      </c>
      <c r="BH116" s="59">
        <f t="shared" si="62"/>
        <v>293.33333333333559</v>
      </c>
      <c r="BI116" s="59">
        <f ca="1">AVERAGE(OFFSET($BH$3,0,0,'Données projet'!$E$11+1,1))-AVERAGE(OFFSET($H$3,0,0,'Données projet'!$E$11+1,1))</f>
        <v>276.78862011733338</v>
      </c>
      <c r="BJ116" s="59">
        <f t="shared" si="92"/>
        <v>202.1678469635836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-275.00000000000028</v>
      </c>
      <c r="BZ116" s="13">
        <f>BY116*VLOOKUP('Données projet'!$B$12,Paramètres!$A$1:$I$89,3,0)*VLOOKUP('Données projet'!$B$12,Paramètres!$A$1:$I$89,5,0)</f>
        <v>-214.50000000000023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286.5685205631126</v>
      </c>
      <c r="CE116" s="59">
        <f t="shared" si="94"/>
        <v>264.17357326498581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0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2.8421709430404007E-13</v>
      </c>
      <c r="O117" s="13">
        <f>N117*VLOOKUP('Données projet'!$B$9,Paramètres!$A$1:$I$89,3,0)*VLOOKUP('Données projet'!$B$9,Paramètres!$A$1:$I$89,5,0)</f>
        <v>2.5715962692629546E-13</v>
      </c>
      <c r="P117" s="13">
        <f t="shared" si="87"/>
        <v>3.4610450122128953E-12</v>
      </c>
      <c r="Q117" s="20">
        <f t="shared" si="107"/>
        <v>6.4758730798340893E-12</v>
      </c>
      <c r="R117" s="59">
        <f t="shared" si="55"/>
        <v>293.33333333333979</v>
      </c>
      <c r="S117" s="59">
        <f ca="1">AVERAGE(OFFSET($R$3,0,0,'Données projet'!$E$9+1,1))-AVERAGE(OFFSET($H$3,0,0,'Données projet'!$E$9+1,1))</f>
        <v>346.35147716792028</v>
      </c>
      <c r="T117" s="59">
        <f t="shared" si="88"/>
        <v>231.36959598460686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1.0609365940704151E-10</v>
      </c>
      <c r="AC117" s="22">
        <f t="shared" si="57"/>
        <v>1.0609365940704151E-10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964.00000000000023</v>
      </c>
      <c r="AJ117" s="13">
        <f>AI117*VLOOKUP('Données projet'!$B$10,Paramètres!$A$1:$I$89,3,0)*VLOOKUP('Données projet'!$B$10,Paramètres!$A$1:$I$89,5,0)</f>
        <v>576.47200000000021</v>
      </c>
      <c r="AK117" s="13">
        <f t="shared" si="89"/>
        <v>126.75809338895206</v>
      </c>
      <c r="AL117" s="20">
        <f t="shared" si="58"/>
        <v>1224.7924126524251</v>
      </c>
      <c r="AM117" s="59">
        <f t="shared" si="59"/>
        <v>1518.1257459857584</v>
      </c>
      <c r="AN117" s="59">
        <f ca="1">AVERAGE(OFFSET($AM$3,0,0,'Données projet'!$E$10+1,1))-AVERAGE(OFFSET($H$3,0,0,'Données projet'!$E$10+1,1))</f>
        <v>559.94918407141222</v>
      </c>
      <c r="AO117" s="59">
        <f t="shared" si="90"/>
        <v>334.6078891555664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6.5498098018706488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3.7482737416687819E-11</v>
      </c>
      <c r="AX117" s="21">
        <f t="shared" si="60"/>
        <v>6.5498098019081317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1.7053025658242404E-13</v>
      </c>
      <c r="BE117" s="13">
        <f>BD117*VLOOKUP('Données projet'!$B$11,Paramètres!$A$1:$I$89,3,0)*VLOOKUP('Données projet'!$B$11,Paramètres!$A$1:$I$89,5,0)</f>
        <v>7.9808160080574461E-14</v>
      </c>
      <c r="BF117" s="13">
        <f t="shared" si="91"/>
        <v>1.2308384591775343E-12</v>
      </c>
      <c r="BG117" s="20">
        <f t="shared" si="61"/>
        <v>2.282709528541206E-12</v>
      </c>
      <c r="BH117" s="59">
        <f t="shared" si="62"/>
        <v>293.33333333333559</v>
      </c>
      <c r="BI117" s="59">
        <f ca="1">AVERAGE(OFFSET($BH$3,0,0,'Données projet'!$E$11+1,1))-AVERAGE(OFFSET($H$3,0,0,'Données projet'!$E$11+1,1))</f>
        <v>276.78862011733338</v>
      </c>
      <c r="BJ117" s="59">
        <f t="shared" si="92"/>
        <v>202.1678469635836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-275.00000000000028</v>
      </c>
      <c r="BZ117" s="13">
        <f>BY117*VLOOKUP('Données projet'!$B$12,Paramètres!$A$1:$I$89,3,0)*VLOOKUP('Données projet'!$B$12,Paramètres!$A$1:$I$89,5,0)</f>
        <v>-214.50000000000023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286.5685205631126</v>
      </c>
      <c r="CE117" s="59">
        <f t="shared" si="94"/>
        <v>264.17357326498581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0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2.8421709430404007E-13</v>
      </c>
      <c r="O118" s="13">
        <f>N118*VLOOKUP('Données projet'!$B$9,Paramètres!$A$1:$I$89,3,0)*VLOOKUP('Données projet'!$B$9,Paramètres!$A$1:$I$89,5,0)</f>
        <v>2.5715962692629546E-13</v>
      </c>
      <c r="P118" s="13">
        <f t="shared" si="87"/>
        <v>3.4610450122128953E-12</v>
      </c>
      <c r="Q118" s="20">
        <f t="shared" si="107"/>
        <v>6.4758730798340893E-12</v>
      </c>
      <c r="R118" s="59">
        <f t="shared" si="55"/>
        <v>293.33333333333979</v>
      </c>
      <c r="S118" s="59">
        <f ca="1">AVERAGE(OFFSET($R$3,0,0,'Données projet'!$E$9+1,1))-AVERAGE(OFFSET($H$3,0,0,'Données projet'!$E$9+1,1))</f>
        <v>346.35147716792028</v>
      </c>
      <c r="T118" s="59">
        <f t="shared" si="88"/>
        <v>231.36959598460686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7.5019546007614998E-11</v>
      </c>
      <c r="AC118" s="22">
        <f t="shared" si="57"/>
        <v>7.5019546007614998E-11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964.00000000000023</v>
      </c>
      <c r="AJ118" s="13">
        <f>AI118*VLOOKUP('Données projet'!$B$10,Paramètres!$A$1:$I$89,3,0)*VLOOKUP('Données projet'!$B$10,Paramètres!$A$1:$I$89,5,0)</f>
        <v>576.47200000000021</v>
      </c>
      <c r="AK118" s="13">
        <f t="shared" si="89"/>
        <v>126.75809338895206</v>
      </c>
      <c r="AL118" s="20">
        <f t="shared" si="58"/>
        <v>1224.7924126524251</v>
      </c>
      <c r="AM118" s="59">
        <f t="shared" si="59"/>
        <v>1518.1257459857584</v>
      </c>
      <c r="AN118" s="59">
        <f ca="1">AVERAGE(OFFSET($AM$3,0,0,'Données projet'!$E$10+1,1))-AVERAGE(OFFSET($H$3,0,0,'Données projet'!$E$10+1,1))</f>
        <v>559.94918407141222</v>
      </c>
      <c r="AO118" s="59">
        <f t="shared" si="90"/>
        <v>334.6078891555664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6.4213720266454724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2.6504297804774692E-11</v>
      </c>
      <c r="AX118" s="21">
        <f t="shared" si="60"/>
        <v>6.4213720266719765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1.7053025658242404E-13</v>
      </c>
      <c r="BE118" s="13">
        <f>BD118*VLOOKUP('Données projet'!$B$11,Paramètres!$A$1:$I$89,3,0)*VLOOKUP('Données projet'!$B$11,Paramètres!$A$1:$I$89,5,0)</f>
        <v>7.9808160080574461E-14</v>
      </c>
      <c r="BF118" s="13">
        <f t="shared" si="91"/>
        <v>1.2308384591775343E-12</v>
      </c>
      <c r="BG118" s="20">
        <f t="shared" si="61"/>
        <v>2.282709528541206E-12</v>
      </c>
      <c r="BH118" s="59">
        <f t="shared" si="62"/>
        <v>293.33333333333559</v>
      </c>
      <c r="BI118" s="59">
        <f ca="1">AVERAGE(OFFSET($BH$3,0,0,'Données projet'!$E$11+1,1))-AVERAGE(OFFSET($H$3,0,0,'Données projet'!$E$11+1,1))</f>
        <v>276.78862011733338</v>
      </c>
      <c r="BJ118" s="59">
        <f t="shared" si="92"/>
        <v>202.1678469635836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-275.00000000000028</v>
      </c>
      <c r="BZ118" s="13">
        <f>BY118*VLOOKUP('Données projet'!$B$12,Paramètres!$A$1:$I$89,3,0)*VLOOKUP('Données projet'!$B$12,Paramètres!$A$1:$I$89,5,0)</f>
        <v>-214.50000000000023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286.5685205631126</v>
      </c>
      <c r="CE118" s="59">
        <f t="shared" si="94"/>
        <v>264.17357326498581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2.8421709430404007E-13</v>
      </c>
      <c r="O119" s="13">
        <f>N119*VLOOKUP('Données projet'!$B$9,Paramètres!$A$1:$I$89,3,0)*VLOOKUP('Données projet'!$B$9,Paramètres!$A$1:$I$89,5,0)</f>
        <v>2.5715962692629546E-13</v>
      </c>
      <c r="P119" s="13">
        <f t="shared" si="87"/>
        <v>3.4610450122128953E-12</v>
      </c>
      <c r="Q119" s="20">
        <f t="shared" si="107"/>
        <v>6.4758730798340893E-12</v>
      </c>
      <c r="R119" s="59">
        <f t="shared" si="55"/>
        <v>293.33333333333979</v>
      </c>
      <c r="S119" s="59">
        <f ca="1">AVERAGE(OFFSET($R$3,0,0,'Données projet'!$E$9+1,1))-AVERAGE(OFFSET($H$3,0,0,'Données projet'!$E$9+1,1))</f>
        <v>346.35147716792028</v>
      </c>
      <c r="T119" s="59">
        <f t="shared" si="88"/>
        <v>231.36959598460686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5.3046829703520754E-11</v>
      </c>
      <c r="AC119" s="22">
        <f t="shared" si="57"/>
        <v>5.3046829703520754E-11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964.00000000000023</v>
      </c>
      <c r="AJ119" s="13">
        <f>AI119*VLOOKUP('Données projet'!$B$10,Paramètres!$A$1:$I$89,3,0)*VLOOKUP('Données projet'!$B$10,Paramètres!$A$1:$I$89,5,0)</f>
        <v>576.47200000000021</v>
      </c>
      <c r="AK119" s="13">
        <f t="shared" si="89"/>
        <v>126.75809338895206</v>
      </c>
      <c r="AL119" s="20">
        <f t="shared" si="58"/>
        <v>1224.7924126524251</v>
      </c>
      <c r="AM119" s="59">
        <f t="shared" si="59"/>
        <v>1518.1257459857584</v>
      </c>
      <c r="AN119" s="59">
        <f ca="1">AVERAGE(OFFSET($AM$3,0,0,'Données projet'!$E$10+1,1))-AVERAGE(OFFSET($H$3,0,0,'Données projet'!$E$10+1,1))</f>
        <v>559.94918407141222</v>
      </c>
      <c r="AO119" s="59">
        <f t="shared" si="90"/>
        <v>334.6078891555664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6.295452837853154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1.874136870834391E-11</v>
      </c>
      <c r="AX119" s="21">
        <f t="shared" si="60"/>
        <v>6.2954528378718955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1.7053025658242404E-13</v>
      </c>
      <c r="BE119" s="13">
        <f>BD119*VLOOKUP('Données projet'!$B$11,Paramètres!$A$1:$I$89,3,0)*VLOOKUP('Données projet'!$B$11,Paramètres!$A$1:$I$89,5,0)</f>
        <v>7.9808160080574461E-14</v>
      </c>
      <c r="BF119" s="13">
        <f t="shared" si="91"/>
        <v>1.2308384591775343E-12</v>
      </c>
      <c r="BG119" s="20">
        <f t="shared" si="61"/>
        <v>2.282709528541206E-12</v>
      </c>
      <c r="BH119" s="59">
        <f t="shared" si="62"/>
        <v>293.33333333333559</v>
      </c>
      <c r="BI119" s="59">
        <f ca="1">AVERAGE(OFFSET($BH$3,0,0,'Données projet'!$E$11+1,1))-AVERAGE(OFFSET($H$3,0,0,'Données projet'!$E$11+1,1))</f>
        <v>276.78862011733338</v>
      </c>
      <c r="BJ119" s="59">
        <f t="shared" si="92"/>
        <v>202.1678469635836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-275.00000000000028</v>
      </c>
      <c r="BZ119" s="13">
        <f>BY119*VLOOKUP('Données projet'!$B$12,Paramètres!$A$1:$I$89,3,0)*VLOOKUP('Données projet'!$B$12,Paramètres!$A$1:$I$89,5,0)</f>
        <v>-214.50000000000023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286.5685205631126</v>
      </c>
      <c r="CE119" s="59">
        <f t="shared" si="94"/>
        <v>264.17357326498581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2.8421709430404007E-13</v>
      </c>
      <c r="O120" s="13">
        <f>N120*VLOOKUP('Données projet'!$B$9,Paramètres!$A$1:$I$89,3,0)*VLOOKUP('Données projet'!$B$9,Paramètres!$A$1:$I$89,5,0)</f>
        <v>2.5715962692629546E-13</v>
      </c>
      <c r="P120" s="13">
        <f t="shared" si="87"/>
        <v>3.4610450122128953E-12</v>
      </c>
      <c r="Q120" s="20">
        <f t="shared" si="107"/>
        <v>6.4758730798340893E-12</v>
      </c>
      <c r="R120" s="59">
        <f t="shared" si="55"/>
        <v>293.33333333333979</v>
      </c>
      <c r="S120" s="59">
        <f ca="1">AVERAGE(OFFSET($R$3,0,0,'Données projet'!$E$9+1,1))-AVERAGE(OFFSET($H$3,0,0,'Données projet'!$E$9+1,1))</f>
        <v>346.35147716792028</v>
      </c>
      <c r="T120" s="59">
        <f t="shared" si="88"/>
        <v>231.36959598460686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3.7509773003807499E-11</v>
      </c>
      <c r="AC120" s="22">
        <f t="shared" si="57"/>
        <v>3.7509773003807499E-11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964.00000000000023</v>
      </c>
      <c r="AJ120" s="13">
        <f>AI120*VLOOKUP('Données projet'!$B$10,Paramètres!$A$1:$I$89,3,0)*VLOOKUP('Données projet'!$B$10,Paramètres!$A$1:$I$89,5,0)</f>
        <v>576.47200000000021</v>
      </c>
      <c r="AK120" s="13">
        <f t="shared" si="89"/>
        <v>126.75809338895206</v>
      </c>
      <c r="AL120" s="20">
        <f t="shared" si="58"/>
        <v>1224.7924126524251</v>
      </c>
      <c r="AM120" s="59">
        <f t="shared" si="59"/>
        <v>1518.1257459857584</v>
      </c>
      <c r="AN120" s="59">
        <f ca="1">AVERAGE(OFFSET($AM$3,0,0,'Données projet'!$E$10+1,1))-AVERAGE(OFFSET($H$3,0,0,'Données projet'!$E$10+1,1))</f>
        <v>559.94918407141222</v>
      </c>
      <c r="AO120" s="59">
        <f t="shared" si="90"/>
        <v>334.6078891555664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6.1720028475499316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1.3252148902387346E-11</v>
      </c>
      <c r="AX120" s="21">
        <f t="shared" si="60"/>
        <v>6.1720028475631841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1.7053025658242404E-13</v>
      </c>
      <c r="BE120" s="13">
        <f>BD120*VLOOKUP('Données projet'!$B$11,Paramètres!$A$1:$I$89,3,0)*VLOOKUP('Données projet'!$B$11,Paramètres!$A$1:$I$89,5,0)</f>
        <v>7.9808160080574461E-14</v>
      </c>
      <c r="BF120" s="13">
        <f t="shared" si="91"/>
        <v>1.2308384591775343E-12</v>
      </c>
      <c r="BG120" s="20">
        <f t="shared" si="61"/>
        <v>2.282709528541206E-12</v>
      </c>
      <c r="BH120" s="59">
        <f t="shared" si="62"/>
        <v>293.33333333333559</v>
      </c>
      <c r="BI120" s="59">
        <f ca="1">AVERAGE(OFFSET($BH$3,0,0,'Données projet'!$E$11+1,1))-AVERAGE(OFFSET($H$3,0,0,'Données projet'!$E$11+1,1))</f>
        <v>276.78862011733338</v>
      </c>
      <c r="BJ120" s="59">
        <f t="shared" si="92"/>
        <v>202.1678469635836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-275.00000000000028</v>
      </c>
      <c r="BZ120" s="13">
        <f>BY120*VLOOKUP('Données projet'!$B$12,Paramètres!$A$1:$I$89,3,0)*VLOOKUP('Données projet'!$B$12,Paramètres!$A$1:$I$89,5,0)</f>
        <v>-214.50000000000023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286.5685205631126</v>
      </c>
      <c r="CE120" s="59">
        <f t="shared" si="94"/>
        <v>264.17357326498581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2.8421709430404007E-13</v>
      </c>
      <c r="O121" s="13">
        <f>N121*VLOOKUP('Données projet'!$B$9,Paramètres!$A$1:$I$89,3,0)*VLOOKUP('Données projet'!$B$9,Paramètres!$A$1:$I$89,5,0)</f>
        <v>2.5715962692629546E-13</v>
      </c>
      <c r="P121" s="13">
        <f t="shared" si="87"/>
        <v>3.4610450122128953E-12</v>
      </c>
      <c r="Q121" s="20">
        <f t="shared" si="107"/>
        <v>6.4758730798340893E-12</v>
      </c>
      <c r="R121" s="59">
        <f t="shared" si="55"/>
        <v>293.33333333333979</v>
      </c>
      <c r="S121" s="59">
        <f ca="1">AVERAGE(OFFSET($R$3,0,0,'Données projet'!$E$9+1,1))-AVERAGE(OFFSET($H$3,0,0,'Données projet'!$E$9+1,1))</f>
        <v>346.35147716792028</v>
      </c>
      <c r="T121" s="59">
        <f t="shared" si="88"/>
        <v>231.36959598460686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2.6523414851760377E-11</v>
      </c>
      <c r="AC121" s="22">
        <f t="shared" si="57"/>
        <v>2.6523414851760377E-11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964.00000000000023</v>
      </c>
      <c r="AJ121" s="13">
        <f>AI121*VLOOKUP('Données projet'!$B$10,Paramètres!$A$1:$I$89,3,0)*VLOOKUP('Données projet'!$B$10,Paramètres!$A$1:$I$89,5,0)</f>
        <v>576.47200000000021</v>
      </c>
      <c r="AK121" s="13">
        <f t="shared" si="89"/>
        <v>126.75809338895206</v>
      </c>
      <c r="AL121" s="20">
        <f t="shared" si="58"/>
        <v>1224.7924126524251</v>
      </c>
      <c r="AM121" s="59">
        <f t="shared" si="59"/>
        <v>1518.1257459857584</v>
      </c>
      <c r="AN121" s="59">
        <f ca="1">AVERAGE(OFFSET($AM$3,0,0,'Données projet'!$E$10+1,1))-AVERAGE(OFFSET($H$3,0,0,'Données projet'!$E$10+1,1))</f>
        <v>559.94918407141222</v>
      </c>
      <c r="AO121" s="59">
        <f t="shared" si="90"/>
        <v>334.6078891555664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6.0509736362594957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9.3706843541719548E-12</v>
      </c>
      <c r="AX121" s="21">
        <f t="shared" si="60"/>
        <v>6.050973636268866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1.7053025658242404E-13</v>
      </c>
      <c r="BE121" s="13">
        <f>BD121*VLOOKUP('Données projet'!$B$11,Paramètres!$A$1:$I$89,3,0)*VLOOKUP('Données projet'!$B$11,Paramètres!$A$1:$I$89,5,0)</f>
        <v>7.9808160080574461E-14</v>
      </c>
      <c r="BF121" s="13">
        <f t="shared" si="91"/>
        <v>1.2308384591775343E-12</v>
      </c>
      <c r="BG121" s="20">
        <f t="shared" si="61"/>
        <v>2.282709528541206E-12</v>
      </c>
      <c r="BH121" s="59">
        <f t="shared" si="62"/>
        <v>293.33333333333559</v>
      </c>
      <c r="BI121" s="59">
        <f ca="1">AVERAGE(OFFSET($BH$3,0,0,'Données projet'!$E$11+1,1))-AVERAGE(OFFSET($H$3,0,0,'Données projet'!$E$11+1,1))</f>
        <v>276.78862011733338</v>
      </c>
      <c r="BJ121" s="59">
        <f t="shared" si="92"/>
        <v>202.1678469635836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-275.00000000000028</v>
      </c>
      <c r="BZ121" s="13">
        <f>BY121*VLOOKUP('Données projet'!$B$12,Paramètres!$A$1:$I$89,3,0)*VLOOKUP('Données projet'!$B$12,Paramètres!$A$1:$I$89,5,0)</f>
        <v>-214.50000000000023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286.5685205631126</v>
      </c>
      <c r="CE121" s="59">
        <f t="shared" si="94"/>
        <v>264.17357326498581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2.8421709430404007E-13</v>
      </c>
      <c r="O122" s="13">
        <f>N122*VLOOKUP('Données projet'!$B$9,Paramètres!$A$1:$I$89,3,0)*VLOOKUP('Données projet'!$B$9,Paramètres!$A$1:$I$89,5,0)</f>
        <v>2.5715962692629546E-13</v>
      </c>
      <c r="P122" s="13">
        <f t="shared" si="87"/>
        <v>3.4610450122128953E-12</v>
      </c>
      <c r="Q122" s="20">
        <f t="shared" si="107"/>
        <v>6.4758730798340893E-12</v>
      </c>
      <c r="R122" s="59">
        <f t="shared" si="55"/>
        <v>293.33333333333979</v>
      </c>
      <c r="S122" s="59">
        <f ca="1">AVERAGE(OFFSET($R$3,0,0,'Données projet'!$E$9+1,1))-AVERAGE(OFFSET($H$3,0,0,'Données projet'!$E$9+1,1))</f>
        <v>346.35147716792028</v>
      </c>
      <c r="T122" s="59">
        <f t="shared" si="88"/>
        <v>231.36959598460686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1.875488650190375E-11</v>
      </c>
      <c r="AC122" s="22">
        <f t="shared" si="57"/>
        <v>1.875488650190375E-11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964.00000000000023</v>
      </c>
      <c r="AJ122" s="13">
        <f>AI122*VLOOKUP('Données projet'!$B$10,Paramètres!$A$1:$I$89,3,0)*VLOOKUP('Données projet'!$B$10,Paramètres!$A$1:$I$89,5,0)</f>
        <v>576.47200000000021</v>
      </c>
      <c r="AK122" s="13">
        <f t="shared" si="89"/>
        <v>126.75809338895206</v>
      </c>
      <c r="AL122" s="20">
        <f t="shared" si="58"/>
        <v>1224.7924126524251</v>
      </c>
      <c r="AM122" s="59">
        <f t="shared" si="59"/>
        <v>1518.1257459857584</v>
      </c>
      <c r="AN122" s="59">
        <f ca="1">AVERAGE(OFFSET($AM$3,0,0,'Données projet'!$E$10+1,1))-AVERAGE(OFFSET($H$3,0,0,'Données projet'!$E$10+1,1))</f>
        <v>559.94918407141222</v>
      </c>
      <c r="AO122" s="59">
        <f t="shared" si="90"/>
        <v>334.6078891555664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5.932317733981936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6.6260744511936729E-12</v>
      </c>
      <c r="AX122" s="21">
        <f t="shared" si="60"/>
        <v>5.9323177339885618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1.7053025658242404E-13</v>
      </c>
      <c r="BE122" s="13">
        <f>BD122*VLOOKUP('Données projet'!$B$11,Paramètres!$A$1:$I$89,3,0)*VLOOKUP('Données projet'!$B$11,Paramètres!$A$1:$I$89,5,0)</f>
        <v>7.9808160080574461E-14</v>
      </c>
      <c r="BF122" s="13">
        <f t="shared" si="91"/>
        <v>1.2308384591775343E-12</v>
      </c>
      <c r="BG122" s="20">
        <f t="shared" si="61"/>
        <v>2.282709528541206E-12</v>
      </c>
      <c r="BH122" s="59">
        <f t="shared" si="62"/>
        <v>293.33333333333559</v>
      </c>
      <c r="BI122" s="59">
        <f ca="1">AVERAGE(OFFSET($BH$3,0,0,'Données projet'!$E$11+1,1))-AVERAGE(OFFSET($H$3,0,0,'Données projet'!$E$11+1,1))</f>
        <v>276.78862011733338</v>
      </c>
      <c r="BJ122" s="59">
        <f t="shared" si="92"/>
        <v>202.1678469635836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-275.00000000000028</v>
      </c>
      <c r="BZ122" s="13">
        <f>BY122*VLOOKUP('Données projet'!$B$12,Paramètres!$A$1:$I$89,3,0)*VLOOKUP('Données projet'!$B$12,Paramètres!$A$1:$I$89,5,0)</f>
        <v>-214.50000000000023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286.5685205631126</v>
      </c>
      <c r="CE122" s="59">
        <f t="shared" si="94"/>
        <v>264.17357326498581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2.8421709430404007E-13</v>
      </c>
      <c r="O123" s="13">
        <f>N123*VLOOKUP('Données projet'!$B$9,Paramètres!$A$1:$I$89,3,0)*VLOOKUP('Données projet'!$B$9,Paramètres!$A$1:$I$89,5,0)</f>
        <v>2.5715962692629546E-13</v>
      </c>
      <c r="P123" s="13">
        <f t="shared" si="87"/>
        <v>3.4610450122128953E-12</v>
      </c>
      <c r="Q123" s="20">
        <f t="shared" si="107"/>
        <v>6.4758730798340893E-12</v>
      </c>
      <c r="R123" s="59">
        <f t="shared" si="55"/>
        <v>293.33333333333979</v>
      </c>
      <c r="S123" s="59">
        <f ca="1">AVERAGE(OFFSET($R$3,0,0,'Données projet'!$E$9+1,1))-AVERAGE(OFFSET($H$3,0,0,'Données projet'!$E$9+1,1))</f>
        <v>346.35147716792028</v>
      </c>
      <c r="T123" s="59">
        <f t="shared" si="88"/>
        <v>231.36959598460686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1.3261707425880189E-11</v>
      </c>
      <c r="AC123" s="22">
        <f t="shared" si="57"/>
        <v>1.3261707425880189E-11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964.00000000000023</v>
      </c>
      <c r="AJ123" s="13">
        <f>AI123*VLOOKUP('Données projet'!$B$10,Paramètres!$A$1:$I$89,3,0)*VLOOKUP('Données projet'!$B$10,Paramètres!$A$1:$I$89,5,0)</f>
        <v>576.47200000000021</v>
      </c>
      <c r="AK123" s="13">
        <f t="shared" si="89"/>
        <v>126.75809338895206</v>
      </c>
      <c r="AL123" s="20">
        <f t="shared" si="58"/>
        <v>1224.7924126524251</v>
      </c>
      <c r="AM123" s="59">
        <f t="shared" si="59"/>
        <v>1518.1257459857584</v>
      </c>
      <c r="AN123" s="59">
        <f ca="1">AVERAGE(OFFSET($AM$3,0,0,'Données projet'!$E$10+1,1))-AVERAGE(OFFSET($H$3,0,0,'Données projet'!$E$10+1,1))</f>
        <v>559.94918407141222</v>
      </c>
      <c r="AO123" s="59">
        <f t="shared" si="90"/>
        <v>334.6078891555664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5.8159886015750848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4.6853421770859774E-12</v>
      </c>
      <c r="AX123" s="21">
        <f t="shared" si="60"/>
        <v>5.8159886015797699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1.7053025658242404E-13</v>
      </c>
      <c r="BE123" s="13">
        <f>BD123*VLOOKUP('Données projet'!$B$11,Paramètres!$A$1:$I$89,3,0)*VLOOKUP('Données projet'!$B$11,Paramètres!$A$1:$I$89,5,0)</f>
        <v>7.9808160080574461E-14</v>
      </c>
      <c r="BF123" s="13">
        <f t="shared" si="91"/>
        <v>1.2308384591775343E-12</v>
      </c>
      <c r="BG123" s="20">
        <f t="shared" si="61"/>
        <v>2.282709528541206E-12</v>
      </c>
      <c r="BH123" s="59">
        <f t="shared" si="62"/>
        <v>293.33333333333559</v>
      </c>
      <c r="BI123" s="59">
        <f ca="1">AVERAGE(OFFSET($BH$3,0,0,'Données projet'!$E$11+1,1))-AVERAGE(OFFSET($H$3,0,0,'Données projet'!$E$11+1,1))</f>
        <v>276.78862011733338</v>
      </c>
      <c r="BJ123" s="59">
        <f t="shared" si="92"/>
        <v>202.1678469635836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-275.00000000000028</v>
      </c>
      <c r="BZ123" s="13">
        <f>BY123*VLOOKUP('Données projet'!$B$12,Paramètres!$A$1:$I$89,3,0)*VLOOKUP('Données projet'!$B$12,Paramètres!$A$1:$I$89,5,0)</f>
        <v>-214.50000000000023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286.5685205631126</v>
      </c>
      <c r="CE123" s="59">
        <f t="shared" si="94"/>
        <v>264.17357326498581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2.8421709430404007E-13</v>
      </c>
      <c r="O124" s="13">
        <f>N124*VLOOKUP('Données projet'!$B$9,Paramètres!$A$1:$I$89,3,0)*VLOOKUP('Données projet'!$B$9,Paramètres!$A$1:$I$89,5,0)</f>
        <v>2.5715962692629546E-13</v>
      </c>
      <c r="P124" s="13">
        <f t="shared" si="87"/>
        <v>3.4610450122128953E-12</v>
      </c>
      <c r="Q124" s="20">
        <f t="shared" si="107"/>
        <v>6.4758730798340893E-12</v>
      </c>
      <c r="R124" s="59">
        <f t="shared" si="55"/>
        <v>293.33333333333979</v>
      </c>
      <c r="S124" s="59">
        <f ca="1">AVERAGE(OFFSET($R$3,0,0,'Données projet'!$E$9+1,1))-AVERAGE(OFFSET($H$3,0,0,'Données projet'!$E$9+1,1))</f>
        <v>346.35147716792028</v>
      </c>
      <c r="T124" s="59">
        <f t="shared" si="88"/>
        <v>231.36959598460686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9.3774432509518748E-12</v>
      </c>
      <c r="AC124" s="22">
        <f t="shared" si="57"/>
        <v>9.3774432509518748E-12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964.00000000000023</v>
      </c>
      <c r="AJ124" s="13">
        <f>AI124*VLOOKUP('Données projet'!$B$10,Paramètres!$A$1:$I$89,3,0)*VLOOKUP('Données projet'!$B$10,Paramètres!$A$1:$I$89,5,0)</f>
        <v>576.47200000000021</v>
      </c>
      <c r="AK124" s="13">
        <f t="shared" si="89"/>
        <v>126.75809338895206</v>
      </c>
      <c r="AL124" s="20">
        <f t="shared" si="58"/>
        <v>1224.7924126524251</v>
      </c>
      <c r="AM124" s="59">
        <f t="shared" si="59"/>
        <v>1518.1257459857584</v>
      </c>
      <c r="AN124" s="59">
        <f ca="1">AVERAGE(OFFSET($AM$3,0,0,'Données projet'!$E$10+1,1))-AVERAGE(OFFSET($H$3,0,0,'Données projet'!$E$10+1,1))</f>
        <v>559.94918407141222</v>
      </c>
      <c r="AO124" s="59">
        <f t="shared" si="90"/>
        <v>334.6078891555664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5.7019406125009677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3.3130372255968365E-12</v>
      </c>
      <c r="AX124" s="21">
        <f t="shared" si="60"/>
        <v>5.7019406125042806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1.7053025658242404E-13</v>
      </c>
      <c r="BE124" s="13">
        <f>BD124*VLOOKUP('Données projet'!$B$11,Paramètres!$A$1:$I$89,3,0)*VLOOKUP('Données projet'!$B$11,Paramètres!$A$1:$I$89,5,0)</f>
        <v>7.9808160080574461E-14</v>
      </c>
      <c r="BF124" s="13">
        <f t="shared" si="91"/>
        <v>1.2308384591775343E-12</v>
      </c>
      <c r="BG124" s="20">
        <f t="shared" si="61"/>
        <v>2.282709528541206E-12</v>
      </c>
      <c r="BH124" s="59">
        <f t="shared" si="62"/>
        <v>293.33333333333559</v>
      </c>
      <c r="BI124" s="59">
        <f ca="1">AVERAGE(OFFSET($BH$3,0,0,'Données projet'!$E$11+1,1))-AVERAGE(OFFSET($H$3,0,0,'Données projet'!$E$11+1,1))</f>
        <v>276.78862011733338</v>
      </c>
      <c r="BJ124" s="59">
        <f t="shared" si="92"/>
        <v>202.1678469635836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-275.00000000000028</v>
      </c>
      <c r="BZ124" s="13">
        <f>BY124*VLOOKUP('Données projet'!$B$12,Paramètres!$A$1:$I$89,3,0)*VLOOKUP('Données projet'!$B$12,Paramètres!$A$1:$I$89,5,0)</f>
        <v>-214.50000000000023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286.5685205631126</v>
      </c>
      <c r="CE124" s="59">
        <f t="shared" si="94"/>
        <v>264.17357326498581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2.8421709430404007E-13</v>
      </c>
      <c r="O125" s="13">
        <f>N125*VLOOKUP('Données projet'!$B$9,Paramètres!$A$1:$I$89,3,0)*VLOOKUP('Données projet'!$B$9,Paramètres!$A$1:$I$89,5,0)</f>
        <v>2.5715962692629546E-13</v>
      </c>
      <c r="P125" s="13">
        <f t="shared" si="87"/>
        <v>3.4610450122128953E-12</v>
      </c>
      <c r="Q125" s="20">
        <f t="shared" si="107"/>
        <v>6.4758730798340893E-12</v>
      </c>
      <c r="R125" s="59">
        <f t="shared" si="55"/>
        <v>293.33333333333979</v>
      </c>
      <c r="S125" s="59">
        <f ca="1">AVERAGE(OFFSET($R$3,0,0,'Données projet'!$E$9+1,1))-AVERAGE(OFFSET($H$3,0,0,'Données projet'!$E$9+1,1))</f>
        <v>346.35147716792028</v>
      </c>
      <c r="T125" s="59">
        <f t="shared" si="88"/>
        <v>231.36959598460686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6.6308537129400943E-12</v>
      </c>
      <c r="AC125" s="22">
        <f t="shared" si="57"/>
        <v>6.6308537129400943E-12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964.00000000000023</v>
      </c>
      <c r="AJ125" s="13">
        <f>AI125*VLOOKUP('Données projet'!$B$10,Paramètres!$A$1:$I$89,3,0)*VLOOKUP('Données projet'!$B$10,Paramètres!$A$1:$I$89,5,0)</f>
        <v>576.47200000000021</v>
      </c>
      <c r="AK125" s="13">
        <f t="shared" si="89"/>
        <v>126.75809338895206</v>
      </c>
      <c r="AL125" s="20">
        <f t="shared" si="58"/>
        <v>1224.7924126524251</v>
      </c>
      <c r="AM125" s="59">
        <f t="shared" si="59"/>
        <v>1518.1257459857584</v>
      </c>
      <c r="AN125" s="59">
        <f ca="1">AVERAGE(OFFSET($AM$3,0,0,'Données projet'!$E$10+1,1))-AVERAGE(OFFSET($H$3,0,0,'Données projet'!$E$10+1,1))</f>
        <v>559.94918407141222</v>
      </c>
      <c r="AO125" s="59">
        <f t="shared" si="90"/>
        <v>334.6078891555664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5.5901290349301895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2.3426710885429887E-12</v>
      </c>
      <c r="AX125" s="21">
        <f t="shared" si="60"/>
        <v>5.5901290349325325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1.7053025658242404E-13</v>
      </c>
      <c r="BE125" s="13">
        <f>BD125*VLOOKUP('Données projet'!$B$11,Paramètres!$A$1:$I$89,3,0)*VLOOKUP('Données projet'!$B$11,Paramètres!$A$1:$I$89,5,0)</f>
        <v>7.9808160080574461E-14</v>
      </c>
      <c r="BF125" s="13">
        <f t="shared" si="91"/>
        <v>1.2308384591775343E-12</v>
      </c>
      <c r="BG125" s="20">
        <f t="shared" si="61"/>
        <v>2.282709528541206E-12</v>
      </c>
      <c r="BH125" s="59">
        <f t="shared" si="62"/>
        <v>293.33333333333559</v>
      </c>
      <c r="BI125" s="59">
        <f ca="1">AVERAGE(OFFSET($BH$3,0,0,'Données projet'!$E$11+1,1))-AVERAGE(OFFSET($H$3,0,0,'Données projet'!$E$11+1,1))</f>
        <v>276.78862011733338</v>
      </c>
      <c r="BJ125" s="59">
        <f t="shared" si="92"/>
        <v>202.1678469635836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-275.00000000000028</v>
      </c>
      <c r="BZ125" s="13">
        <f>BY125*VLOOKUP('Données projet'!$B$12,Paramètres!$A$1:$I$89,3,0)*VLOOKUP('Données projet'!$B$12,Paramètres!$A$1:$I$89,5,0)</f>
        <v>-214.50000000000023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286.5685205631126</v>
      </c>
      <c r="CE125" s="59">
        <f t="shared" si="94"/>
        <v>264.17357326498581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2.8421709430404007E-13</v>
      </c>
      <c r="O126" s="13">
        <f>N126*VLOOKUP('Données projet'!$B$9,Paramètres!$A$1:$I$89,3,0)*VLOOKUP('Données projet'!$B$9,Paramètres!$A$1:$I$89,5,0)</f>
        <v>2.5715962692629546E-13</v>
      </c>
      <c r="P126" s="13">
        <f t="shared" si="87"/>
        <v>3.4610450122128953E-12</v>
      </c>
      <c r="Q126" s="20">
        <f t="shared" si="107"/>
        <v>6.4758730798340893E-12</v>
      </c>
      <c r="R126" s="59">
        <f t="shared" si="55"/>
        <v>293.33333333333979</v>
      </c>
      <c r="S126" s="59">
        <f ca="1">AVERAGE(OFFSET($R$3,0,0,'Données projet'!$E$9+1,1))-AVERAGE(OFFSET($H$3,0,0,'Données projet'!$E$9+1,1))</f>
        <v>346.35147716792028</v>
      </c>
      <c r="T126" s="59">
        <f t="shared" si="88"/>
        <v>231.36959598460686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4.6887216254759374E-12</v>
      </c>
      <c r="AC126" s="22">
        <f t="shared" si="57"/>
        <v>4.6887216254759374E-12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964.00000000000023</v>
      </c>
      <c r="AJ126" s="13">
        <f>AI126*VLOOKUP('Données projet'!$B$10,Paramètres!$A$1:$I$89,3,0)*VLOOKUP('Données projet'!$B$10,Paramètres!$A$1:$I$89,5,0)</f>
        <v>576.47200000000021</v>
      </c>
      <c r="AK126" s="13">
        <f t="shared" si="89"/>
        <v>126.75809338895206</v>
      </c>
      <c r="AL126" s="20">
        <f t="shared" si="58"/>
        <v>1224.7924126524251</v>
      </c>
      <c r="AM126" s="59">
        <f t="shared" si="59"/>
        <v>1518.1257459857584</v>
      </c>
      <c r="AN126" s="59">
        <f ca="1">AVERAGE(OFFSET($AM$3,0,0,'Données projet'!$E$10+1,1))-AVERAGE(OFFSET($H$3,0,0,'Données projet'!$E$10+1,1))</f>
        <v>559.94918407141222</v>
      </c>
      <c r="AO126" s="59">
        <f t="shared" si="90"/>
        <v>334.6078891555664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5.4805100141972458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1.6565186127984182E-12</v>
      </c>
      <c r="AX126" s="21">
        <f t="shared" si="60"/>
        <v>5.4805100141989023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1.7053025658242404E-13</v>
      </c>
      <c r="BE126" s="13">
        <f>BD126*VLOOKUP('Données projet'!$B$11,Paramètres!$A$1:$I$89,3,0)*VLOOKUP('Données projet'!$B$11,Paramètres!$A$1:$I$89,5,0)</f>
        <v>7.9808160080574461E-14</v>
      </c>
      <c r="BF126" s="13">
        <f t="shared" si="91"/>
        <v>1.2308384591775343E-12</v>
      </c>
      <c r="BG126" s="20">
        <f t="shared" si="61"/>
        <v>2.282709528541206E-12</v>
      </c>
      <c r="BH126" s="59">
        <f t="shared" si="62"/>
        <v>293.33333333333559</v>
      </c>
      <c r="BI126" s="59">
        <f ca="1">AVERAGE(OFFSET($BH$3,0,0,'Données projet'!$E$11+1,1))-AVERAGE(OFFSET($H$3,0,0,'Données projet'!$E$11+1,1))</f>
        <v>276.78862011733338</v>
      </c>
      <c r="BJ126" s="59">
        <f t="shared" si="92"/>
        <v>202.1678469635836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-275.00000000000028</v>
      </c>
      <c r="BZ126" s="13">
        <f>BY126*VLOOKUP('Données projet'!$B$12,Paramètres!$A$1:$I$89,3,0)*VLOOKUP('Données projet'!$B$12,Paramètres!$A$1:$I$89,5,0)</f>
        <v>-214.50000000000023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286.5685205631126</v>
      </c>
      <c r="CE126" s="59">
        <f t="shared" si="94"/>
        <v>264.17357326498581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2.8421709430404007E-13</v>
      </c>
      <c r="O127" s="13">
        <f>N127*VLOOKUP('Données projet'!$B$9,Paramètres!$A$1:$I$89,3,0)*VLOOKUP('Données projet'!$B$9,Paramètres!$A$1:$I$89,5,0)</f>
        <v>2.5715962692629546E-13</v>
      </c>
      <c r="P127" s="13">
        <f t="shared" si="87"/>
        <v>3.4610450122128953E-12</v>
      </c>
      <c r="Q127" s="20">
        <f t="shared" si="107"/>
        <v>6.4758730798340893E-12</v>
      </c>
      <c r="R127" s="59">
        <f t="shared" si="55"/>
        <v>293.33333333333979</v>
      </c>
      <c r="S127" s="59">
        <f ca="1">AVERAGE(OFFSET($R$3,0,0,'Données projet'!$E$9+1,1))-AVERAGE(OFFSET($H$3,0,0,'Données projet'!$E$9+1,1))</f>
        <v>346.35147716792028</v>
      </c>
      <c r="T127" s="59">
        <f t="shared" si="88"/>
        <v>231.36959598460686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3.3154268564700472E-12</v>
      </c>
      <c r="AC127" s="22">
        <f t="shared" si="57"/>
        <v>3.3154268564700472E-12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964.00000000000023</v>
      </c>
      <c r="AJ127" s="13">
        <f>AI127*VLOOKUP('Données projet'!$B$10,Paramètres!$A$1:$I$89,3,0)*VLOOKUP('Données projet'!$B$10,Paramètres!$A$1:$I$89,5,0)</f>
        <v>576.47200000000021</v>
      </c>
      <c r="AK127" s="13">
        <f t="shared" si="89"/>
        <v>126.75809338895206</v>
      </c>
      <c r="AL127" s="20">
        <f t="shared" si="58"/>
        <v>1224.7924126524251</v>
      </c>
      <c r="AM127" s="59">
        <f t="shared" si="59"/>
        <v>1518.1257459857584</v>
      </c>
      <c r="AN127" s="59">
        <f ca="1">AVERAGE(OFFSET($AM$3,0,0,'Données projet'!$E$10+1,1))-AVERAGE(OFFSET($H$3,0,0,'Données projet'!$E$10+1,1))</f>
        <v>559.94918407141222</v>
      </c>
      <c r="AO127" s="59">
        <f t="shared" si="90"/>
        <v>334.6078891555664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5.3730405555998741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1.1713355442714943E-12</v>
      </c>
      <c r="AX127" s="21">
        <f t="shared" si="60"/>
        <v>5.3730405556010457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1.7053025658242404E-13</v>
      </c>
      <c r="BE127" s="13">
        <f>BD127*VLOOKUP('Données projet'!$B$11,Paramètres!$A$1:$I$89,3,0)*VLOOKUP('Données projet'!$B$11,Paramètres!$A$1:$I$89,5,0)</f>
        <v>7.9808160080574461E-14</v>
      </c>
      <c r="BF127" s="13">
        <f t="shared" si="91"/>
        <v>1.2308384591775343E-12</v>
      </c>
      <c r="BG127" s="20">
        <f t="shared" si="61"/>
        <v>2.282709528541206E-12</v>
      </c>
      <c r="BH127" s="59">
        <f t="shared" si="62"/>
        <v>293.33333333333559</v>
      </c>
      <c r="BI127" s="59">
        <f ca="1">AVERAGE(OFFSET($BH$3,0,0,'Données projet'!$E$11+1,1))-AVERAGE(OFFSET($H$3,0,0,'Données projet'!$E$11+1,1))</f>
        <v>276.78862011733338</v>
      </c>
      <c r="BJ127" s="59">
        <f t="shared" si="92"/>
        <v>202.1678469635836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-275.00000000000028</v>
      </c>
      <c r="BZ127" s="13">
        <f>BY127*VLOOKUP('Données projet'!$B$12,Paramètres!$A$1:$I$89,3,0)*VLOOKUP('Données projet'!$B$12,Paramètres!$A$1:$I$89,5,0)</f>
        <v>-214.50000000000023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286.5685205631126</v>
      </c>
      <c r="CE127" s="59">
        <f t="shared" si="94"/>
        <v>264.17357326498581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2.8421709430404007E-13</v>
      </c>
      <c r="O128" s="13">
        <f>N128*VLOOKUP('Données projet'!$B$9,Paramètres!$A$1:$I$89,3,0)*VLOOKUP('Données projet'!$B$9,Paramètres!$A$1:$I$89,5,0)</f>
        <v>2.5715962692629546E-13</v>
      </c>
      <c r="P128" s="13">
        <f t="shared" si="87"/>
        <v>3.4610450122128953E-12</v>
      </c>
      <c r="Q128" s="20">
        <f t="shared" si="107"/>
        <v>6.4758730798340893E-12</v>
      </c>
      <c r="R128" s="59">
        <f t="shared" si="55"/>
        <v>293.33333333333979</v>
      </c>
      <c r="S128" s="59">
        <f ca="1">AVERAGE(OFFSET($R$3,0,0,'Données projet'!$E$9+1,1))-AVERAGE(OFFSET($H$3,0,0,'Données projet'!$E$9+1,1))</f>
        <v>346.35147716792028</v>
      </c>
      <c r="T128" s="59">
        <f t="shared" si="88"/>
        <v>231.36959598460686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2.3443608127379687E-12</v>
      </c>
      <c r="AC128" s="22">
        <f t="shared" si="57"/>
        <v>2.3443608127379687E-12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964.00000000000023</v>
      </c>
      <c r="AJ128" s="13">
        <f>AI128*VLOOKUP('Données projet'!$B$10,Paramètres!$A$1:$I$89,3,0)*VLOOKUP('Données projet'!$B$10,Paramètres!$A$1:$I$89,5,0)</f>
        <v>576.47200000000021</v>
      </c>
      <c r="AK128" s="13">
        <f t="shared" si="89"/>
        <v>126.75809338895206</v>
      </c>
      <c r="AL128" s="20">
        <f t="shared" si="58"/>
        <v>1224.7924126524251</v>
      </c>
      <c r="AM128" s="59">
        <f t="shared" si="59"/>
        <v>1518.1257459857584</v>
      </c>
      <c r="AN128" s="59">
        <f ca="1">AVERAGE(OFFSET($AM$3,0,0,'Données projet'!$E$10+1,1))-AVERAGE(OFFSET($H$3,0,0,'Données projet'!$E$10+1,1))</f>
        <v>559.94918407141222</v>
      </c>
      <c r="AO128" s="59">
        <f t="shared" si="90"/>
        <v>334.6078891555664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5.2676785075356998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8.2825930639920912E-13</v>
      </c>
      <c r="AX128" s="21">
        <f t="shared" si="60"/>
        <v>5.2676785075365284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1.7053025658242404E-13</v>
      </c>
      <c r="BE128" s="13">
        <f>BD128*VLOOKUP('Données projet'!$B$11,Paramètres!$A$1:$I$89,3,0)*VLOOKUP('Données projet'!$B$11,Paramètres!$A$1:$I$89,5,0)</f>
        <v>7.9808160080574461E-14</v>
      </c>
      <c r="BF128" s="13">
        <f t="shared" si="91"/>
        <v>1.2308384591775343E-12</v>
      </c>
      <c r="BG128" s="20">
        <f t="shared" si="61"/>
        <v>2.282709528541206E-12</v>
      </c>
      <c r="BH128" s="59">
        <f t="shared" si="62"/>
        <v>293.33333333333559</v>
      </c>
      <c r="BI128" s="59">
        <f ca="1">AVERAGE(OFFSET($BH$3,0,0,'Données projet'!$E$11+1,1))-AVERAGE(OFFSET($H$3,0,0,'Données projet'!$E$11+1,1))</f>
        <v>276.78862011733338</v>
      </c>
      <c r="BJ128" s="59">
        <f t="shared" si="92"/>
        <v>202.1678469635836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-275.00000000000028</v>
      </c>
      <c r="BZ128" s="13">
        <f>BY128*VLOOKUP('Données projet'!$B$12,Paramètres!$A$1:$I$89,3,0)*VLOOKUP('Données projet'!$B$12,Paramètres!$A$1:$I$89,5,0)</f>
        <v>-214.50000000000023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286.5685205631126</v>
      </c>
      <c r="CE128" s="59">
        <f t="shared" si="94"/>
        <v>264.17357326498581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2.8421709430404007E-13</v>
      </c>
      <c r="O129" s="13">
        <f>N129*VLOOKUP('Données projet'!$B$9,Paramètres!$A$1:$I$89,3,0)*VLOOKUP('Données projet'!$B$9,Paramètres!$A$1:$I$89,5,0)</f>
        <v>2.5715962692629546E-13</v>
      </c>
      <c r="P129" s="13">
        <f t="shared" si="87"/>
        <v>3.4610450122128953E-12</v>
      </c>
      <c r="Q129" s="20">
        <f t="shared" si="107"/>
        <v>6.4758730798340893E-12</v>
      </c>
      <c r="R129" s="59">
        <f t="shared" si="55"/>
        <v>293.33333333333979</v>
      </c>
      <c r="S129" s="59">
        <f ca="1">AVERAGE(OFFSET($R$3,0,0,'Données projet'!$E$9+1,1))-AVERAGE(OFFSET($H$3,0,0,'Données projet'!$E$9+1,1))</f>
        <v>346.35147716792028</v>
      </c>
      <c r="T129" s="59">
        <f t="shared" si="88"/>
        <v>231.36959598460686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1.6577134282350236E-12</v>
      </c>
      <c r="AC129" s="22">
        <f t="shared" si="57"/>
        <v>1.6577134282350236E-12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964.00000000000023</v>
      </c>
      <c r="AJ129" s="13">
        <f>AI129*VLOOKUP('Données projet'!$B$10,Paramètres!$A$1:$I$89,3,0)*VLOOKUP('Données projet'!$B$10,Paramètres!$A$1:$I$89,5,0)</f>
        <v>576.47200000000021</v>
      </c>
      <c r="AK129" s="13">
        <f t="shared" si="89"/>
        <v>126.75809338895206</v>
      </c>
      <c r="AL129" s="20">
        <f t="shared" si="58"/>
        <v>1224.7924126524251</v>
      </c>
      <c r="AM129" s="59">
        <f t="shared" si="59"/>
        <v>1518.1257459857584</v>
      </c>
      <c r="AN129" s="59">
        <f ca="1">AVERAGE(OFFSET($AM$3,0,0,'Données projet'!$E$10+1,1))-AVERAGE(OFFSET($H$3,0,0,'Données projet'!$E$10+1,1))</f>
        <v>559.94918407141222</v>
      </c>
      <c r="AO129" s="59">
        <f t="shared" si="90"/>
        <v>334.6078891555664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5.16438254496956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5.8566777213574717E-13</v>
      </c>
      <c r="AX129" s="21">
        <f t="shared" si="60"/>
        <v>5.1643825449701453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1.7053025658242404E-13</v>
      </c>
      <c r="BE129" s="13">
        <f>BD129*VLOOKUP('Données projet'!$B$11,Paramètres!$A$1:$I$89,3,0)*VLOOKUP('Données projet'!$B$11,Paramètres!$A$1:$I$89,5,0)</f>
        <v>7.9808160080574461E-14</v>
      </c>
      <c r="BF129" s="13">
        <f t="shared" si="91"/>
        <v>1.2308384591775343E-12</v>
      </c>
      <c r="BG129" s="20">
        <f t="shared" si="61"/>
        <v>2.282709528541206E-12</v>
      </c>
      <c r="BH129" s="59">
        <f t="shared" si="62"/>
        <v>293.33333333333559</v>
      </c>
      <c r="BI129" s="59">
        <f ca="1">AVERAGE(OFFSET($BH$3,0,0,'Données projet'!$E$11+1,1))-AVERAGE(OFFSET($H$3,0,0,'Données projet'!$E$11+1,1))</f>
        <v>276.78862011733338</v>
      </c>
      <c r="BJ129" s="59">
        <f t="shared" si="92"/>
        <v>202.1678469635836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-275.00000000000028</v>
      </c>
      <c r="BZ129" s="13">
        <f>BY129*VLOOKUP('Données projet'!$B$12,Paramètres!$A$1:$I$89,3,0)*VLOOKUP('Données projet'!$B$12,Paramètres!$A$1:$I$89,5,0)</f>
        <v>-214.50000000000023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286.5685205631126</v>
      </c>
      <c r="CE129" s="59">
        <f t="shared" si="94"/>
        <v>264.17357326498581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2.8421709430404007E-13</v>
      </c>
      <c r="O130" s="13">
        <f>N130*VLOOKUP('Données projet'!$B$9,Paramètres!$A$1:$I$89,3,0)*VLOOKUP('Données projet'!$B$9,Paramètres!$A$1:$I$89,5,0)</f>
        <v>2.5715962692629546E-13</v>
      </c>
      <c r="P130" s="13">
        <f t="shared" si="87"/>
        <v>3.4610450122128953E-12</v>
      </c>
      <c r="Q130" s="20">
        <f t="shared" si="107"/>
        <v>6.4758730798340893E-12</v>
      </c>
      <c r="R130" s="59">
        <f t="shared" si="55"/>
        <v>293.33333333333979</v>
      </c>
      <c r="S130" s="59">
        <f ca="1">AVERAGE(OFFSET($R$3,0,0,'Données projet'!$E$9+1,1))-AVERAGE(OFFSET($H$3,0,0,'Données projet'!$E$9+1,1))</f>
        <v>346.35147716792028</v>
      </c>
      <c r="T130" s="59">
        <f t="shared" si="88"/>
        <v>231.36959598460686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1.1721804063689843E-12</v>
      </c>
      <c r="AC130" s="22">
        <f t="shared" si="57"/>
        <v>1.1721804063689843E-12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964.00000000000023</v>
      </c>
      <c r="AJ130" s="13">
        <f>AI130*VLOOKUP('Données projet'!$B$10,Paramètres!$A$1:$I$89,3,0)*VLOOKUP('Données projet'!$B$10,Paramètres!$A$1:$I$89,5,0)</f>
        <v>576.47200000000021</v>
      </c>
      <c r="AK130" s="13">
        <f t="shared" si="89"/>
        <v>126.75809338895206</v>
      </c>
      <c r="AL130" s="20">
        <f t="shared" si="58"/>
        <v>1224.7924126524251</v>
      </c>
      <c r="AM130" s="59">
        <f t="shared" si="59"/>
        <v>1518.1257459857584</v>
      </c>
      <c r="AN130" s="59">
        <f ca="1">AVERAGE(OFFSET($AM$3,0,0,'Données projet'!$E$10+1,1))-AVERAGE(OFFSET($H$3,0,0,'Données projet'!$E$10+1,1))</f>
        <v>559.94918407141222</v>
      </c>
      <c r="AO130" s="59">
        <f t="shared" si="90"/>
        <v>334.6078891555664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5.0631121532250267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4.1412965319960456E-13</v>
      </c>
      <c r="AX130" s="21">
        <f t="shared" si="60"/>
        <v>5.0631121532254406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1.7053025658242404E-13</v>
      </c>
      <c r="BE130" s="13">
        <f>BD130*VLOOKUP('Données projet'!$B$11,Paramètres!$A$1:$I$89,3,0)*VLOOKUP('Données projet'!$B$11,Paramètres!$A$1:$I$89,5,0)</f>
        <v>7.9808160080574461E-14</v>
      </c>
      <c r="BF130" s="13">
        <f t="shared" si="91"/>
        <v>1.2308384591775343E-12</v>
      </c>
      <c r="BG130" s="20">
        <f t="shared" si="61"/>
        <v>2.282709528541206E-12</v>
      </c>
      <c r="BH130" s="59">
        <f t="shared" si="62"/>
        <v>293.33333333333559</v>
      </c>
      <c r="BI130" s="59">
        <f ca="1">AVERAGE(OFFSET($BH$3,0,0,'Données projet'!$E$11+1,1))-AVERAGE(OFFSET($H$3,0,0,'Données projet'!$E$11+1,1))</f>
        <v>276.78862011733338</v>
      </c>
      <c r="BJ130" s="59">
        <f t="shared" si="92"/>
        <v>202.1678469635836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-275.00000000000028</v>
      </c>
      <c r="BZ130" s="13">
        <f>BY130*VLOOKUP('Données projet'!$B$12,Paramètres!$A$1:$I$89,3,0)*VLOOKUP('Données projet'!$B$12,Paramètres!$A$1:$I$89,5,0)</f>
        <v>-214.50000000000023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286.5685205631126</v>
      </c>
      <c r="CE130" s="59">
        <f t="shared" si="94"/>
        <v>264.17357326498581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2.8421709430404007E-13</v>
      </c>
      <c r="O131" s="13">
        <f>N131*VLOOKUP('Données projet'!$B$9,Paramètres!$A$1:$I$89,3,0)*VLOOKUP('Données projet'!$B$9,Paramètres!$A$1:$I$89,5,0)</f>
        <v>2.5715962692629546E-13</v>
      </c>
      <c r="P131" s="13">
        <f t="shared" si="87"/>
        <v>3.4610450122128953E-12</v>
      </c>
      <c r="Q131" s="20">
        <f t="shared" ref="Q131:Q153" si="108">(O131+P131)*0.475*44/12</f>
        <v>6.4758730798340893E-12</v>
      </c>
      <c r="R131" s="59">
        <f t="shared" ref="R131:R194" si="109">Q131+(I131+J131)*44/12</f>
        <v>293.33333333333979</v>
      </c>
      <c r="S131" s="59">
        <f ca="1">AVERAGE(OFFSET($R$3,0,0,'Données projet'!$E$9+1,1))-AVERAGE(OFFSET($H$3,0,0,'Données projet'!$E$9+1,1))</f>
        <v>346.35147716792028</v>
      </c>
      <c r="T131" s="59">
        <f t="shared" si="88"/>
        <v>231.36959598460686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8.2885671411751179E-13</v>
      </c>
      <c r="AC131" s="22">
        <f t="shared" si="57"/>
        <v>8.2885671411751179E-13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964.00000000000023</v>
      </c>
      <c r="AJ131" s="13">
        <f>AI131*VLOOKUP('Données projet'!$B$10,Paramètres!$A$1:$I$89,3,0)*VLOOKUP('Données projet'!$B$10,Paramètres!$A$1:$I$89,5,0)</f>
        <v>576.47200000000021</v>
      </c>
      <c r="AK131" s="13">
        <f t="shared" si="89"/>
        <v>126.75809338895206</v>
      </c>
      <c r="AL131" s="20">
        <f t="shared" si="58"/>
        <v>1224.7924126524251</v>
      </c>
      <c r="AM131" s="59">
        <f t="shared" si="59"/>
        <v>1518.1257459857584</v>
      </c>
      <c r="AN131" s="59">
        <f ca="1">AVERAGE(OFFSET($AM$3,0,0,'Données projet'!$E$10+1,1))-AVERAGE(OFFSET($H$3,0,0,'Données projet'!$E$10+1,1))</f>
        <v>559.94918407141222</v>
      </c>
      <c r="AO131" s="59">
        <f t="shared" si="90"/>
        <v>334.6078891555664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4.9638276120937634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2.9283388606787359E-13</v>
      </c>
      <c r="AX131" s="21">
        <f t="shared" si="60"/>
        <v>4.9638276120940565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1.7053025658242404E-13</v>
      </c>
      <c r="BE131" s="13">
        <f>BD131*VLOOKUP('Données projet'!$B$11,Paramètres!$A$1:$I$89,3,0)*VLOOKUP('Données projet'!$B$11,Paramètres!$A$1:$I$89,5,0)</f>
        <v>7.9808160080574461E-14</v>
      </c>
      <c r="BF131" s="13">
        <f t="shared" si="91"/>
        <v>1.2308384591775343E-12</v>
      </c>
      <c r="BG131" s="20">
        <f t="shared" si="61"/>
        <v>2.282709528541206E-12</v>
      </c>
      <c r="BH131" s="59">
        <f t="shared" si="62"/>
        <v>293.33333333333559</v>
      </c>
      <c r="BI131" s="59">
        <f ca="1">AVERAGE(OFFSET($BH$3,0,0,'Données projet'!$E$11+1,1))-AVERAGE(OFFSET($H$3,0,0,'Données projet'!$E$11+1,1))</f>
        <v>276.78862011733338</v>
      </c>
      <c r="BJ131" s="59">
        <f t="shared" si="92"/>
        <v>202.1678469635836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-275.00000000000028</v>
      </c>
      <c r="BZ131" s="13">
        <f>BY131*VLOOKUP('Données projet'!$B$12,Paramètres!$A$1:$I$89,3,0)*VLOOKUP('Données projet'!$B$12,Paramètres!$A$1:$I$89,5,0)</f>
        <v>-214.50000000000023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286.5685205631126</v>
      </c>
      <c r="CE131" s="59">
        <f t="shared" si="94"/>
        <v>264.17357326498581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2.8421709430404007E-13</v>
      </c>
      <c r="O132" s="13">
        <f>N132*VLOOKUP('Données projet'!$B$9,Paramètres!$A$1:$I$89,3,0)*VLOOKUP('Données projet'!$B$9,Paramètres!$A$1:$I$89,5,0)</f>
        <v>2.5715962692629546E-13</v>
      </c>
      <c r="P132" s="13">
        <f t="shared" si="87"/>
        <v>3.4610450122128953E-12</v>
      </c>
      <c r="Q132" s="20">
        <f t="shared" si="108"/>
        <v>6.4758730798340893E-12</v>
      </c>
      <c r="R132" s="59">
        <f t="shared" si="109"/>
        <v>293.33333333333979</v>
      </c>
      <c r="S132" s="59">
        <f ca="1">AVERAGE(OFFSET($R$3,0,0,'Données projet'!$E$9+1,1))-AVERAGE(OFFSET($H$3,0,0,'Données projet'!$E$9+1,1))</f>
        <v>346.35147716792028</v>
      </c>
      <c r="T132" s="59">
        <f t="shared" si="88"/>
        <v>231.36959598460686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5.8609020318449217E-13</v>
      </c>
      <c r="AC132" s="22">
        <f t="shared" ref="AC132:AC153" si="111">SUM(Z132:AB132)</f>
        <v>5.8609020318449217E-13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964.00000000000023</v>
      </c>
      <c r="AJ132" s="13">
        <f>AI132*VLOOKUP('Données projet'!$B$10,Paramètres!$A$1:$I$89,3,0)*VLOOKUP('Données projet'!$B$10,Paramètres!$A$1:$I$89,5,0)</f>
        <v>576.47200000000021</v>
      </c>
      <c r="AK132" s="13">
        <f t="shared" si="89"/>
        <v>126.75809338895206</v>
      </c>
      <c r="AL132" s="20">
        <f t="shared" ref="AL132:AL153" si="112">(AJ132+AK132)*0.475*44/12</f>
        <v>1224.7924126524251</v>
      </c>
      <c r="AM132" s="59">
        <f t="shared" ref="AM132:AM195" si="113">AL132+(AD132+AE132)*44/12</f>
        <v>1518.1257459857584</v>
      </c>
      <c r="AN132" s="59">
        <f ca="1">AVERAGE(OFFSET($AM$3,0,0,'Données projet'!$E$10+1,1))-AVERAGE(OFFSET($H$3,0,0,'Données projet'!$E$10+1,1))</f>
        <v>559.94918407141222</v>
      </c>
      <c r="AO132" s="59">
        <f t="shared" si="90"/>
        <v>334.6078891555664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4.8664899802564943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2.0706482659980228E-13</v>
      </c>
      <c r="AX132" s="21">
        <f t="shared" ref="AX132:AX153" si="114">SUM(AU132:AW132)</f>
        <v>4.8664899802567012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1.7053025658242404E-13</v>
      </c>
      <c r="BE132" s="13">
        <f>BD132*VLOOKUP('Données projet'!$B$11,Paramètres!$A$1:$I$89,3,0)*VLOOKUP('Données projet'!$B$11,Paramètres!$A$1:$I$89,5,0)</f>
        <v>7.9808160080574461E-14</v>
      </c>
      <c r="BF132" s="13">
        <f t="shared" si="91"/>
        <v>1.2308384591775343E-12</v>
      </c>
      <c r="BG132" s="20">
        <f t="shared" ref="BG132:BG153" si="115">(BE132+BF132)*0.475*44/12</f>
        <v>2.282709528541206E-12</v>
      </c>
      <c r="BH132" s="59">
        <f t="shared" ref="BH132:BH195" si="116">BG132+(AY132+AZ132)*44/12</f>
        <v>293.33333333333559</v>
      </c>
      <c r="BI132" s="59">
        <f ca="1">AVERAGE(OFFSET($BH$3,0,0,'Données projet'!$E$11+1,1))-AVERAGE(OFFSET($H$3,0,0,'Données projet'!$E$11+1,1))</f>
        <v>276.78862011733338</v>
      </c>
      <c r="BJ132" s="59">
        <f t="shared" si="92"/>
        <v>202.1678469635836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-275.00000000000028</v>
      </c>
      <c r="BZ132" s="13">
        <f>BY132*VLOOKUP('Données projet'!$B$12,Paramètres!$A$1:$I$89,3,0)*VLOOKUP('Données projet'!$B$12,Paramètres!$A$1:$I$89,5,0)</f>
        <v>-214.50000000000023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286.5685205631126</v>
      </c>
      <c r="CE132" s="59">
        <f t="shared" si="94"/>
        <v>264.17357326498581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2.8421709430404007E-13</v>
      </c>
      <c r="O133" s="13">
        <f>N133*VLOOKUP('Données projet'!$B$9,Paramètres!$A$1:$I$89,3,0)*VLOOKUP('Données projet'!$B$9,Paramètres!$A$1:$I$89,5,0)</f>
        <v>2.5715962692629546E-13</v>
      </c>
      <c r="P133" s="13">
        <f t="shared" ref="P133:P196" si="141">EXP(-1.0587+0.8836*LN(O133)+0.284)</f>
        <v>3.4610450122128953E-12</v>
      </c>
      <c r="Q133" s="20">
        <f t="shared" si="108"/>
        <v>6.4758730798340893E-12</v>
      </c>
      <c r="R133" s="59">
        <f t="shared" si="109"/>
        <v>293.33333333333979</v>
      </c>
      <c r="S133" s="59">
        <f ca="1">AVERAGE(OFFSET($R$3,0,0,'Données projet'!$E$9+1,1))-AVERAGE(OFFSET($H$3,0,0,'Données projet'!$E$9+1,1))</f>
        <v>346.35147716792028</v>
      </c>
      <c r="T133" s="59">
        <f t="shared" ref="T133:T196" si="142">$T$3</f>
        <v>231.36959598460686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4.1442835705875589E-13</v>
      </c>
      <c r="AC133" s="22">
        <f t="shared" si="111"/>
        <v>4.1442835705875589E-13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964.00000000000023</v>
      </c>
      <c r="AJ133" s="13">
        <f>AI133*VLOOKUP('Données projet'!$B$10,Paramètres!$A$1:$I$89,3,0)*VLOOKUP('Données projet'!$B$10,Paramètres!$A$1:$I$89,5,0)</f>
        <v>576.47200000000021</v>
      </c>
      <c r="AK133" s="13">
        <f t="shared" ref="AK133:AK153" si="143">EXP(-1.0587+0.8836*LN(AJ133)+0.284)</f>
        <v>126.75809338895206</v>
      </c>
      <c r="AL133" s="20">
        <f t="shared" si="112"/>
        <v>1224.7924126524251</v>
      </c>
      <c r="AM133" s="59">
        <f t="shared" si="113"/>
        <v>1518.1257459857584</v>
      </c>
      <c r="AN133" s="59">
        <f ca="1">AVERAGE(OFFSET($AM$3,0,0,'Données projet'!$E$10+1,1))-AVERAGE(OFFSET($H$3,0,0,'Données projet'!$E$10+1,1))</f>
        <v>559.94918407141222</v>
      </c>
      <c r="AO133" s="59">
        <f t="shared" ref="AO133:AO196" si="144">$AO$3</f>
        <v>334.6078891555664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4.7710610800094608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1.4641694303393679E-13</v>
      </c>
      <c r="AX133" s="21">
        <f t="shared" si="114"/>
        <v>4.7710610800096074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1.7053025658242404E-13</v>
      </c>
      <c r="BE133" s="13">
        <f>BD133*VLOOKUP('Données projet'!$B$11,Paramètres!$A$1:$I$89,3,0)*VLOOKUP('Données projet'!$B$11,Paramètres!$A$1:$I$89,5,0)</f>
        <v>7.9808160080574461E-14</v>
      </c>
      <c r="BF133" s="13">
        <f t="shared" ref="BF133:BF153" si="145">EXP(-1.0587+0.8836*LN(BE133)+0.284)</f>
        <v>1.2308384591775343E-12</v>
      </c>
      <c r="BG133" s="20">
        <f t="shared" si="115"/>
        <v>2.282709528541206E-12</v>
      </c>
      <c r="BH133" s="59">
        <f t="shared" si="116"/>
        <v>293.33333333333559</v>
      </c>
      <c r="BI133" s="59">
        <f ca="1">AVERAGE(OFFSET($BH$3,0,0,'Données projet'!$E$11+1,1))-AVERAGE(OFFSET($H$3,0,0,'Données projet'!$E$11+1,1))</f>
        <v>276.78862011733338</v>
      </c>
      <c r="BJ133" s="59">
        <f t="shared" ref="BJ133:BJ196" si="146">$BJ$3</f>
        <v>202.1678469635836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-275.00000000000028</v>
      </c>
      <c r="BZ133" s="13">
        <f>BY133*VLOOKUP('Données projet'!$B$12,Paramètres!$A$1:$I$89,3,0)*VLOOKUP('Données projet'!$B$12,Paramètres!$A$1:$I$89,5,0)</f>
        <v>-214.50000000000023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286.5685205631126</v>
      </c>
      <c r="CE133" s="59">
        <f t="shared" ref="CE133:CE196" si="148">$CE$3</f>
        <v>264.17357326498581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2.8421709430404007E-13</v>
      </c>
      <c r="O134" s="13">
        <f>N134*VLOOKUP('Données projet'!$B$9,Paramètres!$A$1:$I$89,3,0)*VLOOKUP('Données projet'!$B$9,Paramètres!$A$1:$I$89,5,0)</f>
        <v>2.5715962692629546E-13</v>
      </c>
      <c r="P134" s="13">
        <f t="shared" si="141"/>
        <v>3.4610450122128953E-12</v>
      </c>
      <c r="Q134" s="20">
        <f t="shared" si="108"/>
        <v>6.4758730798340893E-12</v>
      </c>
      <c r="R134" s="59">
        <f t="shared" si="109"/>
        <v>293.33333333333979</v>
      </c>
      <c r="S134" s="59">
        <f ca="1">AVERAGE(OFFSET($R$3,0,0,'Données projet'!$E$9+1,1))-AVERAGE(OFFSET($H$3,0,0,'Données projet'!$E$9+1,1))</f>
        <v>346.35147716792028</v>
      </c>
      <c r="T134" s="59">
        <f t="shared" si="142"/>
        <v>231.36959598460686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2.9304510159224609E-13</v>
      </c>
      <c r="AC134" s="22">
        <f t="shared" si="111"/>
        <v>2.9304510159224609E-13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964.00000000000023</v>
      </c>
      <c r="AJ134" s="13">
        <f>AI134*VLOOKUP('Données projet'!$B$10,Paramètres!$A$1:$I$89,3,0)*VLOOKUP('Données projet'!$B$10,Paramètres!$A$1:$I$89,5,0)</f>
        <v>576.47200000000021</v>
      </c>
      <c r="AK134" s="13">
        <f t="shared" si="143"/>
        <v>126.75809338895206</v>
      </c>
      <c r="AL134" s="20">
        <f t="shared" si="112"/>
        <v>1224.7924126524251</v>
      </c>
      <c r="AM134" s="59">
        <f t="shared" si="113"/>
        <v>1518.1257459857584</v>
      </c>
      <c r="AN134" s="59">
        <f ca="1">AVERAGE(OFFSET($AM$3,0,0,'Données projet'!$E$10+1,1))-AVERAGE(OFFSET($H$3,0,0,'Données projet'!$E$10+1,1))</f>
        <v>559.94918407141222</v>
      </c>
      <c r="AO134" s="59">
        <f t="shared" si="144"/>
        <v>334.6078891555664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4.6775034822903896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1.0353241329990114E-13</v>
      </c>
      <c r="AX134" s="21">
        <f t="shared" si="114"/>
        <v>4.6775034822904935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1.7053025658242404E-13</v>
      </c>
      <c r="BE134" s="13">
        <f>BD134*VLOOKUP('Données projet'!$B$11,Paramètres!$A$1:$I$89,3,0)*VLOOKUP('Données projet'!$B$11,Paramètres!$A$1:$I$89,5,0)</f>
        <v>7.9808160080574461E-14</v>
      </c>
      <c r="BF134" s="13">
        <f t="shared" si="145"/>
        <v>1.2308384591775343E-12</v>
      </c>
      <c r="BG134" s="20">
        <f t="shared" si="115"/>
        <v>2.282709528541206E-12</v>
      </c>
      <c r="BH134" s="59">
        <f t="shared" si="116"/>
        <v>293.33333333333559</v>
      </c>
      <c r="BI134" s="59">
        <f ca="1">AVERAGE(OFFSET($BH$3,0,0,'Données projet'!$E$11+1,1))-AVERAGE(OFFSET($H$3,0,0,'Données projet'!$E$11+1,1))</f>
        <v>276.78862011733338</v>
      </c>
      <c r="BJ134" s="59">
        <f t="shared" si="146"/>
        <v>202.1678469635836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-275.00000000000028</v>
      </c>
      <c r="BZ134" s="13">
        <f>BY134*VLOOKUP('Données projet'!$B$12,Paramètres!$A$1:$I$89,3,0)*VLOOKUP('Données projet'!$B$12,Paramètres!$A$1:$I$89,5,0)</f>
        <v>-214.50000000000023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286.5685205631126</v>
      </c>
      <c r="CE134" s="59">
        <f t="shared" si="148"/>
        <v>264.17357326498581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2.8421709430404007E-13</v>
      </c>
      <c r="O135" s="13">
        <f>N135*VLOOKUP('Données projet'!$B$9,Paramètres!$A$1:$I$89,3,0)*VLOOKUP('Données projet'!$B$9,Paramètres!$A$1:$I$89,5,0)</f>
        <v>2.5715962692629546E-13</v>
      </c>
      <c r="P135" s="13">
        <f t="shared" si="141"/>
        <v>3.4610450122128953E-12</v>
      </c>
      <c r="Q135" s="20">
        <f t="shared" si="108"/>
        <v>6.4758730798340893E-12</v>
      </c>
      <c r="R135" s="59">
        <f t="shared" si="109"/>
        <v>293.33333333333979</v>
      </c>
      <c r="S135" s="59">
        <f ca="1">AVERAGE(OFFSET($R$3,0,0,'Données projet'!$E$9+1,1))-AVERAGE(OFFSET($H$3,0,0,'Données projet'!$E$9+1,1))</f>
        <v>346.35147716792028</v>
      </c>
      <c r="T135" s="59">
        <f t="shared" si="142"/>
        <v>231.36959598460686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2.0721417852937795E-13</v>
      </c>
      <c r="AC135" s="22">
        <f t="shared" si="111"/>
        <v>2.0721417852937795E-13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964.00000000000023</v>
      </c>
      <c r="AJ135" s="13">
        <f>AI135*VLOOKUP('Données projet'!$B$10,Paramètres!$A$1:$I$89,3,0)*VLOOKUP('Données projet'!$B$10,Paramètres!$A$1:$I$89,5,0)</f>
        <v>576.47200000000021</v>
      </c>
      <c r="AK135" s="13">
        <f t="shared" si="143"/>
        <v>126.75809338895206</v>
      </c>
      <c r="AL135" s="20">
        <f t="shared" si="112"/>
        <v>1224.7924126524251</v>
      </c>
      <c r="AM135" s="59">
        <f t="shared" si="113"/>
        <v>1518.1257459857584</v>
      </c>
      <c r="AN135" s="59">
        <f ca="1">AVERAGE(OFFSET($AM$3,0,0,'Données projet'!$E$10+1,1))-AVERAGE(OFFSET($H$3,0,0,'Données projet'!$E$10+1,1))</f>
        <v>559.94918407141222</v>
      </c>
      <c r="AO135" s="59">
        <f t="shared" si="144"/>
        <v>334.6078891555664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4.5857804919980891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7.3208471516968397E-14</v>
      </c>
      <c r="AX135" s="21">
        <f t="shared" si="114"/>
        <v>4.585780491998162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1.7053025658242404E-13</v>
      </c>
      <c r="BE135" s="13">
        <f>BD135*VLOOKUP('Données projet'!$B$11,Paramètres!$A$1:$I$89,3,0)*VLOOKUP('Données projet'!$B$11,Paramètres!$A$1:$I$89,5,0)</f>
        <v>7.9808160080574461E-14</v>
      </c>
      <c r="BF135" s="13">
        <f t="shared" si="145"/>
        <v>1.2308384591775343E-12</v>
      </c>
      <c r="BG135" s="20">
        <f t="shared" si="115"/>
        <v>2.282709528541206E-12</v>
      </c>
      <c r="BH135" s="59">
        <f t="shared" si="116"/>
        <v>293.33333333333559</v>
      </c>
      <c r="BI135" s="59">
        <f ca="1">AVERAGE(OFFSET($BH$3,0,0,'Données projet'!$E$11+1,1))-AVERAGE(OFFSET($H$3,0,0,'Données projet'!$E$11+1,1))</f>
        <v>276.78862011733338</v>
      </c>
      <c r="BJ135" s="59">
        <f t="shared" si="146"/>
        <v>202.1678469635836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-275.00000000000028</v>
      </c>
      <c r="BZ135" s="13">
        <f>BY135*VLOOKUP('Données projet'!$B$12,Paramètres!$A$1:$I$89,3,0)*VLOOKUP('Données projet'!$B$12,Paramètres!$A$1:$I$89,5,0)</f>
        <v>-214.50000000000023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286.5685205631126</v>
      </c>
      <c r="CE135" s="59">
        <f t="shared" si="148"/>
        <v>264.17357326498581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2.8421709430404007E-13</v>
      </c>
      <c r="O136" s="13">
        <f>N136*VLOOKUP('Données projet'!$B$9,Paramètres!$A$1:$I$89,3,0)*VLOOKUP('Données projet'!$B$9,Paramètres!$A$1:$I$89,5,0)</f>
        <v>2.5715962692629546E-13</v>
      </c>
      <c r="P136" s="13">
        <f t="shared" si="141"/>
        <v>3.4610450122128953E-12</v>
      </c>
      <c r="Q136" s="20">
        <f t="shared" si="108"/>
        <v>6.4758730798340893E-12</v>
      </c>
      <c r="R136" s="59">
        <f t="shared" si="109"/>
        <v>293.33333333333979</v>
      </c>
      <c r="S136" s="59">
        <f ca="1">AVERAGE(OFFSET($R$3,0,0,'Données projet'!$E$9+1,1))-AVERAGE(OFFSET($H$3,0,0,'Données projet'!$E$9+1,1))</f>
        <v>346.35147716792028</v>
      </c>
      <c r="T136" s="59">
        <f t="shared" si="142"/>
        <v>231.36959598460686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1.4652255079612304E-13</v>
      </c>
      <c r="AC136" s="22">
        <f t="shared" si="111"/>
        <v>1.4652255079612304E-13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964.00000000000023</v>
      </c>
      <c r="AJ136" s="13">
        <f>AI136*VLOOKUP('Données projet'!$B$10,Paramètres!$A$1:$I$89,3,0)*VLOOKUP('Données projet'!$B$10,Paramètres!$A$1:$I$89,5,0)</f>
        <v>576.47200000000021</v>
      </c>
      <c r="AK136" s="13">
        <f t="shared" si="143"/>
        <v>126.75809338895206</v>
      </c>
      <c r="AL136" s="20">
        <f t="shared" si="112"/>
        <v>1224.7924126524251</v>
      </c>
      <c r="AM136" s="59">
        <f t="shared" si="113"/>
        <v>1518.1257459857584</v>
      </c>
      <c r="AN136" s="59">
        <f ca="1">AVERAGE(OFFSET($AM$3,0,0,'Données projet'!$E$10+1,1))-AVERAGE(OFFSET($H$3,0,0,'Données projet'!$E$10+1,1))</f>
        <v>559.94918407141222</v>
      </c>
      <c r="AO136" s="59">
        <f t="shared" si="144"/>
        <v>334.6078891555664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4.4958561335999212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5.176620664995057E-14</v>
      </c>
      <c r="AX136" s="21">
        <f t="shared" si="114"/>
        <v>4.4958561335999727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1.7053025658242404E-13</v>
      </c>
      <c r="BE136" s="13">
        <f>BD136*VLOOKUP('Données projet'!$B$11,Paramètres!$A$1:$I$89,3,0)*VLOOKUP('Données projet'!$B$11,Paramètres!$A$1:$I$89,5,0)</f>
        <v>7.9808160080574461E-14</v>
      </c>
      <c r="BF136" s="13">
        <f t="shared" si="145"/>
        <v>1.2308384591775343E-12</v>
      </c>
      <c r="BG136" s="20">
        <f t="shared" si="115"/>
        <v>2.282709528541206E-12</v>
      </c>
      <c r="BH136" s="59">
        <f t="shared" si="116"/>
        <v>293.33333333333559</v>
      </c>
      <c r="BI136" s="59">
        <f ca="1">AVERAGE(OFFSET($BH$3,0,0,'Données projet'!$E$11+1,1))-AVERAGE(OFFSET($H$3,0,0,'Données projet'!$E$11+1,1))</f>
        <v>276.78862011733338</v>
      </c>
      <c r="BJ136" s="59">
        <f t="shared" si="146"/>
        <v>202.1678469635836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-275.00000000000028</v>
      </c>
      <c r="BZ136" s="13">
        <f>BY136*VLOOKUP('Données projet'!$B$12,Paramètres!$A$1:$I$89,3,0)*VLOOKUP('Données projet'!$B$12,Paramètres!$A$1:$I$89,5,0)</f>
        <v>-214.50000000000023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286.5685205631126</v>
      </c>
      <c r="CE136" s="59">
        <f t="shared" si="148"/>
        <v>264.17357326498581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2.8421709430404007E-13</v>
      </c>
      <c r="O137" s="13">
        <f>N137*VLOOKUP('Données projet'!$B$9,Paramètres!$A$1:$I$89,3,0)*VLOOKUP('Données projet'!$B$9,Paramètres!$A$1:$I$89,5,0)</f>
        <v>2.5715962692629546E-13</v>
      </c>
      <c r="P137" s="13">
        <f t="shared" si="141"/>
        <v>3.4610450122128953E-12</v>
      </c>
      <c r="Q137" s="20">
        <f t="shared" si="108"/>
        <v>6.4758730798340893E-12</v>
      </c>
      <c r="R137" s="59">
        <f t="shared" si="109"/>
        <v>293.33333333333979</v>
      </c>
      <c r="S137" s="59">
        <f ca="1">AVERAGE(OFFSET($R$3,0,0,'Données projet'!$E$9+1,1))-AVERAGE(OFFSET($H$3,0,0,'Données projet'!$E$9+1,1))</f>
        <v>346.35147716792028</v>
      </c>
      <c r="T137" s="59">
        <f t="shared" si="142"/>
        <v>231.36959598460686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1.0360708926468897E-13</v>
      </c>
      <c r="AC137" s="22">
        <f t="shared" si="111"/>
        <v>1.0360708926468897E-13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964.00000000000023</v>
      </c>
      <c r="AJ137" s="13">
        <f>AI137*VLOOKUP('Données projet'!$B$10,Paramètres!$A$1:$I$89,3,0)*VLOOKUP('Données projet'!$B$10,Paramètres!$A$1:$I$89,5,0)</f>
        <v>576.47200000000021</v>
      </c>
      <c r="AK137" s="13">
        <f t="shared" si="143"/>
        <v>126.75809338895206</v>
      </c>
      <c r="AL137" s="20">
        <f t="shared" si="112"/>
        <v>1224.7924126524251</v>
      </c>
      <c r="AM137" s="59">
        <f t="shared" si="113"/>
        <v>1518.1257459857584</v>
      </c>
      <c r="AN137" s="59">
        <f ca="1">AVERAGE(OFFSET($AM$3,0,0,'Données projet'!$E$10+1,1))-AVERAGE(OFFSET($H$3,0,0,'Données projet'!$E$10+1,1))</f>
        <v>559.94918407141222</v>
      </c>
      <c r="AO137" s="59">
        <f t="shared" si="144"/>
        <v>334.6078891555664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4.4076951370214985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3.6604235758484198E-14</v>
      </c>
      <c r="AX137" s="21">
        <f t="shared" si="114"/>
        <v>4.4076951370215349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1.7053025658242404E-13</v>
      </c>
      <c r="BE137" s="13">
        <f>BD137*VLOOKUP('Données projet'!$B$11,Paramètres!$A$1:$I$89,3,0)*VLOOKUP('Données projet'!$B$11,Paramètres!$A$1:$I$89,5,0)</f>
        <v>7.9808160080574461E-14</v>
      </c>
      <c r="BF137" s="13">
        <f t="shared" si="145"/>
        <v>1.2308384591775343E-12</v>
      </c>
      <c r="BG137" s="20">
        <f t="shared" si="115"/>
        <v>2.282709528541206E-12</v>
      </c>
      <c r="BH137" s="59">
        <f t="shared" si="116"/>
        <v>293.33333333333559</v>
      </c>
      <c r="BI137" s="59">
        <f ca="1">AVERAGE(OFFSET($BH$3,0,0,'Données projet'!$E$11+1,1))-AVERAGE(OFFSET($H$3,0,0,'Données projet'!$E$11+1,1))</f>
        <v>276.78862011733338</v>
      </c>
      <c r="BJ137" s="59">
        <f t="shared" si="146"/>
        <v>202.1678469635836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-275.00000000000028</v>
      </c>
      <c r="BZ137" s="13">
        <f>BY137*VLOOKUP('Données projet'!$B$12,Paramètres!$A$1:$I$89,3,0)*VLOOKUP('Données projet'!$B$12,Paramètres!$A$1:$I$89,5,0)</f>
        <v>-214.50000000000023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286.5685205631126</v>
      </c>
      <c r="CE137" s="59">
        <f t="shared" si="148"/>
        <v>264.17357326498581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2.8421709430404007E-13</v>
      </c>
      <c r="O138" s="13">
        <f>N138*VLOOKUP('Données projet'!$B$9,Paramètres!$A$1:$I$89,3,0)*VLOOKUP('Données projet'!$B$9,Paramètres!$A$1:$I$89,5,0)</f>
        <v>2.5715962692629546E-13</v>
      </c>
      <c r="P138" s="13">
        <f t="shared" si="141"/>
        <v>3.4610450122128953E-12</v>
      </c>
      <c r="Q138" s="20">
        <f t="shared" si="108"/>
        <v>6.4758730798340893E-12</v>
      </c>
      <c r="R138" s="59">
        <f t="shared" si="109"/>
        <v>293.33333333333979</v>
      </c>
      <c r="S138" s="59">
        <f ca="1">AVERAGE(OFFSET($R$3,0,0,'Données projet'!$E$9+1,1))-AVERAGE(OFFSET($H$3,0,0,'Données projet'!$E$9+1,1))</f>
        <v>346.35147716792028</v>
      </c>
      <c r="T138" s="59">
        <f t="shared" si="142"/>
        <v>231.36959598460686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7.3261275398061522E-14</v>
      </c>
      <c r="AC138" s="22">
        <f t="shared" si="111"/>
        <v>7.3261275398061522E-14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964.00000000000023</v>
      </c>
      <c r="AJ138" s="13">
        <f>AI138*VLOOKUP('Données projet'!$B$10,Paramètres!$A$1:$I$89,3,0)*VLOOKUP('Données projet'!$B$10,Paramètres!$A$1:$I$89,5,0)</f>
        <v>576.47200000000021</v>
      </c>
      <c r="AK138" s="13">
        <f t="shared" si="143"/>
        <v>126.75809338895206</v>
      </c>
      <c r="AL138" s="20">
        <f t="shared" si="112"/>
        <v>1224.7924126524251</v>
      </c>
      <c r="AM138" s="59">
        <f t="shared" si="113"/>
        <v>1518.1257459857584</v>
      </c>
      <c r="AN138" s="59">
        <f ca="1">AVERAGE(OFFSET($AM$3,0,0,'Données projet'!$E$10+1,1))-AVERAGE(OFFSET($H$3,0,0,'Données projet'!$E$10+1,1))</f>
        <v>559.94918407141222</v>
      </c>
      <c r="AO138" s="59">
        <f t="shared" si="144"/>
        <v>334.6078891555664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4.3212629238130802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2.5883103324975285E-14</v>
      </c>
      <c r="AX138" s="21">
        <f t="shared" si="114"/>
        <v>4.3212629238131059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1.7053025658242404E-13</v>
      </c>
      <c r="BE138" s="13">
        <f>BD138*VLOOKUP('Données projet'!$B$11,Paramètres!$A$1:$I$89,3,0)*VLOOKUP('Données projet'!$B$11,Paramètres!$A$1:$I$89,5,0)</f>
        <v>7.9808160080574461E-14</v>
      </c>
      <c r="BF138" s="13">
        <f t="shared" si="145"/>
        <v>1.2308384591775343E-12</v>
      </c>
      <c r="BG138" s="20">
        <f t="shared" si="115"/>
        <v>2.282709528541206E-12</v>
      </c>
      <c r="BH138" s="59">
        <f t="shared" si="116"/>
        <v>293.33333333333559</v>
      </c>
      <c r="BI138" s="59">
        <f ca="1">AVERAGE(OFFSET($BH$3,0,0,'Données projet'!$E$11+1,1))-AVERAGE(OFFSET($H$3,0,0,'Données projet'!$E$11+1,1))</f>
        <v>276.78862011733338</v>
      </c>
      <c r="BJ138" s="59">
        <f t="shared" si="146"/>
        <v>202.1678469635836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-275.00000000000028</v>
      </c>
      <c r="BZ138" s="13">
        <f>BY138*VLOOKUP('Données projet'!$B$12,Paramètres!$A$1:$I$89,3,0)*VLOOKUP('Données projet'!$B$12,Paramètres!$A$1:$I$89,5,0)</f>
        <v>-214.50000000000023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286.5685205631126</v>
      </c>
      <c r="CE138" s="59">
        <f t="shared" si="148"/>
        <v>264.17357326498581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2.8421709430404007E-13</v>
      </c>
      <c r="O139" s="13">
        <f>N139*VLOOKUP('Données projet'!$B$9,Paramètres!$A$1:$I$89,3,0)*VLOOKUP('Données projet'!$B$9,Paramètres!$A$1:$I$89,5,0)</f>
        <v>2.5715962692629546E-13</v>
      </c>
      <c r="P139" s="13">
        <f t="shared" si="141"/>
        <v>3.4610450122128953E-12</v>
      </c>
      <c r="Q139" s="20">
        <f t="shared" si="108"/>
        <v>6.4758730798340893E-12</v>
      </c>
      <c r="R139" s="59">
        <f t="shared" si="109"/>
        <v>293.33333333333979</v>
      </c>
      <c r="S139" s="59">
        <f ca="1">AVERAGE(OFFSET($R$3,0,0,'Données projet'!$E$9+1,1))-AVERAGE(OFFSET($H$3,0,0,'Données projet'!$E$9+1,1))</f>
        <v>346.35147716792028</v>
      </c>
      <c r="T139" s="59">
        <f t="shared" si="142"/>
        <v>231.36959598460686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5.1803544632344487E-14</v>
      </c>
      <c r="AC139" s="22">
        <f t="shared" si="111"/>
        <v>5.1803544632344487E-14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964.00000000000023</v>
      </c>
      <c r="AJ139" s="13">
        <f>AI139*VLOOKUP('Données projet'!$B$10,Paramètres!$A$1:$I$89,3,0)*VLOOKUP('Données projet'!$B$10,Paramètres!$A$1:$I$89,5,0)</f>
        <v>576.47200000000021</v>
      </c>
      <c r="AK139" s="13">
        <f t="shared" si="143"/>
        <v>126.75809338895206</v>
      </c>
      <c r="AL139" s="20">
        <f t="shared" si="112"/>
        <v>1224.7924126524251</v>
      </c>
      <c r="AM139" s="59">
        <f t="shared" si="113"/>
        <v>1518.1257459857584</v>
      </c>
      <c r="AN139" s="59">
        <f ca="1">AVERAGE(OFFSET($AM$3,0,0,'Données projet'!$E$10+1,1))-AVERAGE(OFFSET($H$3,0,0,'Données projet'!$E$10+1,1))</f>
        <v>559.94918407141222</v>
      </c>
      <c r="AO139" s="59">
        <f t="shared" si="144"/>
        <v>334.6078891555664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4.2365255935872348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1.8302117879242099E-14</v>
      </c>
      <c r="AX139" s="21">
        <f t="shared" si="114"/>
        <v>4.2365255935872534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1.7053025658242404E-13</v>
      </c>
      <c r="BE139" s="13">
        <f>BD139*VLOOKUP('Données projet'!$B$11,Paramètres!$A$1:$I$89,3,0)*VLOOKUP('Données projet'!$B$11,Paramètres!$A$1:$I$89,5,0)</f>
        <v>7.9808160080574461E-14</v>
      </c>
      <c r="BF139" s="13">
        <f t="shared" si="145"/>
        <v>1.2308384591775343E-12</v>
      </c>
      <c r="BG139" s="20">
        <f t="shared" si="115"/>
        <v>2.282709528541206E-12</v>
      </c>
      <c r="BH139" s="59">
        <f t="shared" si="116"/>
        <v>293.33333333333559</v>
      </c>
      <c r="BI139" s="59">
        <f ca="1">AVERAGE(OFFSET($BH$3,0,0,'Données projet'!$E$11+1,1))-AVERAGE(OFFSET($H$3,0,0,'Données projet'!$E$11+1,1))</f>
        <v>276.78862011733338</v>
      </c>
      <c r="BJ139" s="59">
        <f t="shared" si="146"/>
        <v>202.1678469635836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-275.00000000000028</v>
      </c>
      <c r="BZ139" s="13">
        <f>BY139*VLOOKUP('Données projet'!$B$12,Paramètres!$A$1:$I$89,3,0)*VLOOKUP('Données projet'!$B$12,Paramètres!$A$1:$I$89,5,0)</f>
        <v>-214.50000000000023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286.5685205631126</v>
      </c>
      <c r="CE139" s="59">
        <f t="shared" si="148"/>
        <v>264.17357326498581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2.8421709430404007E-13</v>
      </c>
      <c r="O140" s="13">
        <f>N140*VLOOKUP('Données projet'!$B$9,Paramètres!$A$1:$I$89,3,0)*VLOOKUP('Données projet'!$B$9,Paramètres!$A$1:$I$89,5,0)</f>
        <v>2.5715962692629546E-13</v>
      </c>
      <c r="P140" s="13">
        <f t="shared" si="141"/>
        <v>3.4610450122128953E-12</v>
      </c>
      <c r="Q140" s="20">
        <f t="shared" si="108"/>
        <v>6.4758730798340893E-12</v>
      </c>
      <c r="R140" s="59">
        <f t="shared" si="109"/>
        <v>293.33333333333979</v>
      </c>
      <c r="S140" s="59">
        <f ca="1">AVERAGE(OFFSET($R$3,0,0,'Données projet'!$E$9+1,1))-AVERAGE(OFFSET($H$3,0,0,'Données projet'!$E$9+1,1))</f>
        <v>346.35147716792028</v>
      </c>
      <c r="T140" s="59">
        <f t="shared" si="142"/>
        <v>231.36959598460686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3.6630637699030761E-14</v>
      </c>
      <c r="AC140" s="22">
        <f t="shared" si="111"/>
        <v>3.6630637699030761E-14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964.00000000000023</v>
      </c>
      <c r="AJ140" s="13">
        <f>AI140*VLOOKUP('Données projet'!$B$10,Paramètres!$A$1:$I$89,3,0)*VLOOKUP('Données projet'!$B$10,Paramètres!$A$1:$I$89,5,0)</f>
        <v>576.47200000000021</v>
      </c>
      <c r="AK140" s="13">
        <f t="shared" si="143"/>
        <v>126.75809338895206</v>
      </c>
      <c r="AL140" s="20">
        <f t="shared" si="112"/>
        <v>1224.7924126524251</v>
      </c>
      <c r="AM140" s="59">
        <f t="shared" si="113"/>
        <v>1518.1257459857584</v>
      </c>
      <c r="AN140" s="59">
        <f ca="1">AVERAGE(OFFSET($AM$3,0,0,'Données projet'!$E$10+1,1))-AVERAGE(OFFSET($H$3,0,0,'Données projet'!$E$10+1,1))</f>
        <v>559.94918407141222</v>
      </c>
      <c r="AO140" s="59">
        <f t="shared" si="144"/>
        <v>334.6078891555664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4.1534499107224496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1.2941551662487642E-14</v>
      </c>
      <c r="AX140" s="21">
        <f t="shared" si="114"/>
        <v>4.1534499107224629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1.7053025658242404E-13</v>
      </c>
      <c r="BE140" s="13">
        <f>BD140*VLOOKUP('Données projet'!$B$11,Paramètres!$A$1:$I$89,3,0)*VLOOKUP('Données projet'!$B$11,Paramètres!$A$1:$I$89,5,0)</f>
        <v>7.9808160080574461E-14</v>
      </c>
      <c r="BF140" s="13">
        <f t="shared" si="145"/>
        <v>1.2308384591775343E-12</v>
      </c>
      <c r="BG140" s="20">
        <f t="shared" si="115"/>
        <v>2.282709528541206E-12</v>
      </c>
      <c r="BH140" s="59">
        <f t="shared" si="116"/>
        <v>293.33333333333559</v>
      </c>
      <c r="BI140" s="59">
        <f ca="1">AVERAGE(OFFSET($BH$3,0,0,'Données projet'!$E$11+1,1))-AVERAGE(OFFSET($H$3,0,0,'Données projet'!$E$11+1,1))</f>
        <v>276.78862011733338</v>
      </c>
      <c r="BJ140" s="59">
        <f t="shared" si="146"/>
        <v>202.1678469635836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-275.00000000000028</v>
      </c>
      <c r="BZ140" s="13">
        <f>BY140*VLOOKUP('Données projet'!$B$12,Paramètres!$A$1:$I$89,3,0)*VLOOKUP('Données projet'!$B$12,Paramètres!$A$1:$I$89,5,0)</f>
        <v>-214.50000000000023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286.5685205631126</v>
      </c>
      <c r="CE140" s="59">
        <f t="shared" si="148"/>
        <v>264.17357326498581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2.8421709430404007E-13</v>
      </c>
      <c r="O141" s="13">
        <f>N141*VLOOKUP('Données projet'!$B$9,Paramètres!$A$1:$I$89,3,0)*VLOOKUP('Données projet'!$B$9,Paramètres!$A$1:$I$89,5,0)</f>
        <v>2.5715962692629546E-13</v>
      </c>
      <c r="P141" s="13">
        <f t="shared" si="141"/>
        <v>3.4610450122128953E-12</v>
      </c>
      <c r="Q141" s="20">
        <f t="shared" si="108"/>
        <v>6.4758730798340893E-12</v>
      </c>
      <c r="R141" s="59">
        <f t="shared" si="109"/>
        <v>293.33333333333979</v>
      </c>
      <c r="S141" s="59">
        <f ca="1">AVERAGE(OFFSET($R$3,0,0,'Données projet'!$E$9+1,1))-AVERAGE(OFFSET($H$3,0,0,'Données projet'!$E$9+1,1))</f>
        <v>346.35147716792028</v>
      </c>
      <c r="T141" s="59">
        <f t="shared" si="142"/>
        <v>231.36959598460686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2.5901772316172243E-14</v>
      </c>
      <c r="AC141" s="22">
        <f t="shared" si="111"/>
        <v>2.5901772316172243E-14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964.00000000000023</v>
      </c>
      <c r="AJ141" s="13">
        <f>AI141*VLOOKUP('Données projet'!$B$10,Paramètres!$A$1:$I$89,3,0)*VLOOKUP('Données projet'!$B$10,Paramètres!$A$1:$I$89,5,0)</f>
        <v>576.47200000000021</v>
      </c>
      <c r="AK141" s="13">
        <f t="shared" si="143"/>
        <v>126.75809338895206</v>
      </c>
      <c r="AL141" s="20">
        <f t="shared" si="112"/>
        <v>1224.7924126524251</v>
      </c>
      <c r="AM141" s="59">
        <f t="shared" si="113"/>
        <v>1518.1257459857584</v>
      </c>
      <c r="AN141" s="59">
        <f ca="1">AVERAGE(OFFSET($AM$3,0,0,'Données projet'!$E$10+1,1))-AVERAGE(OFFSET($H$3,0,0,'Données projet'!$E$10+1,1))</f>
        <v>559.94918407141222</v>
      </c>
      <c r="AO141" s="59">
        <f t="shared" si="144"/>
        <v>334.6078891555664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4.07200329132748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9.1510589396210496E-15</v>
      </c>
      <c r="AX141" s="21">
        <f t="shared" si="114"/>
        <v>4.0720032913274888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1.7053025658242404E-13</v>
      </c>
      <c r="BE141" s="13">
        <f>BD141*VLOOKUP('Données projet'!$B$11,Paramètres!$A$1:$I$89,3,0)*VLOOKUP('Données projet'!$B$11,Paramètres!$A$1:$I$89,5,0)</f>
        <v>7.9808160080574461E-14</v>
      </c>
      <c r="BF141" s="13">
        <f t="shared" si="145"/>
        <v>1.2308384591775343E-12</v>
      </c>
      <c r="BG141" s="20">
        <f t="shared" si="115"/>
        <v>2.282709528541206E-12</v>
      </c>
      <c r="BH141" s="59">
        <f t="shared" si="116"/>
        <v>293.33333333333559</v>
      </c>
      <c r="BI141" s="59">
        <f ca="1">AVERAGE(OFFSET($BH$3,0,0,'Données projet'!$E$11+1,1))-AVERAGE(OFFSET($H$3,0,0,'Données projet'!$E$11+1,1))</f>
        <v>276.78862011733338</v>
      </c>
      <c r="BJ141" s="59">
        <f t="shared" si="146"/>
        <v>202.1678469635836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-275.00000000000028</v>
      </c>
      <c r="BZ141" s="13">
        <f>BY141*VLOOKUP('Données projet'!$B$12,Paramètres!$A$1:$I$89,3,0)*VLOOKUP('Données projet'!$B$12,Paramètres!$A$1:$I$89,5,0)</f>
        <v>-214.50000000000023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286.5685205631126</v>
      </c>
      <c r="CE141" s="59">
        <f t="shared" si="148"/>
        <v>264.17357326498581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2.8421709430404007E-13</v>
      </c>
      <c r="O142" s="13">
        <f>N142*VLOOKUP('Données projet'!$B$9,Paramètres!$A$1:$I$89,3,0)*VLOOKUP('Données projet'!$B$9,Paramètres!$A$1:$I$89,5,0)</f>
        <v>2.5715962692629546E-13</v>
      </c>
      <c r="P142" s="13">
        <f t="shared" si="141"/>
        <v>3.4610450122128953E-12</v>
      </c>
      <c r="Q142" s="20">
        <f t="shared" si="108"/>
        <v>6.4758730798340893E-12</v>
      </c>
      <c r="R142" s="59">
        <f t="shared" si="109"/>
        <v>293.33333333333979</v>
      </c>
      <c r="S142" s="59">
        <f ca="1">AVERAGE(OFFSET($R$3,0,0,'Données projet'!$E$9+1,1))-AVERAGE(OFFSET($H$3,0,0,'Données projet'!$E$9+1,1))</f>
        <v>346.35147716792028</v>
      </c>
      <c r="T142" s="59">
        <f t="shared" si="142"/>
        <v>231.36959598460686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1.831531884951538E-14</v>
      </c>
      <c r="AC142" s="22">
        <f t="shared" si="111"/>
        <v>1.831531884951538E-14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964.00000000000023</v>
      </c>
      <c r="AJ142" s="13">
        <f>AI142*VLOOKUP('Données projet'!$B$10,Paramètres!$A$1:$I$89,3,0)*VLOOKUP('Données projet'!$B$10,Paramètres!$A$1:$I$89,5,0)</f>
        <v>576.47200000000021</v>
      </c>
      <c r="AK142" s="13">
        <f t="shared" si="143"/>
        <v>126.75809338895206</v>
      </c>
      <c r="AL142" s="20">
        <f t="shared" si="112"/>
        <v>1224.7924126524251</v>
      </c>
      <c r="AM142" s="59">
        <f t="shared" si="113"/>
        <v>1518.1257459857584</v>
      </c>
      <c r="AN142" s="59">
        <f ca="1">AVERAGE(OFFSET($AM$3,0,0,'Données projet'!$E$10+1,1))-AVERAGE(OFFSET($H$3,0,0,'Données projet'!$E$10+1,1))</f>
        <v>559.94918407141222</v>
      </c>
      <c r="AO142" s="59">
        <f t="shared" si="144"/>
        <v>334.6078891555664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3.9921537904613129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6.4707758312438212E-15</v>
      </c>
      <c r="AX142" s="21">
        <f t="shared" si="114"/>
        <v>3.9921537904613196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1.7053025658242404E-13</v>
      </c>
      <c r="BE142" s="13">
        <f>BD142*VLOOKUP('Données projet'!$B$11,Paramètres!$A$1:$I$89,3,0)*VLOOKUP('Données projet'!$B$11,Paramètres!$A$1:$I$89,5,0)</f>
        <v>7.9808160080574461E-14</v>
      </c>
      <c r="BF142" s="13">
        <f t="shared" si="145"/>
        <v>1.2308384591775343E-12</v>
      </c>
      <c r="BG142" s="20">
        <f t="shared" si="115"/>
        <v>2.282709528541206E-12</v>
      </c>
      <c r="BH142" s="59">
        <f t="shared" si="116"/>
        <v>293.33333333333559</v>
      </c>
      <c r="BI142" s="59">
        <f ca="1">AVERAGE(OFFSET($BH$3,0,0,'Données projet'!$E$11+1,1))-AVERAGE(OFFSET($H$3,0,0,'Données projet'!$E$11+1,1))</f>
        <v>276.78862011733338</v>
      </c>
      <c r="BJ142" s="59">
        <f t="shared" si="146"/>
        <v>202.1678469635836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-275.00000000000028</v>
      </c>
      <c r="BZ142" s="13">
        <f>BY142*VLOOKUP('Données projet'!$B$12,Paramètres!$A$1:$I$89,3,0)*VLOOKUP('Données projet'!$B$12,Paramètres!$A$1:$I$89,5,0)</f>
        <v>-214.50000000000023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286.5685205631126</v>
      </c>
      <c r="CE142" s="59">
        <f t="shared" si="148"/>
        <v>264.17357326498581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2.8421709430404007E-13</v>
      </c>
      <c r="O143" s="13">
        <f>N143*VLOOKUP('Données projet'!$B$9,Paramètres!$A$1:$I$89,3,0)*VLOOKUP('Données projet'!$B$9,Paramètres!$A$1:$I$89,5,0)</f>
        <v>2.5715962692629546E-13</v>
      </c>
      <c r="P143" s="13">
        <f t="shared" si="141"/>
        <v>3.4610450122128953E-12</v>
      </c>
      <c r="Q143" s="20">
        <f t="shared" si="108"/>
        <v>6.4758730798340893E-12</v>
      </c>
      <c r="R143" s="59">
        <f t="shared" si="109"/>
        <v>293.33333333333979</v>
      </c>
      <c r="S143" s="59">
        <f ca="1">AVERAGE(OFFSET($R$3,0,0,'Données projet'!$E$9+1,1))-AVERAGE(OFFSET($H$3,0,0,'Données projet'!$E$9+1,1))</f>
        <v>346.35147716792028</v>
      </c>
      <c r="T143" s="59">
        <f t="shared" si="142"/>
        <v>231.36959598460686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1.2950886158086122E-14</v>
      </c>
      <c r="AC143" s="22">
        <f t="shared" si="111"/>
        <v>1.2950886158086122E-14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964.00000000000023</v>
      </c>
      <c r="AJ143" s="13">
        <f>AI143*VLOOKUP('Données projet'!$B$10,Paramètres!$A$1:$I$89,3,0)*VLOOKUP('Données projet'!$B$10,Paramètres!$A$1:$I$89,5,0)</f>
        <v>576.47200000000021</v>
      </c>
      <c r="AK143" s="13">
        <f t="shared" si="143"/>
        <v>126.75809338895206</v>
      </c>
      <c r="AL143" s="20">
        <f t="shared" si="112"/>
        <v>1224.7924126524251</v>
      </c>
      <c r="AM143" s="59">
        <f t="shared" si="113"/>
        <v>1518.1257459857584</v>
      </c>
      <c r="AN143" s="59">
        <f ca="1">AVERAGE(OFFSET($AM$3,0,0,'Données projet'!$E$10+1,1))-AVERAGE(OFFSET($H$3,0,0,'Données projet'!$E$10+1,1))</f>
        <v>559.94918407141222</v>
      </c>
      <c r="AO143" s="59">
        <f t="shared" si="144"/>
        <v>334.6078891555664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3.9138700896037451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4.5755294698105248E-15</v>
      </c>
      <c r="AX143" s="21">
        <f t="shared" si="114"/>
        <v>3.9138700896037495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1.7053025658242404E-13</v>
      </c>
      <c r="BE143" s="13">
        <f>BD143*VLOOKUP('Données projet'!$B$11,Paramètres!$A$1:$I$89,3,0)*VLOOKUP('Données projet'!$B$11,Paramètres!$A$1:$I$89,5,0)</f>
        <v>7.9808160080574461E-14</v>
      </c>
      <c r="BF143" s="13">
        <f t="shared" si="145"/>
        <v>1.2308384591775343E-12</v>
      </c>
      <c r="BG143" s="20">
        <f t="shared" si="115"/>
        <v>2.282709528541206E-12</v>
      </c>
      <c r="BH143" s="59">
        <f t="shared" si="116"/>
        <v>293.33333333333559</v>
      </c>
      <c r="BI143" s="59">
        <f ca="1">AVERAGE(OFFSET($BH$3,0,0,'Données projet'!$E$11+1,1))-AVERAGE(OFFSET($H$3,0,0,'Données projet'!$E$11+1,1))</f>
        <v>276.78862011733338</v>
      </c>
      <c r="BJ143" s="59">
        <f t="shared" si="146"/>
        <v>202.1678469635836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-275.00000000000028</v>
      </c>
      <c r="BZ143" s="13">
        <f>BY143*VLOOKUP('Données projet'!$B$12,Paramètres!$A$1:$I$89,3,0)*VLOOKUP('Données projet'!$B$12,Paramètres!$A$1:$I$89,5,0)</f>
        <v>-214.50000000000023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286.5685205631126</v>
      </c>
      <c r="CE143" s="59">
        <f t="shared" si="148"/>
        <v>264.17357326498581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2.8421709430404007E-13</v>
      </c>
      <c r="O144" s="13">
        <f>N144*VLOOKUP('Données projet'!$B$9,Paramètres!$A$1:$I$89,3,0)*VLOOKUP('Données projet'!$B$9,Paramètres!$A$1:$I$89,5,0)</f>
        <v>2.5715962692629546E-13</v>
      </c>
      <c r="P144" s="13">
        <f t="shared" si="141"/>
        <v>3.4610450122128953E-12</v>
      </c>
      <c r="Q144" s="20">
        <f t="shared" si="108"/>
        <v>6.4758730798340893E-12</v>
      </c>
      <c r="R144" s="59">
        <f t="shared" si="109"/>
        <v>293.33333333333979</v>
      </c>
      <c r="S144" s="59">
        <f ca="1">AVERAGE(OFFSET($R$3,0,0,'Données projet'!$E$9+1,1))-AVERAGE(OFFSET($H$3,0,0,'Données projet'!$E$9+1,1))</f>
        <v>346.35147716792028</v>
      </c>
      <c r="T144" s="59">
        <f t="shared" si="142"/>
        <v>231.36959598460686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9.1576594247576902E-15</v>
      </c>
      <c r="AC144" s="22">
        <f t="shared" si="111"/>
        <v>9.1576594247576902E-15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964.00000000000023</v>
      </c>
      <c r="AJ144" s="13">
        <f>AI144*VLOOKUP('Données projet'!$B$10,Paramètres!$A$1:$I$89,3,0)*VLOOKUP('Données projet'!$B$10,Paramètres!$A$1:$I$89,5,0)</f>
        <v>576.47200000000021</v>
      </c>
      <c r="AK144" s="13">
        <f t="shared" si="143"/>
        <v>126.75809338895206</v>
      </c>
      <c r="AL144" s="20">
        <f t="shared" si="112"/>
        <v>1224.7924126524251</v>
      </c>
      <c r="AM144" s="59">
        <f t="shared" si="113"/>
        <v>1518.1257459857584</v>
      </c>
      <c r="AN144" s="59">
        <f ca="1">AVERAGE(OFFSET($AM$3,0,0,'Données projet'!$E$10+1,1))-AVERAGE(OFFSET($H$3,0,0,'Données projet'!$E$10+1,1))</f>
        <v>559.94918407141222</v>
      </c>
      <c r="AO144" s="59">
        <f t="shared" si="144"/>
        <v>334.6078891555664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3.8371214843716515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3.2353879156219106E-15</v>
      </c>
      <c r="AX144" s="21">
        <f t="shared" si="114"/>
        <v>3.8371214843716546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1.7053025658242404E-13</v>
      </c>
      <c r="BE144" s="13">
        <f>BD144*VLOOKUP('Données projet'!$B$11,Paramètres!$A$1:$I$89,3,0)*VLOOKUP('Données projet'!$B$11,Paramètres!$A$1:$I$89,5,0)</f>
        <v>7.9808160080574461E-14</v>
      </c>
      <c r="BF144" s="13">
        <f t="shared" si="145"/>
        <v>1.2308384591775343E-12</v>
      </c>
      <c r="BG144" s="20">
        <f t="shared" si="115"/>
        <v>2.282709528541206E-12</v>
      </c>
      <c r="BH144" s="59">
        <f t="shared" si="116"/>
        <v>293.33333333333559</v>
      </c>
      <c r="BI144" s="59">
        <f ca="1">AVERAGE(OFFSET($BH$3,0,0,'Données projet'!$E$11+1,1))-AVERAGE(OFFSET($H$3,0,0,'Données projet'!$E$11+1,1))</f>
        <v>276.78862011733338</v>
      </c>
      <c r="BJ144" s="59">
        <f t="shared" si="146"/>
        <v>202.1678469635836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-275.00000000000028</v>
      </c>
      <c r="BZ144" s="13">
        <f>BY144*VLOOKUP('Données projet'!$B$12,Paramètres!$A$1:$I$89,3,0)*VLOOKUP('Données projet'!$B$12,Paramètres!$A$1:$I$89,5,0)</f>
        <v>-214.50000000000023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286.5685205631126</v>
      </c>
      <c r="CE144" s="59">
        <f t="shared" si="148"/>
        <v>264.17357326498581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2.8421709430404007E-13</v>
      </c>
      <c r="O145" s="13">
        <f>N145*VLOOKUP('Données projet'!$B$9,Paramètres!$A$1:$I$89,3,0)*VLOOKUP('Données projet'!$B$9,Paramètres!$A$1:$I$89,5,0)</f>
        <v>2.5715962692629546E-13</v>
      </c>
      <c r="P145" s="13">
        <f t="shared" si="141"/>
        <v>3.4610450122128953E-12</v>
      </c>
      <c r="Q145" s="20">
        <f t="shared" si="108"/>
        <v>6.4758730798340893E-12</v>
      </c>
      <c r="R145" s="59">
        <f t="shared" si="109"/>
        <v>293.33333333333979</v>
      </c>
      <c r="S145" s="59">
        <f ca="1">AVERAGE(OFFSET($R$3,0,0,'Données projet'!$E$9+1,1))-AVERAGE(OFFSET($H$3,0,0,'Données projet'!$E$9+1,1))</f>
        <v>346.35147716792028</v>
      </c>
      <c r="T145" s="59">
        <f t="shared" si="142"/>
        <v>231.36959598460686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6.4754430790430608E-15</v>
      </c>
      <c r="AC145" s="22">
        <f t="shared" si="111"/>
        <v>6.4754430790430608E-15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964.00000000000023</v>
      </c>
      <c r="AJ145" s="13">
        <f>AI145*VLOOKUP('Données projet'!$B$10,Paramètres!$A$1:$I$89,3,0)*VLOOKUP('Données projet'!$B$10,Paramètres!$A$1:$I$89,5,0)</f>
        <v>576.47200000000021</v>
      </c>
      <c r="AK145" s="13">
        <f t="shared" si="143"/>
        <v>126.75809338895206</v>
      </c>
      <c r="AL145" s="20">
        <f t="shared" si="112"/>
        <v>1224.7924126524251</v>
      </c>
      <c r="AM145" s="59">
        <f t="shared" si="113"/>
        <v>1518.1257459857584</v>
      </c>
      <c r="AN145" s="59">
        <f ca="1">AVERAGE(OFFSET($AM$3,0,0,'Données projet'!$E$10+1,1))-AVERAGE(OFFSET($H$3,0,0,'Données projet'!$E$10+1,1))</f>
        <v>559.94918407141222</v>
      </c>
      <c r="AO145" s="59">
        <f t="shared" si="144"/>
        <v>334.6078891555664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3.7618778724761324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2.2877647349052624E-15</v>
      </c>
      <c r="AX145" s="21">
        <f t="shared" si="114"/>
        <v>3.7618778724761346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1.7053025658242404E-13</v>
      </c>
      <c r="BE145" s="13">
        <f>BD145*VLOOKUP('Données projet'!$B$11,Paramètres!$A$1:$I$89,3,0)*VLOOKUP('Données projet'!$B$11,Paramètres!$A$1:$I$89,5,0)</f>
        <v>7.9808160080574461E-14</v>
      </c>
      <c r="BF145" s="13">
        <f t="shared" si="145"/>
        <v>1.2308384591775343E-12</v>
      </c>
      <c r="BG145" s="20">
        <f t="shared" si="115"/>
        <v>2.282709528541206E-12</v>
      </c>
      <c r="BH145" s="59">
        <f t="shared" si="116"/>
        <v>293.33333333333559</v>
      </c>
      <c r="BI145" s="59">
        <f ca="1">AVERAGE(OFFSET($BH$3,0,0,'Données projet'!$E$11+1,1))-AVERAGE(OFFSET($H$3,0,0,'Données projet'!$E$11+1,1))</f>
        <v>276.78862011733338</v>
      </c>
      <c r="BJ145" s="59">
        <f t="shared" si="146"/>
        <v>202.1678469635836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-275.00000000000028</v>
      </c>
      <c r="BZ145" s="13">
        <f>BY145*VLOOKUP('Données projet'!$B$12,Paramètres!$A$1:$I$89,3,0)*VLOOKUP('Données projet'!$B$12,Paramètres!$A$1:$I$89,5,0)</f>
        <v>-214.50000000000023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286.5685205631126</v>
      </c>
      <c r="CE145" s="59">
        <f t="shared" si="148"/>
        <v>264.17357326498581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2.8421709430404007E-13</v>
      </c>
      <c r="O146" s="13">
        <f>N146*VLOOKUP('Données projet'!$B$9,Paramètres!$A$1:$I$89,3,0)*VLOOKUP('Données projet'!$B$9,Paramètres!$A$1:$I$89,5,0)</f>
        <v>2.5715962692629546E-13</v>
      </c>
      <c r="P146" s="13">
        <f t="shared" si="141"/>
        <v>3.4610450122128953E-12</v>
      </c>
      <c r="Q146" s="20">
        <f t="shared" si="108"/>
        <v>6.4758730798340893E-12</v>
      </c>
      <c r="R146" s="59">
        <f t="shared" si="109"/>
        <v>293.33333333333979</v>
      </c>
      <c r="S146" s="59">
        <f ca="1">AVERAGE(OFFSET($R$3,0,0,'Données projet'!$E$9+1,1))-AVERAGE(OFFSET($H$3,0,0,'Données projet'!$E$9+1,1))</f>
        <v>346.35147716792028</v>
      </c>
      <c r="T146" s="59">
        <f t="shared" si="142"/>
        <v>231.36959598460686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4.5788297123788451E-15</v>
      </c>
      <c r="AC146" s="22">
        <f t="shared" si="111"/>
        <v>4.5788297123788451E-15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964.00000000000023</v>
      </c>
      <c r="AJ146" s="13">
        <f>AI146*VLOOKUP('Données projet'!$B$10,Paramètres!$A$1:$I$89,3,0)*VLOOKUP('Données projet'!$B$10,Paramètres!$A$1:$I$89,5,0)</f>
        <v>576.47200000000021</v>
      </c>
      <c r="AK146" s="13">
        <f t="shared" si="143"/>
        <v>126.75809338895206</v>
      </c>
      <c r="AL146" s="20">
        <f t="shared" si="112"/>
        <v>1224.7924126524251</v>
      </c>
      <c r="AM146" s="59">
        <f t="shared" si="113"/>
        <v>1518.1257459857584</v>
      </c>
      <c r="AN146" s="59">
        <f ca="1">AVERAGE(OFFSET($AM$3,0,0,'Données projet'!$E$10+1,1))-AVERAGE(OFFSET($H$3,0,0,'Données projet'!$E$10+1,1))</f>
        <v>559.94918407141222</v>
      </c>
      <c r="AO146" s="59">
        <f t="shared" si="144"/>
        <v>334.6078891555664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3.6881097419158126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1.6176939578109553E-15</v>
      </c>
      <c r="AX146" s="21">
        <f t="shared" si="114"/>
        <v>3.6881097419158144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1.7053025658242404E-13</v>
      </c>
      <c r="BE146" s="13">
        <f>BD146*VLOOKUP('Données projet'!$B$11,Paramètres!$A$1:$I$89,3,0)*VLOOKUP('Données projet'!$B$11,Paramètres!$A$1:$I$89,5,0)</f>
        <v>7.9808160080574461E-14</v>
      </c>
      <c r="BF146" s="13">
        <f t="shared" si="145"/>
        <v>1.2308384591775343E-12</v>
      </c>
      <c r="BG146" s="20">
        <f t="shared" si="115"/>
        <v>2.282709528541206E-12</v>
      </c>
      <c r="BH146" s="59">
        <f t="shared" si="116"/>
        <v>293.33333333333559</v>
      </c>
      <c r="BI146" s="59">
        <f ca="1">AVERAGE(OFFSET($BH$3,0,0,'Données projet'!$E$11+1,1))-AVERAGE(OFFSET($H$3,0,0,'Données projet'!$E$11+1,1))</f>
        <v>276.78862011733338</v>
      </c>
      <c r="BJ146" s="59">
        <f t="shared" si="146"/>
        <v>202.1678469635836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-275.00000000000028</v>
      </c>
      <c r="BZ146" s="13">
        <f>BY146*VLOOKUP('Données projet'!$B$12,Paramètres!$A$1:$I$89,3,0)*VLOOKUP('Données projet'!$B$12,Paramètres!$A$1:$I$89,5,0)</f>
        <v>-214.50000000000023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286.5685205631126</v>
      </c>
      <c r="CE146" s="59">
        <f t="shared" si="148"/>
        <v>264.17357326498581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2.8421709430404007E-13</v>
      </c>
      <c r="O147" s="13">
        <f>N147*VLOOKUP('Données projet'!$B$9,Paramètres!$A$1:$I$89,3,0)*VLOOKUP('Données projet'!$B$9,Paramètres!$A$1:$I$89,5,0)</f>
        <v>2.5715962692629546E-13</v>
      </c>
      <c r="P147" s="13">
        <f t="shared" si="141"/>
        <v>3.4610450122128953E-12</v>
      </c>
      <c r="Q147" s="20">
        <f t="shared" si="108"/>
        <v>6.4758730798340893E-12</v>
      </c>
      <c r="R147" s="59">
        <f t="shared" si="109"/>
        <v>293.33333333333979</v>
      </c>
      <c r="S147" s="59">
        <f ca="1">AVERAGE(OFFSET($R$3,0,0,'Données projet'!$E$9+1,1))-AVERAGE(OFFSET($H$3,0,0,'Données projet'!$E$9+1,1))</f>
        <v>346.35147716792028</v>
      </c>
      <c r="T147" s="59">
        <f t="shared" si="142"/>
        <v>231.36959598460686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3.2377215395215304E-15</v>
      </c>
      <c r="AC147" s="22">
        <f t="shared" si="111"/>
        <v>3.2377215395215304E-15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964.00000000000023</v>
      </c>
      <c r="AJ147" s="13">
        <f>AI147*VLOOKUP('Données projet'!$B$10,Paramètres!$A$1:$I$89,3,0)*VLOOKUP('Données projet'!$B$10,Paramètres!$A$1:$I$89,5,0)</f>
        <v>576.47200000000021</v>
      </c>
      <c r="AK147" s="13">
        <f t="shared" si="143"/>
        <v>126.75809338895206</v>
      </c>
      <c r="AL147" s="20">
        <f t="shared" si="112"/>
        <v>1224.7924126524251</v>
      </c>
      <c r="AM147" s="59">
        <f t="shared" si="113"/>
        <v>1518.1257459857584</v>
      </c>
      <c r="AN147" s="59">
        <f ca="1">AVERAGE(OFFSET($AM$3,0,0,'Données projet'!$E$10+1,1))-AVERAGE(OFFSET($H$3,0,0,'Données projet'!$E$10+1,1))</f>
        <v>559.94918407141222</v>
      </c>
      <c r="AO147" s="59">
        <f t="shared" si="144"/>
        <v>334.6078891555664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3.6157881594016641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1.1438823674526312E-15</v>
      </c>
      <c r="AX147" s="21">
        <f t="shared" si="114"/>
        <v>3.6157881594016654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1.7053025658242404E-13</v>
      </c>
      <c r="BE147" s="13">
        <f>BD147*VLOOKUP('Données projet'!$B$11,Paramètres!$A$1:$I$89,3,0)*VLOOKUP('Données projet'!$B$11,Paramètres!$A$1:$I$89,5,0)</f>
        <v>7.9808160080574461E-14</v>
      </c>
      <c r="BF147" s="13">
        <f t="shared" si="145"/>
        <v>1.2308384591775343E-12</v>
      </c>
      <c r="BG147" s="20">
        <f t="shared" si="115"/>
        <v>2.282709528541206E-12</v>
      </c>
      <c r="BH147" s="59">
        <f t="shared" si="116"/>
        <v>293.33333333333559</v>
      </c>
      <c r="BI147" s="59">
        <f ca="1">AVERAGE(OFFSET($BH$3,0,0,'Données projet'!$E$11+1,1))-AVERAGE(OFFSET($H$3,0,0,'Données projet'!$E$11+1,1))</f>
        <v>276.78862011733338</v>
      </c>
      <c r="BJ147" s="59">
        <f t="shared" si="146"/>
        <v>202.1678469635836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-275.00000000000028</v>
      </c>
      <c r="BZ147" s="13">
        <f>BY147*VLOOKUP('Données projet'!$B$12,Paramètres!$A$1:$I$89,3,0)*VLOOKUP('Données projet'!$B$12,Paramètres!$A$1:$I$89,5,0)</f>
        <v>-214.50000000000023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286.5685205631126</v>
      </c>
      <c r="CE147" s="59">
        <f t="shared" si="148"/>
        <v>264.17357326498581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2.8421709430404007E-13</v>
      </c>
      <c r="O148" s="13">
        <f>N148*VLOOKUP('Données projet'!$B$9,Paramètres!$A$1:$I$89,3,0)*VLOOKUP('Données projet'!$B$9,Paramètres!$A$1:$I$89,5,0)</f>
        <v>2.5715962692629546E-13</v>
      </c>
      <c r="P148" s="13">
        <f t="shared" si="141"/>
        <v>3.4610450122128953E-12</v>
      </c>
      <c r="Q148" s="20">
        <f t="shared" si="108"/>
        <v>6.4758730798340893E-12</v>
      </c>
      <c r="R148" s="59">
        <f t="shared" si="109"/>
        <v>293.33333333333979</v>
      </c>
      <c r="S148" s="59">
        <f ca="1">AVERAGE(OFFSET($R$3,0,0,'Données projet'!$E$9+1,1))-AVERAGE(OFFSET($H$3,0,0,'Données projet'!$E$9+1,1))</f>
        <v>346.35147716792028</v>
      </c>
      <c r="T148" s="59">
        <f t="shared" si="142"/>
        <v>231.36959598460686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2.2894148561894226E-15</v>
      </c>
      <c r="AC148" s="22">
        <f t="shared" si="111"/>
        <v>2.2894148561894226E-15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964.00000000000023</v>
      </c>
      <c r="AJ148" s="13">
        <f>AI148*VLOOKUP('Données projet'!$B$10,Paramètres!$A$1:$I$89,3,0)*VLOOKUP('Données projet'!$B$10,Paramètres!$A$1:$I$89,5,0)</f>
        <v>576.47200000000021</v>
      </c>
      <c r="AK148" s="13">
        <f t="shared" si="143"/>
        <v>126.75809338895206</v>
      </c>
      <c r="AL148" s="20">
        <f t="shared" si="112"/>
        <v>1224.7924126524251</v>
      </c>
      <c r="AM148" s="59">
        <f t="shared" si="113"/>
        <v>1518.1257459857584</v>
      </c>
      <c r="AN148" s="59">
        <f ca="1">AVERAGE(OFFSET($AM$3,0,0,'Données projet'!$E$10+1,1))-AVERAGE(OFFSET($H$3,0,0,'Données projet'!$E$10+1,1))</f>
        <v>559.94918407141222</v>
      </c>
      <c r="AO148" s="59">
        <f t="shared" si="144"/>
        <v>334.6078891555664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3.5448847590088084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8.0884697890547765E-16</v>
      </c>
      <c r="AX148" s="21">
        <f t="shared" si="114"/>
        <v>3.5448847590088093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1.7053025658242404E-13</v>
      </c>
      <c r="BE148" s="13">
        <f>BD148*VLOOKUP('Données projet'!$B$11,Paramètres!$A$1:$I$89,3,0)*VLOOKUP('Données projet'!$B$11,Paramètres!$A$1:$I$89,5,0)</f>
        <v>7.9808160080574461E-14</v>
      </c>
      <c r="BF148" s="13">
        <f t="shared" si="145"/>
        <v>1.2308384591775343E-12</v>
      </c>
      <c r="BG148" s="20">
        <f t="shared" si="115"/>
        <v>2.282709528541206E-12</v>
      </c>
      <c r="BH148" s="59">
        <f t="shared" si="116"/>
        <v>293.33333333333559</v>
      </c>
      <c r="BI148" s="59">
        <f ca="1">AVERAGE(OFFSET($BH$3,0,0,'Données projet'!$E$11+1,1))-AVERAGE(OFFSET($H$3,0,0,'Données projet'!$E$11+1,1))</f>
        <v>276.78862011733338</v>
      </c>
      <c r="BJ148" s="59">
        <f t="shared" si="146"/>
        <v>202.1678469635836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-275.00000000000028</v>
      </c>
      <c r="BZ148" s="13">
        <f>BY148*VLOOKUP('Données projet'!$B$12,Paramètres!$A$1:$I$89,3,0)*VLOOKUP('Données projet'!$B$12,Paramètres!$A$1:$I$89,5,0)</f>
        <v>-214.50000000000023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286.5685205631126</v>
      </c>
      <c r="CE148" s="59">
        <f t="shared" si="148"/>
        <v>264.17357326498581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2.8421709430404007E-13</v>
      </c>
      <c r="O149" s="13">
        <f>N149*VLOOKUP('Données projet'!$B$9,Paramètres!$A$1:$I$89,3,0)*VLOOKUP('Données projet'!$B$9,Paramètres!$A$1:$I$89,5,0)</f>
        <v>2.5715962692629546E-13</v>
      </c>
      <c r="P149" s="13">
        <f t="shared" si="141"/>
        <v>3.4610450122128953E-12</v>
      </c>
      <c r="Q149" s="20">
        <f t="shared" si="108"/>
        <v>6.4758730798340893E-12</v>
      </c>
      <c r="R149" s="59">
        <f t="shared" si="109"/>
        <v>293.33333333333979</v>
      </c>
      <c r="S149" s="59">
        <f ca="1">AVERAGE(OFFSET($R$3,0,0,'Données projet'!$E$9+1,1))-AVERAGE(OFFSET($H$3,0,0,'Données projet'!$E$9+1,1))</f>
        <v>346.35147716792028</v>
      </c>
      <c r="T149" s="59">
        <f t="shared" si="142"/>
        <v>231.36959598460686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1.6188607697607652E-15</v>
      </c>
      <c r="AC149" s="22">
        <f t="shared" si="111"/>
        <v>1.6188607697607652E-15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964.00000000000023</v>
      </c>
      <c r="AJ149" s="13">
        <f>AI149*VLOOKUP('Données projet'!$B$10,Paramètres!$A$1:$I$89,3,0)*VLOOKUP('Données projet'!$B$10,Paramètres!$A$1:$I$89,5,0)</f>
        <v>576.47200000000021</v>
      </c>
      <c r="AK149" s="13">
        <f t="shared" si="143"/>
        <v>126.75809338895206</v>
      </c>
      <c r="AL149" s="20">
        <f t="shared" si="112"/>
        <v>1224.7924126524251</v>
      </c>
      <c r="AM149" s="59">
        <f t="shared" si="113"/>
        <v>1518.1257459857584</v>
      </c>
      <c r="AN149" s="59">
        <f ca="1">AVERAGE(OFFSET($AM$3,0,0,'Données projet'!$E$10+1,1))-AVERAGE(OFFSET($H$3,0,0,'Données projet'!$E$10+1,1))</f>
        <v>559.94918407141222</v>
      </c>
      <c r="AO149" s="59">
        <f t="shared" si="144"/>
        <v>334.6078891555664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3.4753717310508523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5.719411837263156E-16</v>
      </c>
      <c r="AX149" s="21">
        <f t="shared" si="114"/>
        <v>3.4753717310508527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1.7053025658242404E-13</v>
      </c>
      <c r="BE149" s="13">
        <f>BD149*VLOOKUP('Données projet'!$B$11,Paramètres!$A$1:$I$89,3,0)*VLOOKUP('Données projet'!$B$11,Paramètres!$A$1:$I$89,5,0)</f>
        <v>7.9808160080574461E-14</v>
      </c>
      <c r="BF149" s="13">
        <f t="shared" si="145"/>
        <v>1.2308384591775343E-12</v>
      </c>
      <c r="BG149" s="20">
        <f t="shared" si="115"/>
        <v>2.282709528541206E-12</v>
      </c>
      <c r="BH149" s="59">
        <f t="shared" si="116"/>
        <v>293.33333333333559</v>
      </c>
      <c r="BI149" s="59">
        <f ca="1">AVERAGE(OFFSET($BH$3,0,0,'Données projet'!$E$11+1,1))-AVERAGE(OFFSET($H$3,0,0,'Données projet'!$E$11+1,1))</f>
        <v>276.78862011733338</v>
      </c>
      <c r="BJ149" s="59">
        <f t="shared" si="146"/>
        <v>202.1678469635836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-275.00000000000028</v>
      </c>
      <c r="BZ149" s="13">
        <f>BY149*VLOOKUP('Données projet'!$B$12,Paramètres!$A$1:$I$89,3,0)*VLOOKUP('Données projet'!$B$12,Paramètres!$A$1:$I$89,5,0)</f>
        <v>-214.50000000000023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286.5685205631126</v>
      </c>
      <c r="CE149" s="59">
        <f t="shared" si="148"/>
        <v>264.17357326498581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2.8421709430404007E-13</v>
      </c>
      <c r="O150" s="13">
        <f>N150*VLOOKUP('Données projet'!$B$9,Paramètres!$A$1:$I$89,3,0)*VLOOKUP('Données projet'!$B$9,Paramètres!$A$1:$I$89,5,0)</f>
        <v>2.5715962692629546E-13</v>
      </c>
      <c r="P150" s="13">
        <f t="shared" si="141"/>
        <v>3.4610450122128953E-12</v>
      </c>
      <c r="Q150" s="20">
        <f t="shared" si="108"/>
        <v>6.4758730798340893E-12</v>
      </c>
      <c r="R150" s="59">
        <f t="shared" si="109"/>
        <v>293.33333333333979</v>
      </c>
      <c r="S150" s="59">
        <f ca="1">AVERAGE(OFFSET($R$3,0,0,'Données projet'!$E$9+1,1))-AVERAGE(OFFSET($H$3,0,0,'Données projet'!$E$9+1,1))</f>
        <v>346.35147716792028</v>
      </c>
      <c r="T150" s="59">
        <f t="shared" si="142"/>
        <v>231.36959598460686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1.1447074280947113E-15</v>
      </c>
      <c r="AC150" s="22">
        <f t="shared" si="111"/>
        <v>1.1447074280947113E-15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964.00000000000023</v>
      </c>
      <c r="AJ150" s="13">
        <f>AI150*VLOOKUP('Données projet'!$B$10,Paramètres!$A$1:$I$89,3,0)*VLOOKUP('Données projet'!$B$10,Paramètres!$A$1:$I$89,5,0)</f>
        <v>576.47200000000021</v>
      </c>
      <c r="AK150" s="13">
        <f t="shared" si="143"/>
        <v>126.75809338895206</v>
      </c>
      <c r="AL150" s="20">
        <f t="shared" si="112"/>
        <v>1224.7924126524251</v>
      </c>
      <c r="AM150" s="59">
        <f t="shared" si="113"/>
        <v>1518.1257459857584</v>
      </c>
      <c r="AN150" s="59">
        <f ca="1">AVERAGE(OFFSET($AM$3,0,0,'Données projet'!$E$10+1,1))-AVERAGE(OFFSET($H$3,0,0,'Données projet'!$E$10+1,1))</f>
        <v>559.94918407141222</v>
      </c>
      <c r="AO150" s="59">
        <f t="shared" si="144"/>
        <v>334.6078891555664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3.4072218111723913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4.0442348945273883E-16</v>
      </c>
      <c r="AX150" s="21">
        <f t="shared" si="114"/>
        <v>3.4072218111723918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1.7053025658242404E-13</v>
      </c>
      <c r="BE150" s="13">
        <f>BD150*VLOOKUP('Données projet'!$B$11,Paramètres!$A$1:$I$89,3,0)*VLOOKUP('Données projet'!$B$11,Paramètres!$A$1:$I$89,5,0)</f>
        <v>7.9808160080574461E-14</v>
      </c>
      <c r="BF150" s="13">
        <f t="shared" si="145"/>
        <v>1.2308384591775343E-12</v>
      </c>
      <c r="BG150" s="20">
        <f t="shared" si="115"/>
        <v>2.282709528541206E-12</v>
      </c>
      <c r="BH150" s="59">
        <f t="shared" si="116"/>
        <v>293.33333333333559</v>
      </c>
      <c r="BI150" s="59">
        <f ca="1">AVERAGE(OFFSET($BH$3,0,0,'Données projet'!$E$11+1,1))-AVERAGE(OFFSET($H$3,0,0,'Données projet'!$E$11+1,1))</f>
        <v>276.78862011733338</v>
      </c>
      <c r="BJ150" s="59">
        <f t="shared" si="146"/>
        <v>202.1678469635836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-275.00000000000028</v>
      </c>
      <c r="BZ150" s="13">
        <f>BY150*VLOOKUP('Données projet'!$B$12,Paramètres!$A$1:$I$89,3,0)*VLOOKUP('Données projet'!$B$12,Paramètres!$A$1:$I$89,5,0)</f>
        <v>-214.50000000000023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286.5685205631126</v>
      </c>
      <c r="CE150" s="59">
        <f t="shared" si="148"/>
        <v>264.17357326498581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2.8421709430404007E-13</v>
      </c>
      <c r="O151" s="13">
        <f>N151*VLOOKUP('Données projet'!$B$9,Paramètres!$A$1:$I$89,3,0)*VLOOKUP('Données projet'!$B$9,Paramètres!$A$1:$I$89,5,0)</f>
        <v>2.5715962692629546E-13</v>
      </c>
      <c r="P151" s="13">
        <f t="shared" si="141"/>
        <v>3.4610450122128953E-12</v>
      </c>
      <c r="Q151" s="20">
        <f t="shared" si="108"/>
        <v>6.4758730798340893E-12</v>
      </c>
      <c r="R151" s="59">
        <f t="shared" si="109"/>
        <v>293.33333333333979</v>
      </c>
      <c r="S151" s="59">
        <f ca="1">AVERAGE(OFFSET($R$3,0,0,'Données projet'!$E$9+1,1))-AVERAGE(OFFSET($H$3,0,0,'Données projet'!$E$9+1,1))</f>
        <v>346.35147716792028</v>
      </c>
      <c r="T151" s="59">
        <f t="shared" si="142"/>
        <v>231.36959598460686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8.0943038488038261E-16</v>
      </c>
      <c r="AC151" s="22">
        <f t="shared" si="111"/>
        <v>8.0943038488038261E-16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964.00000000000023</v>
      </c>
      <c r="AJ151" s="13">
        <f>AI151*VLOOKUP('Données projet'!$B$10,Paramètres!$A$1:$I$89,3,0)*VLOOKUP('Données projet'!$B$10,Paramètres!$A$1:$I$89,5,0)</f>
        <v>576.47200000000021</v>
      </c>
      <c r="AK151" s="13">
        <f t="shared" si="143"/>
        <v>126.75809338895206</v>
      </c>
      <c r="AL151" s="20">
        <f t="shared" si="112"/>
        <v>1224.7924126524251</v>
      </c>
      <c r="AM151" s="59">
        <f t="shared" si="113"/>
        <v>1518.1257459857584</v>
      </c>
      <c r="AN151" s="59">
        <f ca="1">AVERAGE(OFFSET($AM$3,0,0,'Données projet'!$E$10+1,1))-AVERAGE(OFFSET($H$3,0,0,'Données projet'!$E$10+1,1))</f>
        <v>559.94918407141222</v>
      </c>
      <c r="AO151" s="59">
        <f t="shared" si="144"/>
        <v>334.6078891555664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3.3404082696554003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2.859705918631578E-16</v>
      </c>
      <c r="AX151" s="21">
        <f t="shared" si="114"/>
        <v>3.3404082696554007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1.7053025658242404E-13</v>
      </c>
      <c r="BE151" s="13">
        <f>BD151*VLOOKUP('Données projet'!$B$11,Paramètres!$A$1:$I$89,3,0)*VLOOKUP('Données projet'!$B$11,Paramètres!$A$1:$I$89,5,0)</f>
        <v>7.9808160080574461E-14</v>
      </c>
      <c r="BF151" s="13">
        <f t="shared" si="145"/>
        <v>1.2308384591775343E-12</v>
      </c>
      <c r="BG151" s="20">
        <f t="shared" si="115"/>
        <v>2.282709528541206E-12</v>
      </c>
      <c r="BH151" s="59">
        <f t="shared" si="116"/>
        <v>293.33333333333559</v>
      </c>
      <c r="BI151" s="59">
        <f ca="1">AVERAGE(OFFSET($BH$3,0,0,'Données projet'!$E$11+1,1))-AVERAGE(OFFSET($H$3,0,0,'Données projet'!$E$11+1,1))</f>
        <v>276.78862011733338</v>
      </c>
      <c r="BJ151" s="59">
        <f t="shared" si="146"/>
        <v>202.1678469635836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-275.00000000000028</v>
      </c>
      <c r="BZ151" s="13">
        <f>BY151*VLOOKUP('Données projet'!$B$12,Paramètres!$A$1:$I$89,3,0)*VLOOKUP('Données projet'!$B$12,Paramètres!$A$1:$I$89,5,0)</f>
        <v>-214.50000000000023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286.5685205631126</v>
      </c>
      <c r="CE151" s="59">
        <f t="shared" si="148"/>
        <v>264.17357326498581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2.8421709430404007E-13</v>
      </c>
      <c r="O152" s="13">
        <f>N152*VLOOKUP('Données projet'!$B$9,Paramètres!$A$1:$I$89,3,0)*VLOOKUP('Données projet'!$B$9,Paramètres!$A$1:$I$89,5,0)</f>
        <v>2.5715962692629546E-13</v>
      </c>
      <c r="P152" s="13">
        <f t="shared" si="141"/>
        <v>3.4610450122128953E-12</v>
      </c>
      <c r="Q152" s="20">
        <f t="shared" si="108"/>
        <v>6.4758730798340893E-12</v>
      </c>
      <c r="R152" s="59">
        <f t="shared" si="109"/>
        <v>293.33333333333979</v>
      </c>
      <c r="S152" s="59">
        <f ca="1">AVERAGE(OFFSET($R$3,0,0,'Données projet'!$E$9+1,1))-AVERAGE(OFFSET($H$3,0,0,'Données projet'!$E$9+1,1))</f>
        <v>346.35147716792028</v>
      </c>
      <c r="T152" s="59">
        <f t="shared" si="142"/>
        <v>231.36959598460686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5.7235371404735564E-16</v>
      </c>
      <c r="AC152" s="22">
        <f t="shared" si="111"/>
        <v>5.7235371404735564E-16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964.00000000000023</v>
      </c>
      <c r="AJ152" s="13">
        <f>AI152*VLOOKUP('Données projet'!$B$10,Paramètres!$A$1:$I$89,3,0)*VLOOKUP('Données projet'!$B$10,Paramètres!$A$1:$I$89,5,0)</f>
        <v>576.47200000000021</v>
      </c>
      <c r="AK152" s="13">
        <f t="shared" si="143"/>
        <v>126.75809338895206</v>
      </c>
      <c r="AL152" s="20">
        <f t="shared" si="112"/>
        <v>1224.7924126524251</v>
      </c>
      <c r="AM152" s="59">
        <f t="shared" si="113"/>
        <v>1518.1257459857584</v>
      </c>
      <c r="AN152" s="59">
        <f ca="1">AVERAGE(OFFSET($AM$3,0,0,'Données projet'!$E$10+1,1))-AVERAGE(OFFSET($H$3,0,0,'Données projet'!$E$10+1,1))</f>
        <v>559.94918407141222</v>
      </c>
      <c r="AO152" s="59">
        <f t="shared" si="144"/>
        <v>334.6078891555664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3.2749049009353213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2.0221174472636941E-16</v>
      </c>
      <c r="AX152" s="21">
        <f t="shared" si="114"/>
        <v>3.2749049009353213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1.7053025658242404E-13</v>
      </c>
      <c r="BE152" s="13">
        <f>BD152*VLOOKUP('Données projet'!$B$11,Paramètres!$A$1:$I$89,3,0)*VLOOKUP('Données projet'!$B$11,Paramètres!$A$1:$I$89,5,0)</f>
        <v>7.9808160080574461E-14</v>
      </c>
      <c r="BF152" s="13">
        <f t="shared" si="145"/>
        <v>1.2308384591775343E-12</v>
      </c>
      <c r="BG152" s="20">
        <f t="shared" si="115"/>
        <v>2.282709528541206E-12</v>
      </c>
      <c r="BH152" s="59">
        <f t="shared" si="116"/>
        <v>293.33333333333559</v>
      </c>
      <c r="BI152" s="59">
        <f ca="1">AVERAGE(OFFSET($BH$3,0,0,'Données projet'!$E$11+1,1))-AVERAGE(OFFSET($H$3,0,0,'Données projet'!$E$11+1,1))</f>
        <v>276.78862011733338</v>
      </c>
      <c r="BJ152" s="59">
        <f t="shared" si="146"/>
        <v>202.1678469635836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-275.00000000000028</v>
      </c>
      <c r="BZ152" s="13">
        <f>BY152*VLOOKUP('Données projet'!$B$12,Paramètres!$A$1:$I$89,3,0)*VLOOKUP('Données projet'!$B$12,Paramètres!$A$1:$I$89,5,0)</f>
        <v>-214.50000000000023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286.5685205631126</v>
      </c>
      <c r="CE152" s="59">
        <f t="shared" si="148"/>
        <v>264.17357326498581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2.8421709430404007E-13</v>
      </c>
      <c r="O153" s="13">
        <f>N153*VLOOKUP('Données projet'!$B$9,Paramètres!$A$1:$I$89,3,0)*VLOOKUP('Données projet'!$B$9,Paramètres!$A$1:$I$89,5,0)</f>
        <v>2.5715962692629546E-13</v>
      </c>
      <c r="P153" s="13">
        <f t="shared" si="141"/>
        <v>3.4610450122128953E-12</v>
      </c>
      <c r="Q153" s="20">
        <f t="shared" si="108"/>
        <v>6.4758730798340893E-12</v>
      </c>
      <c r="R153" s="59">
        <f t="shared" si="109"/>
        <v>293.33333333333979</v>
      </c>
      <c r="S153" s="59">
        <f ca="1">AVERAGE(OFFSET($R$3,0,0,'Données projet'!$E$9+1,1))-AVERAGE(OFFSET($H$3,0,0,'Données projet'!$E$9+1,1))</f>
        <v>346.35147716792028</v>
      </c>
      <c r="T153" s="59">
        <f t="shared" si="142"/>
        <v>231.36959598460686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4.047151924401913E-16</v>
      </c>
      <c r="AC153" s="22">
        <f t="shared" si="111"/>
        <v>4.047151924401913E-16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964.00000000000023</v>
      </c>
      <c r="AJ153" s="13">
        <f>AI153*VLOOKUP('Données projet'!$B$10,Paramètres!$A$1:$I$89,3,0)*VLOOKUP('Données projet'!$B$10,Paramètres!$A$1:$I$89,5,0)</f>
        <v>576.47200000000021</v>
      </c>
      <c r="AK153" s="13">
        <f t="shared" si="143"/>
        <v>126.75809338895206</v>
      </c>
      <c r="AL153" s="20">
        <f t="shared" si="112"/>
        <v>1224.7924126524251</v>
      </c>
      <c r="AM153" s="59">
        <f t="shared" si="113"/>
        <v>1518.1257459857584</v>
      </c>
      <c r="AN153" s="59">
        <f ca="1">AVERAGE(OFFSET($AM$3,0,0,'Données projet'!$E$10+1,1))-AVERAGE(OFFSET($H$3,0,0,'Données projet'!$E$10+1,1))</f>
        <v>559.94918407141222</v>
      </c>
      <c r="AO153" s="59">
        <f t="shared" si="144"/>
        <v>334.6078891555664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3.2106860133227331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1.429852959315789E-16</v>
      </c>
      <c r="AX153" s="21">
        <f t="shared" si="114"/>
        <v>3.2106860133227331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1.7053025658242404E-13</v>
      </c>
      <c r="BE153" s="13">
        <f>BD153*VLOOKUP('Données projet'!$B$11,Paramètres!$A$1:$I$89,3,0)*VLOOKUP('Données projet'!$B$11,Paramètres!$A$1:$I$89,5,0)</f>
        <v>7.9808160080574461E-14</v>
      </c>
      <c r="BF153" s="13">
        <f t="shared" si="145"/>
        <v>1.2308384591775343E-12</v>
      </c>
      <c r="BG153" s="20">
        <f t="shared" si="115"/>
        <v>2.282709528541206E-12</v>
      </c>
      <c r="BH153" s="59">
        <f t="shared" si="116"/>
        <v>293.33333333333559</v>
      </c>
      <c r="BI153" s="59">
        <f ca="1">AVERAGE(OFFSET($BH$3,0,0,'Données projet'!$E$11+1,1))-AVERAGE(OFFSET($H$3,0,0,'Données projet'!$E$11+1,1))</f>
        <v>276.78862011733338</v>
      </c>
      <c r="BJ153" s="59">
        <f t="shared" si="146"/>
        <v>202.1678469635836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-275.00000000000028</v>
      </c>
      <c r="BZ153" s="13">
        <f>BY153*VLOOKUP('Données projet'!$B$12,Paramètres!$A$1:$I$89,3,0)*VLOOKUP('Données projet'!$B$12,Paramètres!$A$1:$I$89,5,0)</f>
        <v>-214.50000000000023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286.5685205631126</v>
      </c>
      <c r="CE153" s="59">
        <f t="shared" si="148"/>
        <v>264.17357326498581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2.8421709430404007E-13</v>
      </c>
      <c r="O154" s="13">
        <f>N154*VLOOKUP('Données projet'!$B$9,Paramètres!$A$1:$I$89,3,0)*VLOOKUP('Données projet'!$B$9,Paramètres!$A$1:$I$89,5,0)</f>
        <v>2.5715962692629546E-13</v>
      </c>
      <c r="P154" s="13">
        <f t="shared" si="141"/>
        <v>3.4610450122128953E-12</v>
      </c>
      <c r="Q154" s="20">
        <f t="shared" ref="Q154:Q203" si="162">(O154+P154)*0.475*44/12</f>
        <v>6.4758730798340893E-12</v>
      </c>
      <c r="R154" s="59">
        <f t="shared" si="109"/>
        <v>293.33333333333979</v>
      </c>
      <c r="S154" s="59">
        <f ca="1">AVERAGE(OFFSET($R$3,0,0,'Données projet'!$E$9+1,1))-AVERAGE(OFFSET($H$3,0,0,'Données projet'!$E$9+1,1))</f>
        <v>346.35147716792028</v>
      </c>
      <c r="T154" s="59">
        <f t="shared" si="142"/>
        <v>231.36959598460686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2.8617685702367782E-16</v>
      </c>
      <c r="AC154" s="22">
        <f t="shared" ref="AC154:AC203" si="163">SUM(Z154:AB154)</f>
        <v>2.8617685702367782E-16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964.00000000000023</v>
      </c>
      <c r="AJ154" s="13">
        <f>AI154*VLOOKUP('Données projet'!$B$10,Paramètres!$A$1:$I$89,3,0)*VLOOKUP('Données projet'!$B$10,Paramètres!$A$1:$I$89,5,0)</f>
        <v>576.47200000000021</v>
      </c>
      <c r="AK154" s="13">
        <f t="shared" ref="AK154:AK203" si="164">EXP(-1.0587+0.8836*LN(AJ154)+0.284)</f>
        <v>126.75809338895206</v>
      </c>
      <c r="AL154" s="20">
        <f t="shared" ref="AL154:AL203" si="165">(AJ154+AK154)*0.475*44/12</f>
        <v>1224.7924126524251</v>
      </c>
      <c r="AM154" s="59">
        <f t="shared" si="113"/>
        <v>1518.1257459857584</v>
      </c>
      <c r="AN154" s="59">
        <f ca="1">AVERAGE(OFFSET($AM$3,0,0,'Données projet'!$E$10+1,1))-AVERAGE(OFFSET($H$3,0,0,'Données projet'!$E$10+1,1))</f>
        <v>559.94918407141222</v>
      </c>
      <c r="AO154" s="59">
        <f t="shared" si="144"/>
        <v>334.6078891555664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3.1477264189265739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1.0110587236318471E-16</v>
      </c>
      <c r="AX154" s="21">
        <f t="shared" ref="AX154:AX203" si="166">SUM(AU154:AW154)</f>
        <v>3.1477264189265739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1.7053025658242404E-13</v>
      </c>
      <c r="BE154" s="13">
        <f>BD154*VLOOKUP('Données projet'!$B$11,Paramètres!$A$1:$I$89,3,0)*VLOOKUP('Données projet'!$B$11,Paramètres!$A$1:$I$89,5,0)</f>
        <v>7.9808160080574461E-14</v>
      </c>
      <c r="BF154" s="13">
        <f t="shared" ref="BF154:BF203" si="167">EXP(-1.0587+0.8836*LN(BE154)+0.284)</f>
        <v>1.2308384591775343E-12</v>
      </c>
      <c r="BG154" s="20">
        <f t="shared" ref="BG154:BG203" si="168">(BE154+BF154)*0.475*44/12</f>
        <v>2.282709528541206E-12</v>
      </c>
      <c r="BH154" s="59">
        <f t="shared" si="116"/>
        <v>293.33333333333559</v>
      </c>
      <c r="BI154" s="59">
        <f ca="1">AVERAGE(OFFSET($BH$3,0,0,'Données projet'!$E$11+1,1))-AVERAGE(OFFSET($H$3,0,0,'Données projet'!$E$11+1,1))</f>
        <v>276.78862011733338</v>
      </c>
      <c r="BJ154" s="59">
        <f t="shared" si="146"/>
        <v>202.1678469635836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-275.00000000000028</v>
      </c>
      <c r="BZ154" s="13">
        <f>BY154*VLOOKUP('Données projet'!$B$12,Paramètres!$A$1:$I$89,3,0)*VLOOKUP('Données projet'!$B$12,Paramètres!$A$1:$I$89,5,0)</f>
        <v>-214.50000000000023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286.5685205631126</v>
      </c>
      <c r="CE154" s="59">
        <f t="shared" si="148"/>
        <v>264.17357326498581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2.8421709430404007E-13</v>
      </c>
      <c r="O155" s="13">
        <f>N155*VLOOKUP('Données projet'!$B$9,Paramètres!$A$1:$I$89,3,0)*VLOOKUP('Données projet'!$B$9,Paramètres!$A$1:$I$89,5,0)</f>
        <v>2.5715962692629546E-13</v>
      </c>
      <c r="P155" s="13">
        <f t="shared" si="141"/>
        <v>3.4610450122128953E-12</v>
      </c>
      <c r="Q155" s="20">
        <f t="shared" si="162"/>
        <v>6.4758730798340893E-12</v>
      </c>
      <c r="R155" s="59">
        <f t="shared" si="109"/>
        <v>293.33333333333979</v>
      </c>
      <c r="S155" s="59">
        <f ca="1">AVERAGE(OFFSET($R$3,0,0,'Données projet'!$E$9+1,1))-AVERAGE(OFFSET($H$3,0,0,'Données projet'!$E$9+1,1))</f>
        <v>346.35147716792028</v>
      </c>
      <c r="T155" s="59">
        <f t="shared" si="142"/>
        <v>231.36959598460686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2.0235759622009565E-16</v>
      </c>
      <c r="AC155" s="22">
        <f t="shared" si="163"/>
        <v>2.0235759622009565E-16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964.00000000000023</v>
      </c>
      <c r="AJ155" s="13">
        <f>AI155*VLOOKUP('Données projet'!$B$10,Paramètres!$A$1:$I$89,3,0)*VLOOKUP('Données projet'!$B$10,Paramètres!$A$1:$I$89,5,0)</f>
        <v>576.47200000000021</v>
      </c>
      <c r="AK155" s="13">
        <f t="shared" si="164"/>
        <v>126.75809338895206</v>
      </c>
      <c r="AL155" s="20">
        <f t="shared" si="165"/>
        <v>1224.7924126524251</v>
      </c>
      <c r="AM155" s="59">
        <f t="shared" si="113"/>
        <v>1518.1257459857584</v>
      </c>
      <c r="AN155" s="59">
        <f ca="1">AVERAGE(OFFSET($AM$3,0,0,'Données projet'!$E$10+1,1))-AVERAGE(OFFSET($H$3,0,0,'Données projet'!$E$10+1,1))</f>
        <v>559.94918407141222</v>
      </c>
      <c r="AO155" s="59">
        <f t="shared" si="144"/>
        <v>334.6078891555664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3.0860014237749627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7.149264796578945E-17</v>
      </c>
      <c r="AX155" s="21">
        <f t="shared" si="166"/>
        <v>3.0860014237749627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1.7053025658242404E-13</v>
      </c>
      <c r="BE155" s="13">
        <f>BD155*VLOOKUP('Données projet'!$B$11,Paramètres!$A$1:$I$89,3,0)*VLOOKUP('Données projet'!$B$11,Paramètres!$A$1:$I$89,5,0)</f>
        <v>7.9808160080574461E-14</v>
      </c>
      <c r="BF155" s="13">
        <f t="shared" si="167"/>
        <v>1.2308384591775343E-12</v>
      </c>
      <c r="BG155" s="20">
        <f t="shared" si="168"/>
        <v>2.282709528541206E-12</v>
      </c>
      <c r="BH155" s="59">
        <f t="shared" si="116"/>
        <v>293.33333333333559</v>
      </c>
      <c r="BI155" s="59">
        <f ca="1">AVERAGE(OFFSET($BH$3,0,0,'Données projet'!$E$11+1,1))-AVERAGE(OFFSET($H$3,0,0,'Données projet'!$E$11+1,1))</f>
        <v>276.78862011733338</v>
      </c>
      <c r="BJ155" s="59">
        <f t="shared" si="146"/>
        <v>202.1678469635836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-275.00000000000028</v>
      </c>
      <c r="BZ155" s="13">
        <f>BY155*VLOOKUP('Données projet'!$B$12,Paramètres!$A$1:$I$89,3,0)*VLOOKUP('Données projet'!$B$12,Paramètres!$A$1:$I$89,5,0)</f>
        <v>-214.50000000000023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286.5685205631126</v>
      </c>
      <c r="CE155" s="59">
        <f t="shared" si="148"/>
        <v>264.17357326498581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2.8421709430404007E-13</v>
      </c>
      <c r="O156" s="13">
        <f>N156*VLOOKUP('Données projet'!$B$9,Paramètres!$A$1:$I$89,3,0)*VLOOKUP('Données projet'!$B$9,Paramètres!$A$1:$I$89,5,0)</f>
        <v>2.5715962692629546E-13</v>
      </c>
      <c r="P156" s="13">
        <f t="shared" si="141"/>
        <v>3.4610450122128953E-12</v>
      </c>
      <c r="Q156" s="20">
        <f t="shared" si="162"/>
        <v>6.4758730798340893E-12</v>
      </c>
      <c r="R156" s="59">
        <f t="shared" si="109"/>
        <v>293.33333333333979</v>
      </c>
      <c r="S156" s="59">
        <f ca="1">AVERAGE(OFFSET($R$3,0,0,'Données projet'!$E$9+1,1))-AVERAGE(OFFSET($H$3,0,0,'Données projet'!$E$9+1,1))</f>
        <v>346.35147716792028</v>
      </c>
      <c r="T156" s="59">
        <f t="shared" si="142"/>
        <v>231.36959598460686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1.4308842851183891E-16</v>
      </c>
      <c r="AC156" s="22">
        <f t="shared" si="163"/>
        <v>1.4308842851183891E-16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964.00000000000023</v>
      </c>
      <c r="AJ156" s="13">
        <f>AI156*VLOOKUP('Données projet'!$B$10,Paramètres!$A$1:$I$89,3,0)*VLOOKUP('Données projet'!$B$10,Paramètres!$A$1:$I$89,5,0)</f>
        <v>576.47200000000021</v>
      </c>
      <c r="AK156" s="13">
        <f t="shared" si="164"/>
        <v>126.75809338895206</v>
      </c>
      <c r="AL156" s="20">
        <f t="shared" si="165"/>
        <v>1224.7924126524251</v>
      </c>
      <c r="AM156" s="59">
        <f t="shared" si="113"/>
        <v>1518.1257459857584</v>
      </c>
      <c r="AN156" s="59">
        <f ca="1">AVERAGE(OFFSET($AM$3,0,0,'Données projet'!$E$10+1,1))-AVERAGE(OFFSET($H$3,0,0,'Données projet'!$E$10+1,1))</f>
        <v>559.94918407141222</v>
      </c>
      <c r="AO156" s="59">
        <f t="shared" si="144"/>
        <v>334.6078891555664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3.0254868181297447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5.0552936181592353E-17</v>
      </c>
      <c r="AX156" s="21">
        <f t="shared" si="166"/>
        <v>3.0254868181297447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1.7053025658242404E-13</v>
      </c>
      <c r="BE156" s="13">
        <f>BD156*VLOOKUP('Données projet'!$B$11,Paramètres!$A$1:$I$89,3,0)*VLOOKUP('Données projet'!$B$11,Paramètres!$A$1:$I$89,5,0)</f>
        <v>7.9808160080574461E-14</v>
      </c>
      <c r="BF156" s="13">
        <f t="shared" si="167"/>
        <v>1.2308384591775343E-12</v>
      </c>
      <c r="BG156" s="20">
        <f t="shared" si="168"/>
        <v>2.282709528541206E-12</v>
      </c>
      <c r="BH156" s="59">
        <f t="shared" si="116"/>
        <v>293.33333333333559</v>
      </c>
      <c r="BI156" s="59">
        <f ca="1">AVERAGE(OFFSET($BH$3,0,0,'Données projet'!$E$11+1,1))-AVERAGE(OFFSET($H$3,0,0,'Données projet'!$E$11+1,1))</f>
        <v>276.78862011733338</v>
      </c>
      <c r="BJ156" s="59">
        <f t="shared" si="146"/>
        <v>202.1678469635836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-275.00000000000028</v>
      </c>
      <c r="BZ156" s="13">
        <f>BY156*VLOOKUP('Données projet'!$B$12,Paramètres!$A$1:$I$89,3,0)*VLOOKUP('Données projet'!$B$12,Paramètres!$A$1:$I$89,5,0)</f>
        <v>-214.50000000000023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286.5685205631126</v>
      </c>
      <c r="CE156" s="59">
        <f t="shared" si="148"/>
        <v>264.17357326498581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2.8421709430404007E-13</v>
      </c>
      <c r="O157" s="13">
        <f>N157*VLOOKUP('Données projet'!$B$9,Paramètres!$A$1:$I$89,3,0)*VLOOKUP('Données projet'!$B$9,Paramètres!$A$1:$I$89,5,0)</f>
        <v>2.5715962692629546E-13</v>
      </c>
      <c r="P157" s="13">
        <f t="shared" si="141"/>
        <v>3.4610450122128953E-12</v>
      </c>
      <c r="Q157" s="20">
        <f t="shared" si="162"/>
        <v>6.4758730798340893E-12</v>
      </c>
      <c r="R157" s="59">
        <f t="shared" si="109"/>
        <v>293.33333333333979</v>
      </c>
      <c r="S157" s="59">
        <f ca="1">AVERAGE(OFFSET($R$3,0,0,'Données projet'!$E$9+1,1))-AVERAGE(OFFSET($H$3,0,0,'Données projet'!$E$9+1,1))</f>
        <v>346.35147716792028</v>
      </c>
      <c r="T157" s="59">
        <f t="shared" si="142"/>
        <v>231.36959598460686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1.0117879811004783E-16</v>
      </c>
      <c r="AC157" s="22">
        <f t="shared" si="163"/>
        <v>1.0117879811004783E-16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964.00000000000023</v>
      </c>
      <c r="AJ157" s="13">
        <f>AI157*VLOOKUP('Données projet'!$B$10,Paramètres!$A$1:$I$89,3,0)*VLOOKUP('Données projet'!$B$10,Paramètres!$A$1:$I$89,5,0)</f>
        <v>576.47200000000021</v>
      </c>
      <c r="AK157" s="13">
        <f t="shared" si="164"/>
        <v>126.75809338895206</v>
      </c>
      <c r="AL157" s="20">
        <f t="shared" si="165"/>
        <v>1224.7924126524251</v>
      </c>
      <c r="AM157" s="59">
        <f t="shared" si="113"/>
        <v>1518.1257459857584</v>
      </c>
      <c r="AN157" s="59">
        <f ca="1">AVERAGE(OFFSET($AM$3,0,0,'Données projet'!$E$10+1,1))-AVERAGE(OFFSET($H$3,0,0,'Données projet'!$E$10+1,1))</f>
        <v>559.94918407141222</v>
      </c>
      <c r="AO157" s="59">
        <f t="shared" si="144"/>
        <v>334.6078891555664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2.9661588669909649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3.5746323982894725E-17</v>
      </c>
      <c r="AX157" s="21">
        <f t="shared" si="166"/>
        <v>2.9661588669909649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1.7053025658242404E-13</v>
      </c>
      <c r="BE157" s="13">
        <f>BD157*VLOOKUP('Données projet'!$B$11,Paramètres!$A$1:$I$89,3,0)*VLOOKUP('Données projet'!$B$11,Paramètres!$A$1:$I$89,5,0)</f>
        <v>7.9808160080574461E-14</v>
      </c>
      <c r="BF157" s="13">
        <f t="shared" si="167"/>
        <v>1.2308384591775343E-12</v>
      </c>
      <c r="BG157" s="20">
        <f t="shared" si="168"/>
        <v>2.282709528541206E-12</v>
      </c>
      <c r="BH157" s="59">
        <f t="shared" si="116"/>
        <v>293.33333333333559</v>
      </c>
      <c r="BI157" s="59">
        <f ca="1">AVERAGE(OFFSET($BH$3,0,0,'Données projet'!$E$11+1,1))-AVERAGE(OFFSET($H$3,0,0,'Données projet'!$E$11+1,1))</f>
        <v>276.78862011733338</v>
      </c>
      <c r="BJ157" s="59">
        <f t="shared" si="146"/>
        <v>202.1678469635836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-275.00000000000028</v>
      </c>
      <c r="BZ157" s="13">
        <f>BY157*VLOOKUP('Données projet'!$B$12,Paramètres!$A$1:$I$89,3,0)*VLOOKUP('Données projet'!$B$12,Paramètres!$A$1:$I$89,5,0)</f>
        <v>-214.50000000000023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286.5685205631126</v>
      </c>
      <c r="CE157" s="59">
        <f t="shared" si="148"/>
        <v>264.17357326498581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2.8421709430404007E-13</v>
      </c>
      <c r="O158" s="13">
        <f>N158*VLOOKUP('Données projet'!$B$9,Paramètres!$A$1:$I$89,3,0)*VLOOKUP('Données projet'!$B$9,Paramètres!$A$1:$I$89,5,0)</f>
        <v>2.5715962692629546E-13</v>
      </c>
      <c r="P158" s="13">
        <f t="shared" si="141"/>
        <v>3.4610450122128953E-12</v>
      </c>
      <c r="Q158" s="20">
        <f t="shared" si="162"/>
        <v>6.4758730798340893E-12</v>
      </c>
      <c r="R158" s="59">
        <f t="shared" si="109"/>
        <v>293.33333333333979</v>
      </c>
      <c r="S158" s="59">
        <f ca="1">AVERAGE(OFFSET($R$3,0,0,'Données projet'!$E$9+1,1))-AVERAGE(OFFSET($H$3,0,0,'Données projet'!$E$9+1,1))</f>
        <v>346.35147716792028</v>
      </c>
      <c r="T158" s="59">
        <f t="shared" si="142"/>
        <v>231.36959598460686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7.1544214255919455E-17</v>
      </c>
      <c r="AC158" s="22">
        <f t="shared" si="163"/>
        <v>7.1544214255919455E-17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964.00000000000023</v>
      </c>
      <c r="AJ158" s="13">
        <f>AI158*VLOOKUP('Données projet'!$B$10,Paramètres!$A$1:$I$89,3,0)*VLOOKUP('Données projet'!$B$10,Paramètres!$A$1:$I$89,5,0)</f>
        <v>576.47200000000021</v>
      </c>
      <c r="AK158" s="13">
        <f t="shared" si="164"/>
        <v>126.75809338895206</v>
      </c>
      <c r="AL158" s="20">
        <f t="shared" si="165"/>
        <v>1224.7924126524251</v>
      </c>
      <c r="AM158" s="59">
        <f t="shared" si="113"/>
        <v>1518.1257459857584</v>
      </c>
      <c r="AN158" s="59">
        <f ca="1">AVERAGE(OFFSET($AM$3,0,0,'Données projet'!$E$10+1,1))-AVERAGE(OFFSET($H$3,0,0,'Données projet'!$E$10+1,1))</f>
        <v>559.94918407141222</v>
      </c>
      <c r="AO158" s="59">
        <f t="shared" si="144"/>
        <v>334.6078891555664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2.9079943007875393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2.5276468090796177E-17</v>
      </c>
      <c r="AX158" s="21">
        <f t="shared" si="166"/>
        <v>2.9079943007875393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1.7053025658242404E-13</v>
      </c>
      <c r="BE158" s="13">
        <f>BD158*VLOOKUP('Données projet'!$B$11,Paramètres!$A$1:$I$89,3,0)*VLOOKUP('Données projet'!$B$11,Paramètres!$A$1:$I$89,5,0)</f>
        <v>7.9808160080574461E-14</v>
      </c>
      <c r="BF158" s="13">
        <f t="shared" si="167"/>
        <v>1.2308384591775343E-12</v>
      </c>
      <c r="BG158" s="20">
        <f t="shared" si="168"/>
        <v>2.282709528541206E-12</v>
      </c>
      <c r="BH158" s="59">
        <f t="shared" si="116"/>
        <v>293.33333333333559</v>
      </c>
      <c r="BI158" s="59">
        <f ca="1">AVERAGE(OFFSET($BH$3,0,0,'Données projet'!$E$11+1,1))-AVERAGE(OFFSET($H$3,0,0,'Données projet'!$E$11+1,1))</f>
        <v>276.78862011733338</v>
      </c>
      <c r="BJ158" s="59">
        <f t="shared" si="146"/>
        <v>202.1678469635836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-275.00000000000028</v>
      </c>
      <c r="BZ158" s="13">
        <f>BY158*VLOOKUP('Données projet'!$B$12,Paramètres!$A$1:$I$89,3,0)*VLOOKUP('Données projet'!$B$12,Paramètres!$A$1:$I$89,5,0)</f>
        <v>-214.50000000000023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286.5685205631126</v>
      </c>
      <c r="CE158" s="59">
        <f t="shared" si="148"/>
        <v>264.17357326498581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2.8421709430404007E-13</v>
      </c>
      <c r="O159" s="13">
        <f>N159*VLOOKUP('Données projet'!$B$9,Paramètres!$A$1:$I$89,3,0)*VLOOKUP('Données projet'!$B$9,Paramètres!$A$1:$I$89,5,0)</f>
        <v>2.5715962692629546E-13</v>
      </c>
      <c r="P159" s="13">
        <f t="shared" si="141"/>
        <v>3.4610450122128953E-12</v>
      </c>
      <c r="Q159" s="20">
        <f t="shared" si="162"/>
        <v>6.4758730798340893E-12</v>
      </c>
      <c r="R159" s="59">
        <f t="shared" si="109"/>
        <v>293.33333333333979</v>
      </c>
      <c r="S159" s="59">
        <f ca="1">AVERAGE(OFFSET($R$3,0,0,'Données projet'!$E$9+1,1))-AVERAGE(OFFSET($H$3,0,0,'Données projet'!$E$9+1,1))</f>
        <v>346.35147716792028</v>
      </c>
      <c r="T159" s="59">
        <f t="shared" si="142"/>
        <v>231.36959598460686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5.0589399055023913E-17</v>
      </c>
      <c r="AC159" s="22">
        <f t="shared" si="163"/>
        <v>5.0589399055023913E-17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964.00000000000023</v>
      </c>
      <c r="AJ159" s="13">
        <f>AI159*VLOOKUP('Données projet'!$B$10,Paramètres!$A$1:$I$89,3,0)*VLOOKUP('Données projet'!$B$10,Paramètres!$A$1:$I$89,5,0)</f>
        <v>576.47200000000021</v>
      </c>
      <c r="AK159" s="13">
        <f t="shared" si="164"/>
        <v>126.75809338895206</v>
      </c>
      <c r="AL159" s="20">
        <f t="shared" si="165"/>
        <v>1224.7924126524251</v>
      </c>
      <c r="AM159" s="59">
        <f t="shared" si="113"/>
        <v>1518.1257459857584</v>
      </c>
      <c r="AN159" s="59">
        <f ca="1">AVERAGE(OFFSET($AM$3,0,0,'Données projet'!$E$10+1,1))-AVERAGE(OFFSET($H$3,0,0,'Données projet'!$E$10+1,1))</f>
        <v>559.94918407141222</v>
      </c>
      <c r="AO159" s="59">
        <f t="shared" si="144"/>
        <v>334.6078891555664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2.8509703062504808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1.7873161991447362E-17</v>
      </c>
      <c r="AX159" s="21">
        <f t="shared" si="166"/>
        <v>2.8509703062504808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1.7053025658242404E-13</v>
      </c>
      <c r="BE159" s="13">
        <f>BD159*VLOOKUP('Données projet'!$B$11,Paramètres!$A$1:$I$89,3,0)*VLOOKUP('Données projet'!$B$11,Paramètres!$A$1:$I$89,5,0)</f>
        <v>7.9808160080574461E-14</v>
      </c>
      <c r="BF159" s="13">
        <f t="shared" si="167"/>
        <v>1.2308384591775343E-12</v>
      </c>
      <c r="BG159" s="20">
        <f t="shared" si="168"/>
        <v>2.282709528541206E-12</v>
      </c>
      <c r="BH159" s="59">
        <f t="shared" si="116"/>
        <v>293.33333333333559</v>
      </c>
      <c r="BI159" s="59">
        <f ca="1">AVERAGE(OFFSET($BH$3,0,0,'Données projet'!$E$11+1,1))-AVERAGE(OFFSET($H$3,0,0,'Données projet'!$E$11+1,1))</f>
        <v>276.78862011733338</v>
      </c>
      <c r="BJ159" s="59">
        <f t="shared" si="146"/>
        <v>202.1678469635836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-275.00000000000028</v>
      </c>
      <c r="BZ159" s="13">
        <f>BY159*VLOOKUP('Données projet'!$B$12,Paramètres!$A$1:$I$89,3,0)*VLOOKUP('Données projet'!$B$12,Paramètres!$A$1:$I$89,5,0)</f>
        <v>-214.50000000000023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286.5685205631126</v>
      </c>
      <c r="CE159" s="59">
        <f t="shared" si="148"/>
        <v>264.17357326498581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2.8421709430404007E-13</v>
      </c>
      <c r="O160" s="13">
        <f>N160*VLOOKUP('Données projet'!$B$9,Paramètres!$A$1:$I$89,3,0)*VLOOKUP('Données projet'!$B$9,Paramètres!$A$1:$I$89,5,0)</f>
        <v>2.5715962692629546E-13</v>
      </c>
      <c r="P160" s="13">
        <f t="shared" si="141"/>
        <v>3.4610450122128953E-12</v>
      </c>
      <c r="Q160" s="20">
        <f t="shared" si="162"/>
        <v>6.4758730798340893E-12</v>
      </c>
      <c r="R160" s="59">
        <f t="shared" si="109"/>
        <v>293.33333333333979</v>
      </c>
      <c r="S160" s="59">
        <f ca="1">AVERAGE(OFFSET($R$3,0,0,'Données projet'!$E$9+1,1))-AVERAGE(OFFSET($H$3,0,0,'Données projet'!$E$9+1,1))</f>
        <v>346.35147716792028</v>
      </c>
      <c r="T160" s="59">
        <f t="shared" si="142"/>
        <v>231.36959598460686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3.5772107127959727E-17</v>
      </c>
      <c r="AC160" s="22">
        <f t="shared" si="163"/>
        <v>3.5772107127959727E-17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964.00000000000023</v>
      </c>
      <c r="AJ160" s="13">
        <f>AI160*VLOOKUP('Données projet'!$B$10,Paramètres!$A$1:$I$89,3,0)*VLOOKUP('Données projet'!$B$10,Paramètres!$A$1:$I$89,5,0)</f>
        <v>576.47200000000021</v>
      </c>
      <c r="AK160" s="13">
        <f t="shared" si="164"/>
        <v>126.75809338895206</v>
      </c>
      <c r="AL160" s="20">
        <f t="shared" si="165"/>
        <v>1224.7924126524251</v>
      </c>
      <c r="AM160" s="59">
        <f t="shared" si="113"/>
        <v>1518.1257459857584</v>
      </c>
      <c r="AN160" s="59">
        <f ca="1">AVERAGE(OFFSET($AM$3,0,0,'Données projet'!$E$10+1,1))-AVERAGE(OFFSET($H$3,0,0,'Données projet'!$E$10+1,1))</f>
        <v>559.94918407141222</v>
      </c>
      <c r="AO160" s="59">
        <f t="shared" si="144"/>
        <v>334.6078891555664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2.7950645174650917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1.2638234045398088E-17</v>
      </c>
      <c r="AX160" s="21">
        <f t="shared" si="166"/>
        <v>2.7950645174650917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1.7053025658242404E-13</v>
      </c>
      <c r="BE160" s="13">
        <f>BD160*VLOOKUP('Données projet'!$B$11,Paramètres!$A$1:$I$89,3,0)*VLOOKUP('Données projet'!$B$11,Paramètres!$A$1:$I$89,5,0)</f>
        <v>7.9808160080574461E-14</v>
      </c>
      <c r="BF160" s="13">
        <f t="shared" si="167"/>
        <v>1.2308384591775343E-12</v>
      </c>
      <c r="BG160" s="20">
        <f t="shared" si="168"/>
        <v>2.282709528541206E-12</v>
      </c>
      <c r="BH160" s="59">
        <f t="shared" si="116"/>
        <v>293.33333333333559</v>
      </c>
      <c r="BI160" s="59">
        <f ca="1">AVERAGE(OFFSET($BH$3,0,0,'Données projet'!$E$11+1,1))-AVERAGE(OFFSET($H$3,0,0,'Données projet'!$E$11+1,1))</f>
        <v>276.78862011733338</v>
      </c>
      <c r="BJ160" s="59">
        <f t="shared" si="146"/>
        <v>202.1678469635836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-275.00000000000028</v>
      </c>
      <c r="BZ160" s="13">
        <f>BY160*VLOOKUP('Données projet'!$B$12,Paramètres!$A$1:$I$89,3,0)*VLOOKUP('Données projet'!$B$12,Paramètres!$A$1:$I$89,5,0)</f>
        <v>-214.50000000000023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286.5685205631126</v>
      </c>
      <c r="CE160" s="59">
        <f t="shared" si="148"/>
        <v>264.17357326498581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2.8421709430404007E-13</v>
      </c>
      <c r="O161" s="13">
        <f>N161*VLOOKUP('Données projet'!$B$9,Paramètres!$A$1:$I$89,3,0)*VLOOKUP('Données projet'!$B$9,Paramètres!$A$1:$I$89,5,0)</f>
        <v>2.5715962692629546E-13</v>
      </c>
      <c r="P161" s="13">
        <f t="shared" si="141"/>
        <v>3.4610450122128953E-12</v>
      </c>
      <c r="Q161" s="20">
        <f t="shared" si="162"/>
        <v>6.4758730798340893E-12</v>
      </c>
      <c r="R161" s="59">
        <f t="shared" si="109"/>
        <v>293.33333333333979</v>
      </c>
      <c r="S161" s="59">
        <f ca="1">AVERAGE(OFFSET($R$3,0,0,'Données projet'!$E$9+1,1))-AVERAGE(OFFSET($H$3,0,0,'Données projet'!$E$9+1,1))</f>
        <v>346.35147716792028</v>
      </c>
      <c r="T161" s="59">
        <f t="shared" si="142"/>
        <v>231.36959598460686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2.5294699527511956E-17</v>
      </c>
      <c r="AC161" s="22">
        <f t="shared" si="163"/>
        <v>2.5294699527511956E-17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964.00000000000023</v>
      </c>
      <c r="AJ161" s="13">
        <f>AI161*VLOOKUP('Données projet'!$B$10,Paramètres!$A$1:$I$89,3,0)*VLOOKUP('Données projet'!$B$10,Paramètres!$A$1:$I$89,5,0)</f>
        <v>576.47200000000021</v>
      </c>
      <c r="AK161" s="13">
        <f t="shared" si="164"/>
        <v>126.75809338895206</v>
      </c>
      <c r="AL161" s="20">
        <f t="shared" si="165"/>
        <v>1224.7924126524251</v>
      </c>
      <c r="AM161" s="59">
        <f t="shared" si="113"/>
        <v>1518.1257459857584</v>
      </c>
      <c r="AN161" s="59">
        <f ca="1">AVERAGE(OFFSET($AM$3,0,0,'Données projet'!$E$10+1,1))-AVERAGE(OFFSET($H$3,0,0,'Données projet'!$E$10+1,1))</f>
        <v>559.94918407141222</v>
      </c>
      <c r="AO161" s="59">
        <f t="shared" si="144"/>
        <v>334.6078891555664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2.7402550070986198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8.9365809957236812E-18</v>
      </c>
      <c r="AX161" s="21">
        <f t="shared" si="166"/>
        <v>2.7402550070986198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1.7053025658242404E-13</v>
      </c>
      <c r="BE161" s="13">
        <f>BD161*VLOOKUP('Données projet'!$B$11,Paramètres!$A$1:$I$89,3,0)*VLOOKUP('Données projet'!$B$11,Paramètres!$A$1:$I$89,5,0)</f>
        <v>7.9808160080574461E-14</v>
      </c>
      <c r="BF161" s="13">
        <f t="shared" si="167"/>
        <v>1.2308384591775343E-12</v>
      </c>
      <c r="BG161" s="20">
        <f t="shared" si="168"/>
        <v>2.282709528541206E-12</v>
      </c>
      <c r="BH161" s="59">
        <f t="shared" si="116"/>
        <v>293.33333333333559</v>
      </c>
      <c r="BI161" s="59">
        <f ca="1">AVERAGE(OFFSET($BH$3,0,0,'Données projet'!$E$11+1,1))-AVERAGE(OFFSET($H$3,0,0,'Données projet'!$E$11+1,1))</f>
        <v>276.78862011733338</v>
      </c>
      <c r="BJ161" s="59">
        <f t="shared" si="146"/>
        <v>202.1678469635836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-275.00000000000028</v>
      </c>
      <c r="BZ161" s="13">
        <f>BY161*VLOOKUP('Données projet'!$B$12,Paramètres!$A$1:$I$89,3,0)*VLOOKUP('Données projet'!$B$12,Paramètres!$A$1:$I$89,5,0)</f>
        <v>-214.50000000000023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286.5685205631126</v>
      </c>
      <c r="CE161" s="59">
        <f t="shared" si="148"/>
        <v>264.17357326498581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2.8421709430404007E-13</v>
      </c>
      <c r="O162" s="13">
        <f>N162*VLOOKUP('Données projet'!$B$9,Paramètres!$A$1:$I$89,3,0)*VLOOKUP('Données projet'!$B$9,Paramètres!$A$1:$I$89,5,0)</f>
        <v>2.5715962692629546E-13</v>
      </c>
      <c r="P162" s="13">
        <f t="shared" si="141"/>
        <v>3.4610450122128953E-12</v>
      </c>
      <c r="Q162" s="20">
        <f t="shared" si="162"/>
        <v>6.4758730798340893E-12</v>
      </c>
      <c r="R162" s="59">
        <f t="shared" si="109"/>
        <v>293.33333333333979</v>
      </c>
      <c r="S162" s="59">
        <f ca="1">AVERAGE(OFFSET($R$3,0,0,'Données projet'!$E$9+1,1))-AVERAGE(OFFSET($H$3,0,0,'Données projet'!$E$9+1,1))</f>
        <v>346.35147716792028</v>
      </c>
      <c r="T162" s="59">
        <f t="shared" si="142"/>
        <v>231.36959598460686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1.7886053563979864E-17</v>
      </c>
      <c r="AC162" s="22">
        <f t="shared" si="163"/>
        <v>1.7886053563979864E-17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964.00000000000023</v>
      </c>
      <c r="AJ162" s="13">
        <f>AI162*VLOOKUP('Données projet'!$B$10,Paramètres!$A$1:$I$89,3,0)*VLOOKUP('Données projet'!$B$10,Paramètres!$A$1:$I$89,5,0)</f>
        <v>576.47200000000021</v>
      </c>
      <c r="AK162" s="13">
        <f t="shared" si="164"/>
        <v>126.75809338895206</v>
      </c>
      <c r="AL162" s="20">
        <f t="shared" si="165"/>
        <v>1224.7924126524251</v>
      </c>
      <c r="AM162" s="59">
        <f t="shared" si="113"/>
        <v>1518.1257459857584</v>
      </c>
      <c r="AN162" s="59">
        <f ca="1">AVERAGE(OFFSET($AM$3,0,0,'Données projet'!$E$10+1,1))-AVERAGE(OFFSET($H$3,0,0,'Données projet'!$E$10+1,1))</f>
        <v>559.94918407141222</v>
      </c>
      <c r="AO162" s="59">
        <f t="shared" si="144"/>
        <v>334.6078891555664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2.686520277799934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6.3191170226990442E-18</v>
      </c>
      <c r="AX162" s="21">
        <f t="shared" si="166"/>
        <v>2.686520277799934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1.7053025658242404E-13</v>
      </c>
      <c r="BE162" s="13">
        <f>BD162*VLOOKUP('Données projet'!$B$11,Paramètres!$A$1:$I$89,3,0)*VLOOKUP('Données projet'!$B$11,Paramètres!$A$1:$I$89,5,0)</f>
        <v>7.9808160080574461E-14</v>
      </c>
      <c r="BF162" s="13">
        <f t="shared" si="167"/>
        <v>1.2308384591775343E-12</v>
      </c>
      <c r="BG162" s="20">
        <f t="shared" si="168"/>
        <v>2.282709528541206E-12</v>
      </c>
      <c r="BH162" s="59">
        <f t="shared" si="116"/>
        <v>293.33333333333559</v>
      </c>
      <c r="BI162" s="59">
        <f ca="1">AVERAGE(OFFSET($BH$3,0,0,'Données projet'!$E$11+1,1))-AVERAGE(OFFSET($H$3,0,0,'Données projet'!$E$11+1,1))</f>
        <v>276.78862011733338</v>
      </c>
      <c r="BJ162" s="59">
        <f t="shared" si="146"/>
        <v>202.1678469635836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-275.00000000000028</v>
      </c>
      <c r="BZ162" s="13">
        <f>BY162*VLOOKUP('Données projet'!$B$12,Paramètres!$A$1:$I$89,3,0)*VLOOKUP('Données projet'!$B$12,Paramètres!$A$1:$I$89,5,0)</f>
        <v>-214.50000000000023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286.5685205631126</v>
      </c>
      <c r="CE162" s="59">
        <f t="shared" si="148"/>
        <v>264.17357326498581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2.8421709430404007E-13</v>
      </c>
      <c r="O163" s="13">
        <f>N163*VLOOKUP('Données projet'!$B$9,Paramètres!$A$1:$I$89,3,0)*VLOOKUP('Données projet'!$B$9,Paramètres!$A$1:$I$89,5,0)</f>
        <v>2.5715962692629546E-13</v>
      </c>
      <c r="P163" s="13">
        <f t="shared" si="141"/>
        <v>3.4610450122128953E-12</v>
      </c>
      <c r="Q163" s="20">
        <f t="shared" si="162"/>
        <v>6.4758730798340893E-12</v>
      </c>
      <c r="R163" s="59">
        <f t="shared" si="109"/>
        <v>293.33333333333979</v>
      </c>
      <c r="S163" s="59">
        <f ca="1">AVERAGE(OFFSET($R$3,0,0,'Données projet'!$E$9+1,1))-AVERAGE(OFFSET($H$3,0,0,'Données projet'!$E$9+1,1))</f>
        <v>346.35147716792028</v>
      </c>
      <c r="T163" s="59">
        <f t="shared" si="142"/>
        <v>231.36959598460686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1.2647349763755978E-17</v>
      </c>
      <c r="AC163" s="22">
        <f t="shared" si="163"/>
        <v>1.2647349763755978E-17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964.00000000000023</v>
      </c>
      <c r="AJ163" s="13">
        <f>AI163*VLOOKUP('Données projet'!$B$10,Paramètres!$A$1:$I$89,3,0)*VLOOKUP('Données projet'!$B$10,Paramètres!$A$1:$I$89,5,0)</f>
        <v>576.47200000000021</v>
      </c>
      <c r="AK163" s="13">
        <f t="shared" si="164"/>
        <v>126.75809338895206</v>
      </c>
      <c r="AL163" s="20">
        <f t="shared" si="165"/>
        <v>1224.7924126524251</v>
      </c>
      <c r="AM163" s="59">
        <f t="shared" si="113"/>
        <v>1518.1257459857584</v>
      </c>
      <c r="AN163" s="59">
        <f ca="1">AVERAGE(OFFSET($AM$3,0,0,'Données projet'!$E$10+1,1))-AVERAGE(OFFSET($H$3,0,0,'Données projet'!$E$10+1,1))</f>
        <v>559.94918407141222</v>
      </c>
      <c r="AO163" s="59">
        <f t="shared" si="144"/>
        <v>334.6078891555664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2.6338392537678468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4.4682904978618406E-18</v>
      </c>
      <c r="AX163" s="21">
        <f t="shared" si="166"/>
        <v>2.6338392537678468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1.7053025658242404E-13</v>
      </c>
      <c r="BE163" s="13">
        <f>BD163*VLOOKUP('Données projet'!$B$11,Paramètres!$A$1:$I$89,3,0)*VLOOKUP('Données projet'!$B$11,Paramètres!$A$1:$I$89,5,0)</f>
        <v>7.9808160080574461E-14</v>
      </c>
      <c r="BF163" s="13">
        <f t="shared" si="167"/>
        <v>1.2308384591775343E-12</v>
      </c>
      <c r="BG163" s="20">
        <f t="shared" si="168"/>
        <v>2.282709528541206E-12</v>
      </c>
      <c r="BH163" s="59">
        <f t="shared" si="116"/>
        <v>293.33333333333559</v>
      </c>
      <c r="BI163" s="59">
        <f ca="1">AVERAGE(OFFSET($BH$3,0,0,'Données projet'!$E$11+1,1))-AVERAGE(OFFSET($H$3,0,0,'Données projet'!$E$11+1,1))</f>
        <v>276.78862011733338</v>
      </c>
      <c r="BJ163" s="59">
        <f t="shared" si="146"/>
        <v>202.1678469635836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-275.00000000000028</v>
      </c>
      <c r="BZ163" s="13">
        <f>BY163*VLOOKUP('Données projet'!$B$12,Paramètres!$A$1:$I$89,3,0)*VLOOKUP('Données projet'!$B$12,Paramètres!$A$1:$I$89,5,0)</f>
        <v>-214.50000000000023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286.5685205631126</v>
      </c>
      <c r="CE163" s="59">
        <f t="shared" si="148"/>
        <v>264.17357326498581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2.8421709430404007E-13</v>
      </c>
      <c r="O164" s="13">
        <f>N164*VLOOKUP('Données projet'!$B$9,Paramètres!$A$1:$I$89,3,0)*VLOOKUP('Données projet'!$B$9,Paramètres!$A$1:$I$89,5,0)</f>
        <v>2.5715962692629546E-13</v>
      </c>
      <c r="P164" s="13">
        <f t="shared" si="141"/>
        <v>3.4610450122128953E-12</v>
      </c>
      <c r="Q164" s="20">
        <f t="shared" si="162"/>
        <v>6.4758730798340893E-12</v>
      </c>
      <c r="R164" s="59">
        <f t="shared" si="109"/>
        <v>293.33333333333979</v>
      </c>
      <c r="S164" s="59">
        <f ca="1">AVERAGE(OFFSET($R$3,0,0,'Données projet'!$E$9+1,1))-AVERAGE(OFFSET($H$3,0,0,'Données projet'!$E$9+1,1))</f>
        <v>346.35147716792028</v>
      </c>
      <c r="T164" s="59">
        <f t="shared" si="142"/>
        <v>231.36959598460686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8.9430267819899319E-18</v>
      </c>
      <c r="AC164" s="22">
        <f t="shared" si="163"/>
        <v>8.9430267819899319E-18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964.00000000000023</v>
      </c>
      <c r="AJ164" s="13">
        <f>AI164*VLOOKUP('Données projet'!$B$10,Paramètres!$A$1:$I$89,3,0)*VLOOKUP('Données projet'!$B$10,Paramètres!$A$1:$I$89,5,0)</f>
        <v>576.47200000000021</v>
      </c>
      <c r="AK164" s="13">
        <f t="shared" si="164"/>
        <v>126.75809338895206</v>
      </c>
      <c r="AL164" s="20">
        <f t="shared" si="165"/>
        <v>1224.7924126524251</v>
      </c>
      <c r="AM164" s="59">
        <f t="shared" si="113"/>
        <v>1518.1257459857584</v>
      </c>
      <c r="AN164" s="59">
        <f ca="1">AVERAGE(OFFSET($AM$3,0,0,'Données projet'!$E$10+1,1))-AVERAGE(OFFSET($H$3,0,0,'Données projet'!$E$10+1,1))</f>
        <v>559.94918407141222</v>
      </c>
      <c r="AO164" s="59">
        <f t="shared" si="144"/>
        <v>334.6078891555664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2.5821912724847769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3.1595585113495221E-18</v>
      </c>
      <c r="AX164" s="21">
        <f t="shared" si="166"/>
        <v>2.5821912724847769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1.7053025658242404E-13</v>
      </c>
      <c r="BE164" s="13">
        <f>BD164*VLOOKUP('Données projet'!$B$11,Paramètres!$A$1:$I$89,3,0)*VLOOKUP('Données projet'!$B$11,Paramètres!$A$1:$I$89,5,0)</f>
        <v>7.9808160080574461E-14</v>
      </c>
      <c r="BF164" s="13">
        <f t="shared" si="167"/>
        <v>1.2308384591775343E-12</v>
      </c>
      <c r="BG164" s="20">
        <f t="shared" si="168"/>
        <v>2.282709528541206E-12</v>
      </c>
      <c r="BH164" s="59">
        <f t="shared" si="116"/>
        <v>293.33333333333559</v>
      </c>
      <c r="BI164" s="59">
        <f ca="1">AVERAGE(OFFSET($BH$3,0,0,'Données projet'!$E$11+1,1))-AVERAGE(OFFSET($H$3,0,0,'Données projet'!$E$11+1,1))</f>
        <v>276.78862011733338</v>
      </c>
      <c r="BJ164" s="59">
        <f t="shared" si="146"/>
        <v>202.1678469635836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-275.00000000000028</v>
      </c>
      <c r="BZ164" s="13">
        <f>BY164*VLOOKUP('Données projet'!$B$12,Paramètres!$A$1:$I$89,3,0)*VLOOKUP('Données projet'!$B$12,Paramètres!$A$1:$I$89,5,0)</f>
        <v>-214.50000000000023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286.5685205631126</v>
      </c>
      <c r="CE164" s="59">
        <f t="shared" si="148"/>
        <v>264.17357326498581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2.8421709430404007E-13</v>
      </c>
      <c r="O165" s="13">
        <f>N165*VLOOKUP('Données projet'!$B$9,Paramètres!$A$1:$I$89,3,0)*VLOOKUP('Données projet'!$B$9,Paramètres!$A$1:$I$89,5,0)</f>
        <v>2.5715962692629546E-13</v>
      </c>
      <c r="P165" s="13">
        <f t="shared" si="141"/>
        <v>3.4610450122128953E-12</v>
      </c>
      <c r="Q165" s="20">
        <f t="shared" si="162"/>
        <v>6.4758730798340893E-12</v>
      </c>
      <c r="R165" s="59">
        <f t="shared" si="109"/>
        <v>293.33333333333979</v>
      </c>
      <c r="S165" s="59">
        <f ca="1">AVERAGE(OFFSET($R$3,0,0,'Données projet'!$E$9+1,1))-AVERAGE(OFFSET($H$3,0,0,'Données projet'!$E$9+1,1))</f>
        <v>346.35147716792028</v>
      </c>
      <c r="T165" s="59">
        <f t="shared" si="142"/>
        <v>231.36959598460686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6.3236748818779891E-18</v>
      </c>
      <c r="AC165" s="22">
        <f t="shared" si="163"/>
        <v>6.3236748818779891E-18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964.00000000000023</v>
      </c>
      <c r="AJ165" s="13">
        <f>AI165*VLOOKUP('Données projet'!$B$10,Paramètres!$A$1:$I$89,3,0)*VLOOKUP('Données projet'!$B$10,Paramètres!$A$1:$I$89,5,0)</f>
        <v>576.47200000000021</v>
      </c>
      <c r="AK165" s="13">
        <f t="shared" si="164"/>
        <v>126.75809338895206</v>
      </c>
      <c r="AL165" s="20">
        <f t="shared" si="165"/>
        <v>1224.7924126524251</v>
      </c>
      <c r="AM165" s="59">
        <f t="shared" si="113"/>
        <v>1518.1257459857584</v>
      </c>
      <c r="AN165" s="59">
        <f ca="1">AVERAGE(OFFSET($AM$3,0,0,'Données projet'!$E$10+1,1))-AVERAGE(OFFSET($H$3,0,0,'Données projet'!$E$10+1,1))</f>
        <v>559.94918407141222</v>
      </c>
      <c r="AO165" s="59">
        <f t="shared" si="144"/>
        <v>334.6078891555664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2.5315560766125103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2.2341452489309203E-18</v>
      </c>
      <c r="AX165" s="21">
        <f t="shared" si="166"/>
        <v>2.5315560766125103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1.7053025658242404E-13</v>
      </c>
      <c r="BE165" s="13">
        <f>BD165*VLOOKUP('Données projet'!$B$11,Paramètres!$A$1:$I$89,3,0)*VLOOKUP('Données projet'!$B$11,Paramètres!$A$1:$I$89,5,0)</f>
        <v>7.9808160080574461E-14</v>
      </c>
      <c r="BF165" s="13">
        <f t="shared" si="167"/>
        <v>1.2308384591775343E-12</v>
      </c>
      <c r="BG165" s="20">
        <f t="shared" si="168"/>
        <v>2.282709528541206E-12</v>
      </c>
      <c r="BH165" s="59">
        <f t="shared" si="116"/>
        <v>293.33333333333559</v>
      </c>
      <c r="BI165" s="59">
        <f ca="1">AVERAGE(OFFSET($BH$3,0,0,'Données projet'!$E$11+1,1))-AVERAGE(OFFSET($H$3,0,0,'Données projet'!$E$11+1,1))</f>
        <v>276.78862011733338</v>
      </c>
      <c r="BJ165" s="59">
        <f t="shared" si="146"/>
        <v>202.1678469635836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-275.00000000000028</v>
      </c>
      <c r="BZ165" s="13">
        <f>BY165*VLOOKUP('Données projet'!$B$12,Paramètres!$A$1:$I$89,3,0)*VLOOKUP('Données projet'!$B$12,Paramètres!$A$1:$I$89,5,0)</f>
        <v>-214.50000000000023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286.5685205631126</v>
      </c>
      <c r="CE165" s="59">
        <f t="shared" si="148"/>
        <v>264.17357326498581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2.8421709430404007E-13</v>
      </c>
      <c r="O166" s="13">
        <f>N166*VLOOKUP('Données projet'!$B$9,Paramètres!$A$1:$I$89,3,0)*VLOOKUP('Données projet'!$B$9,Paramètres!$A$1:$I$89,5,0)</f>
        <v>2.5715962692629546E-13</v>
      </c>
      <c r="P166" s="13">
        <f t="shared" si="141"/>
        <v>3.4610450122128953E-12</v>
      </c>
      <c r="Q166" s="20">
        <f t="shared" si="162"/>
        <v>6.4758730798340893E-12</v>
      </c>
      <c r="R166" s="59">
        <f t="shared" si="109"/>
        <v>293.33333333333979</v>
      </c>
      <c r="S166" s="59">
        <f ca="1">AVERAGE(OFFSET($R$3,0,0,'Données projet'!$E$9+1,1))-AVERAGE(OFFSET($H$3,0,0,'Données projet'!$E$9+1,1))</f>
        <v>346.35147716792028</v>
      </c>
      <c r="T166" s="59">
        <f t="shared" si="142"/>
        <v>231.36959598460686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4.4715133909949659E-18</v>
      </c>
      <c r="AC166" s="22">
        <f t="shared" si="163"/>
        <v>4.4715133909949659E-18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964.00000000000023</v>
      </c>
      <c r="AJ166" s="13">
        <f>AI166*VLOOKUP('Données projet'!$B$10,Paramètres!$A$1:$I$89,3,0)*VLOOKUP('Données projet'!$B$10,Paramètres!$A$1:$I$89,5,0)</f>
        <v>576.47200000000021</v>
      </c>
      <c r="AK166" s="13">
        <f t="shared" si="164"/>
        <v>126.75809338895206</v>
      </c>
      <c r="AL166" s="20">
        <f t="shared" si="165"/>
        <v>1224.7924126524251</v>
      </c>
      <c r="AM166" s="59">
        <f t="shared" si="113"/>
        <v>1518.1257459857584</v>
      </c>
      <c r="AN166" s="59">
        <f ca="1">AVERAGE(OFFSET($AM$3,0,0,'Données projet'!$E$10+1,1))-AVERAGE(OFFSET($H$3,0,0,'Données projet'!$E$10+1,1))</f>
        <v>559.94918407141222</v>
      </c>
      <c r="AO166" s="59">
        <f t="shared" si="144"/>
        <v>334.6078891555664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2.4819138060468786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1.579779255674761E-18</v>
      </c>
      <c r="AX166" s="21">
        <f t="shared" si="166"/>
        <v>2.4819138060468786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1.7053025658242404E-13</v>
      </c>
      <c r="BE166" s="13">
        <f>BD166*VLOOKUP('Données projet'!$B$11,Paramètres!$A$1:$I$89,3,0)*VLOOKUP('Données projet'!$B$11,Paramètres!$A$1:$I$89,5,0)</f>
        <v>7.9808160080574461E-14</v>
      </c>
      <c r="BF166" s="13">
        <f t="shared" si="167"/>
        <v>1.2308384591775343E-12</v>
      </c>
      <c r="BG166" s="20">
        <f t="shared" si="168"/>
        <v>2.282709528541206E-12</v>
      </c>
      <c r="BH166" s="59">
        <f t="shared" si="116"/>
        <v>293.33333333333559</v>
      </c>
      <c r="BI166" s="59">
        <f ca="1">AVERAGE(OFFSET($BH$3,0,0,'Données projet'!$E$11+1,1))-AVERAGE(OFFSET($H$3,0,0,'Données projet'!$E$11+1,1))</f>
        <v>276.78862011733338</v>
      </c>
      <c r="BJ166" s="59">
        <f t="shared" si="146"/>
        <v>202.1678469635836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-275.00000000000028</v>
      </c>
      <c r="BZ166" s="13">
        <f>BY166*VLOOKUP('Données projet'!$B$12,Paramètres!$A$1:$I$89,3,0)*VLOOKUP('Données projet'!$B$12,Paramètres!$A$1:$I$89,5,0)</f>
        <v>-214.50000000000023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286.5685205631126</v>
      </c>
      <c r="CE166" s="59">
        <f t="shared" si="148"/>
        <v>264.17357326498581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2.8421709430404007E-13</v>
      </c>
      <c r="O167" s="13">
        <f>N167*VLOOKUP('Données projet'!$B$9,Paramètres!$A$1:$I$89,3,0)*VLOOKUP('Données projet'!$B$9,Paramètres!$A$1:$I$89,5,0)</f>
        <v>2.5715962692629546E-13</v>
      </c>
      <c r="P167" s="13">
        <f t="shared" si="141"/>
        <v>3.4610450122128953E-12</v>
      </c>
      <c r="Q167" s="20">
        <f t="shared" si="162"/>
        <v>6.4758730798340893E-12</v>
      </c>
      <c r="R167" s="59">
        <f t="shared" si="109"/>
        <v>293.33333333333979</v>
      </c>
      <c r="S167" s="59">
        <f ca="1">AVERAGE(OFFSET($R$3,0,0,'Données projet'!$E$9+1,1))-AVERAGE(OFFSET($H$3,0,0,'Données projet'!$E$9+1,1))</f>
        <v>346.35147716792028</v>
      </c>
      <c r="T167" s="59">
        <f t="shared" si="142"/>
        <v>231.36959598460686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3.1618374409389946E-18</v>
      </c>
      <c r="AC167" s="22">
        <f t="shared" si="163"/>
        <v>3.1618374409389946E-18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964.00000000000023</v>
      </c>
      <c r="AJ167" s="13">
        <f>AI167*VLOOKUP('Données projet'!$B$10,Paramètres!$A$1:$I$89,3,0)*VLOOKUP('Données projet'!$B$10,Paramètres!$A$1:$I$89,5,0)</f>
        <v>576.47200000000021</v>
      </c>
      <c r="AK167" s="13">
        <f t="shared" si="164"/>
        <v>126.75809338895206</v>
      </c>
      <c r="AL167" s="20">
        <f t="shared" si="165"/>
        <v>1224.7924126524251</v>
      </c>
      <c r="AM167" s="59">
        <f t="shared" si="113"/>
        <v>1518.1257459857584</v>
      </c>
      <c r="AN167" s="59">
        <f ca="1">AVERAGE(OFFSET($AM$3,0,0,'Données projet'!$E$10+1,1))-AVERAGE(OFFSET($H$3,0,0,'Données projet'!$E$10+1,1))</f>
        <v>559.94918407141222</v>
      </c>
      <c r="AO167" s="59">
        <f t="shared" si="144"/>
        <v>334.6078891555664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2.433244990128244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1.1170726244654602E-18</v>
      </c>
      <c r="AX167" s="21">
        <f t="shared" si="166"/>
        <v>2.433244990128244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1.7053025658242404E-13</v>
      </c>
      <c r="BE167" s="13">
        <f>BD167*VLOOKUP('Données projet'!$B$11,Paramètres!$A$1:$I$89,3,0)*VLOOKUP('Données projet'!$B$11,Paramètres!$A$1:$I$89,5,0)</f>
        <v>7.9808160080574461E-14</v>
      </c>
      <c r="BF167" s="13">
        <f t="shared" si="167"/>
        <v>1.2308384591775343E-12</v>
      </c>
      <c r="BG167" s="20">
        <f t="shared" si="168"/>
        <v>2.282709528541206E-12</v>
      </c>
      <c r="BH167" s="59">
        <f t="shared" si="116"/>
        <v>293.33333333333559</v>
      </c>
      <c r="BI167" s="59">
        <f ca="1">AVERAGE(OFFSET($BH$3,0,0,'Données projet'!$E$11+1,1))-AVERAGE(OFFSET($H$3,0,0,'Données projet'!$E$11+1,1))</f>
        <v>276.78862011733338</v>
      </c>
      <c r="BJ167" s="59">
        <f t="shared" si="146"/>
        <v>202.1678469635836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-275.00000000000028</v>
      </c>
      <c r="BZ167" s="13">
        <f>BY167*VLOOKUP('Données projet'!$B$12,Paramètres!$A$1:$I$89,3,0)*VLOOKUP('Données projet'!$B$12,Paramètres!$A$1:$I$89,5,0)</f>
        <v>-214.50000000000023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286.5685205631126</v>
      </c>
      <c r="CE167" s="59">
        <f t="shared" si="148"/>
        <v>264.17357326498581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2.8421709430404007E-13</v>
      </c>
      <c r="O168" s="13">
        <f>N168*VLOOKUP('Données projet'!$B$9,Paramètres!$A$1:$I$89,3,0)*VLOOKUP('Données projet'!$B$9,Paramètres!$A$1:$I$89,5,0)</f>
        <v>2.5715962692629546E-13</v>
      </c>
      <c r="P168" s="13">
        <f t="shared" si="141"/>
        <v>3.4610450122128953E-12</v>
      </c>
      <c r="Q168" s="20">
        <f t="shared" si="162"/>
        <v>6.4758730798340893E-12</v>
      </c>
      <c r="R168" s="59">
        <f t="shared" si="109"/>
        <v>293.33333333333979</v>
      </c>
      <c r="S168" s="59">
        <f ca="1">AVERAGE(OFFSET($R$3,0,0,'Données projet'!$E$9+1,1))-AVERAGE(OFFSET($H$3,0,0,'Données projet'!$E$9+1,1))</f>
        <v>346.35147716792028</v>
      </c>
      <c r="T168" s="59">
        <f t="shared" si="142"/>
        <v>231.36959598460686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2.235756695497483E-18</v>
      </c>
      <c r="AC168" s="22">
        <f t="shared" si="163"/>
        <v>2.235756695497483E-18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964.00000000000023</v>
      </c>
      <c r="AJ168" s="13">
        <f>AI168*VLOOKUP('Données projet'!$B$10,Paramètres!$A$1:$I$89,3,0)*VLOOKUP('Données projet'!$B$10,Paramètres!$A$1:$I$89,5,0)</f>
        <v>576.47200000000021</v>
      </c>
      <c r="AK168" s="13">
        <f t="shared" si="164"/>
        <v>126.75809338895206</v>
      </c>
      <c r="AL168" s="20">
        <f t="shared" si="165"/>
        <v>1224.7924126524251</v>
      </c>
      <c r="AM168" s="59">
        <f t="shared" si="113"/>
        <v>1518.1257459857584</v>
      </c>
      <c r="AN168" s="59">
        <f ca="1">AVERAGE(OFFSET($AM$3,0,0,'Données projet'!$E$10+1,1))-AVERAGE(OFFSET($H$3,0,0,'Données projet'!$E$10+1,1))</f>
        <v>559.94918407141222</v>
      </c>
      <c r="AO168" s="59">
        <f t="shared" si="144"/>
        <v>334.6078891555664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2.3855305400047273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7.8988962783738052E-19</v>
      </c>
      <c r="AX168" s="21">
        <f t="shared" si="166"/>
        <v>2.3855305400047273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1.7053025658242404E-13</v>
      </c>
      <c r="BE168" s="13">
        <f>BD168*VLOOKUP('Données projet'!$B$11,Paramètres!$A$1:$I$89,3,0)*VLOOKUP('Données projet'!$B$11,Paramètres!$A$1:$I$89,5,0)</f>
        <v>7.9808160080574461E-14</v>
      </c>
      <c r="BF168" s="13">
        <f t="shared" si="167"/>
        <v>1.2308384591775343E-12</v>
      </c>
      <c r="BG168" s="20">
        <f t="shared" si="168"/>
        <v>2.282709528541206E-12</v>
      </c>
      <c r="BH168" s="59">
        <f t="shared" si="116"/>
        <v>293.33333333333559</v>
      </c>
      <c r="BI168" s="59">
        <f ca="1">AVERAGE(OFFSET($BH$3,0,0,'Données projet'!$E$11+1,1))-AVERAGE(OFFSET($H$3,0,0,'Données projet'!$E$11+1,1))</f>
        <v>276.78862011733338</v>
      </c>
      <c r="BJ168" s="59">
        <f t="shared" si="146"/>
        <v>202.1678469635836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-275.00000000000028</v>
      </c>
      <c r="BZ168" s="13">
        <f>BY168*VLOOKUP('Données projet'!$B$12,Paramètres!$A$1:$I$89,3,0)*VLOOKUP('Données projet'!$B$12,Paramètres!$A$1:$I$89,5,0)</f>
        <v>-214.50000000000023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286.5685205631126</v>
      </c>
      <c r="CE168" s="59">
        <f t="shared" si="148"/>
        <v>264.17357326498581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2.8421709430404007E-13</v>
      </c>
      <c r="O169" s="13">
        <f>N169*VLOOKUP('Données projet'!$B$9,Paramètres!$A$1:$I$89,3,0)*VLOOKUP('Données projet'!$B$9,Paramètres!$A$1:$I$89,5,0)</f>
        <v>2.5715962692629546E-13</v>
      </c>
      <c r="P169" s="13">
        <f t="shared" si="141"/>
        <v>3.4610450122128953E-12</v>
      </c>
      <c r="Q169" s="20">
        <f t="shared" si="162"/>
        <v>6.4758730798340893E-12</v>
      </c>
      <c r="R169" s="59">
        <f t="shared" si="109"/>
        <v>293.33333333333979</v>
      </c>
      <c r="S169" s="59">
        <f ca="1">AVERAGE(OFFSET($R$3,0,0,'Données projet'!$E$9+1,1))-AVERAGE(OFFSET($H$3,0,0,'Données projet'!$E$9+1,1))</f>
        <v>346.35147716792028</v>
      </c>
      <c r="T169" s="59">
        <f t="shared" si="142"/>
        <v>231.36959598460686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1.5809187204694973E-18</v>
      </c>
      <c r="AC169" s="22">
        <f t="shared" si="163"/>
        <v>1.5809187204694973E-18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964.00000000000023</v>
      </c>
      <c r="AJ169" s="13">
        <f>AI169*VLOOKUP('Données projet'!$B$10,Paramètres!$A$1:$I$89,3,0)*VLOOKUP('Données projet'!$B$10,Paramètres!$A$1:$I$89,5,0)</f>
        <v>576.47200000000021</v>
      </c>
      <c r="AK169" s="13">
        <f t="shared" si="164"/>
        <v>126.75809338895206</v>
      </c>
      <c r="AL169" s="20">
        <f t="shared" si="165"/>
        <v>1224.7924126524251</v>
      </c>
      <c r="AM169" s="59">
        <f t="shared" si="113"/>
        <v>1518.1257459857584</v>
      </c>
      <c r="AN169" s="59">
        <f ca="1">AVERAGE(OFFSET($AM$3,0,0,'Données projet'!$E$10+1,1))-AVERAGE(OFFSET($H$3,0,0,'Données projet'!$E$10+1,1))</f>
        <v>559.94918407141222</v>
      </c>
      <c r="AO169" s="59">
        <f t="shared" si="144"/>
        <v>334.6078891555664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2.3387517411451917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5.5853631223273008E-19</v>
      </c>
      <c r="AX169" s="21">
        <f t="shared" si="166"/>
        <v>2.3387517411451917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1.7053025658242404E-13</v>
      </c>
      <c r="BE169" s="13">
        <f>BD169*VLOOKUP('Données projet'!$B$11,Paramètres!$A$1:$I$89,3,0)*VLOOKUP('Données projet'!$B$11,Paramètres!$A$1:$I$89,5,0)</f>
        <v>7.9808160080574461E-14</v>
      </c>
      <c r="BF169" s="13">
        <f t="shared" si="167"/>
        <v>1.2308384591775343E-12</v>
      </c>
      <c r="BG169" s="20">
        <f t="shared" si="168"/>
        <v>2.282709528541206E-12</v>
      </c>
      <c r="BH169" s="59">
        <f t="shared" si="116"/>
        <v>293.33333333333559</v>
      </c>
      <c r="BI169" s="59">
        <f ca="1">AVERAGE(OFFSET($BH$3,0,0,'Données projet'!$E$11+1,1))-AVERAGE(OFFSET($H$3,0,0,'Données projet'!$E$11+1,1))</f>
        <v>276.78862011733338</v>
      </c>
      <c r="BJ169" s="59">
        <f t="shared" si="146"/>
        <v>202.1678469635836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-275.00000000000028</v>
      </c>
      <c r="BZ169" s="13">
        <f>BY169*VLOOKUP('Données projet'!$B$12,Paramètres!$A$1:$I$89,3,0)*VLOOKUP('Données projet'!$B$12,Paramètres!$A$1:$I$89,5,0)</f>
        <v>-214.50000000000023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286.5685205631126</v>
      </c>
      <c r="CE169" s="59">
        <f t="shared" si="148"/>
        <v>264.17357326498581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2.8421709430404007E-13</v>
      </c>
      <c r="O170" s="13">
        <f>N170*VLOOKUP('Données projet'!$B$9,Paramètres!$A$1:$I$89,3,0)*VLOOKUP('Données projet'!$B$9,Paramètres!$A$1:$I$89,5,0)</f>
        <v>2.5715962692629546E-13</v>
      </c>
      <c r="P170" s="13">
        <f t="shared" si="141"/>
        <v>3.4610450122128953E-12</v>
      </c>
      <c r="Q170" s="20">
        <f t="shared" si="162"/>
        <v>6.4758730798340893E-12</v>
      </c>
      <c r="R170" s="59">
        <f t="shared" si="109"/>
        <v>293.33333333333979</v>
      </c>
      <c r="S170" s="59">
        <f ca="1">AVERAGE(OFFSET($R$3,0,0,'Données projet'!$E$9+1,1))-AVERAGE(OFFSET($H$3,0,0,'Données projet'!$E$9+1,1))</f>
        <v>346.35147716792028</v>
      </c>
      <c r="T170" s="59">
        <f t="shared" si="142"/>
        <v>231.36959598460686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1.1178783477487415E-18</v>
      </c>
      <c r="AC170" s="22">
        <f t="shared" si="163"/>
        <v>1.1178783477487415E-18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964.00000000000023</v>
      </c>
      <c r="AJ170" s="13">
        <f>AI170*VLOOKUP('Données projet'!$B$10,Paramètres!$A$1:$I$89,3,0)*VLOOKUP('Données projet'!$B$10,Paramètres!$A$1:$I$89,5,0)</f>
        <v>576.47200000000021</v>
      </c>
      <c r="AK170" s="13">
        <f t="shared" si="164"/>
        <v>126.75809338895206</v>
      </c>
      <c r="AL170" s="20">
        <f t="shared" si="165"/>
        <v>1224.7924126524251</v>
      </c>
      <c r="AM170" s="59">
        <f t="shared" si="113"/>
        <v>1518.1257459857584</v>
      </c>
      <c r="AN170" s="59">
        <f ca="1">AVERAGE(OFFSET($AM$3,0,0,'Données projet'!$E$10+1,1))-AVERAGE(OFFSET($H$3,0,0,'Données projet'!$E$10+1,1))</f>
        <v>559.94918407141222</v>
      </c>
      <c r="AO170" s="59">
        <f t="shared" si="144"/>
        <v>334.6078891555664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2.2928902459990415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3.9494481391869026E-19</v>
      </c>
      <c r="AX170" s="21">
        <f t="shared" si="166"/>
        <v>2.2928902459990415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1.7053025658242404E-13</v>
      </c>
      <c r="BE170" s="13">
        <f>BD170*VLOOKUP('Données projet'!$B$11,Paramètres!$A$1:$I$89,3,0)*VLOOKUP('Données projet'!$B$11,Paramètres!$A$1:$I$89,5,0)</f>
        <v>7.9808160080574461E-14</v>
      </c>
      <c r="BF170" s="13">
        <f t="shared" si="167"/>
        <v>1.2308384591775343E-12</v>
      </c>
      <c r="BG170" s="20">
        <f t="shared" si="168"/>
        <v>2.282709528541206E-12</v>
      </c>
      <c r="BH170" s="59">
        <f t="shared" si="116"/>
        <v>293.33333333333559</v>
      </c>
      <c r="BI170" s="59">
        <f ca="1">AVERAGE(OFFSET($BH$3,0,0,'Données projet'!$E$11+1,1))-AVERAGE(OFFSET($H$3,0,0,'Données projet'!$E$11+1,1))</f>
        <v>276.78862011733338</v>
      </c>
      <c r="BJ170" s="59">
        <f t="shared" si="146"/>
        <v>202.1678469635836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-275.00000000000028</v>
      </c>
      <c r="BZ170" s="13">
        <f>BY170*VLOOKUP('Données projet'!$B$12,Paramètres!$A$1:$I$89,3,0)*VLOOKUP('Données projet'!$B$12,Paramètres!$A$1:$I$89,5,0)</f>
        <v>-214.50000000000023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286.5685205631126</v>
      </c>
      <c r="CE170" s="59">
        <f t="shared" si="148"/>
        <v>264.17357326498581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2.8421709430404007E-13</v>
      </c>
      <c r="O171" s="13">
        <f>N171*VLOOKUP('Données projet'!$B$9,Paramètres!$A$1:$I$89,3,0)*VLOOKUP('Données projet'!$B$9,Paramètres!$A$1:$I$89,5,0)</f>
        <v>2.5715962692629546E-13</v>
      </c>
      <c r="P171" s="13">
        <f t="shared" si="141"/>
        <v>3.4610450122128953E-12</v>
      </c>
      <c r="Q171" s="20">
        <f t="shared" si="162"/>
        <v>6.4758730798340893E-12</v>
      </c>
      <c r="R171" s="59">
        <f t="shared" si="109"/>
        <v>293.33333333333979</v>
      </c>
      <c r="S171" s="59">
        <f ca="1">AVERAGE(OFFSET($R$3,0,0,'Données projet'!$E$9+1,1))-AVERAGE(OFFSET($H$3,0,0,'Données projet'!$E$9+1,1))</f>
        <v>346.35147716792028</v>
      </c>
      <c r="T171" s="59">
        <f t="shared" si="142"/>
        <v>231.36959598460686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7.9045936023474864E-19</v>
      </c>
      <c r="AC171" s="22">
        <f t="shared" si="163"/>
        <v>7.9045936023474864E-19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964.00000000000023</v>
      </c>
      <c r="AJ171" s="13">
        <f>AI171*VLOOKUP('Données projet'!$B$10,Paramètres!$A$1:$I$89,3,0)*VLOOKUP('Données projet'!$B$10,Paramètres!$A$1:$I$89,5,0)</f>
        <v>576.47200000000021</v>
      </c>
      <c r="AK171" s="13">
        <f t="shared" si="164"/>
        <v>126.75809338895206</v>
      </c>
      <c r="AL171" s="20">
        <f t="shared" si="165"/>
        <v>1224.7924126524251</v>
      </c>
      <c r="AM171" s="59">
        <f t="shared" si="113"/>
        <v>1518.1257459857584</v>
      </c>
      <c r="AN171" s="59">
        <f ca="1">AVERAGE(OFFSET($AM$3,0,0,'Données projet'!$E$10+1,1))-AVERAGE(OFFSET($H$3,0,0,'Données projet'!$E$10+1,1))</f>
        <v>559.94918407141222</v>
      </c>
      <c r="AO171" s="59">
        <f t="shared" si="144"/>
        <v>334.6078891555664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2.2479280667999575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2.7926815611636504E-19</v>
      </c>
      <c r="AX171" s="21">
        <f t="shared" si="166"/>
        <v>2.2479280667999575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1.7053025658242404E-13</v>
      </c>
      <c r="BE171" s="13">
        <f>BD171*VLOOKUP('Données projet'!$B$11,Paramètres!$A$1:$I$89,3,0)*VLOOKUP('Données projet'!$B$11,Paramètres!$A$1:$I$89,5,0)</f>
        <v>7.9808160080574461E-14</v>
      </c>
      <c r="BF171" s="13">
        <f t="shared" si="167"/>
        <v>1.2308384591775343E-12</v>
      </c>
      <c r="BG171" s="20">
        <f t="shared" si="168"/>
        <v>2.282709528541206E-12</v>
      </c>
      <c r="BH171" s="59">
        <f t="shared" si="116"/>
        <v>293.33333333333559</v>
      </c>
      <c r="BI171" s="59">
        <f ca="1">AVERAGE(OFFSET($BH$3,0,0,'Données projet'!$E$11+1,1))-AVERAGE(OFFSET($H$3,0,0,'Données projet'!$E$11+1,1))</f>
        <v>276.78862011733338</v>
      </c>
      <c r="BJ171" s="59">
        <f t="shared" si="146"/>
        <v>202.1678469635836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-275.00000000000028</v>
      </c>
      <c r="BZ171" s="13">
        <f>BY171*VLOOKUP('Données projet'!$B$12,Paramètres!$A$1:$I$89,3,0)*VLOOKUP('Données projet'!$B$12,Paramètres!$A$1:$I$89,5,0)</f>
        <v>-214.50000000000023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286.5685205631126</v>
      </c>
      <c r="CE171" s="59">
        <f t="shared" si="148"/>
        <v>264.17357326498581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2.8421709430404007E-13</v>
      </c>
      <c r="O172" s="13">
        <f>N172*VLOOKUP('Données projet'!$B$9,Paramètres!$A$1:$I$89,3,0)*VLOOKUP('Données projet'!$B$9,Paramètres!$A$1:$I$89,5,0)</f>
        <v>2.5715962692629546E-13</v>
      </c>
      <c r="P172" s="13">
        <f t="shared" si="141"/>
        <v>3.4610450122128953E-12</v>
      </c>
      <c r="Q172" s="20">
        <f t="shared" si="162"/>
        <v>6.4758730798340893E-12</v>
      </c>
      <c r="R172" s="59">
        <f t="shared" si="109"/>
        <v>293.33333333333979</v>
      </c>
      <c r="S172" s="59">
        <f ca="1">AVERAGE(OFFSET($R$3,0,0,'Données projet'!$E$9+1,1))-AVERAGE(OFFSET($H$3,0,0,'Données projet'!$E$9+1,1))</f>
        <v>346.35147716792028</v>
      </c>
      <c r="T172" s="59">
        <f t="shared" si="142"/>
        <v>231.36959598460686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5.5893917387437074E-19</v>
      </c>
      <c r="AC172" s="22">
        <f t="shared" si="163"/>
        <v>5.5893917387437074E-19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964.00000000000023</v>
      </c>
      <c r="AJ172" s="13">
        <f>AI172*VLOOKUP('Données projet'!$B$10,Paramètres!$A$1:$I$89,3,0)*VLOOKUP('Données projet'!$B$10,Paramètres!$A$1:$I$89,5,0)</f>
        <v>576.47200000000021</v>
      </c>
      <c r="AK172" s="13">
        <f t="shared" si="164"/>
        <v>126.75809338895206</v>
      </c>
      <c r="AL172" s="20">
        <f t="shared" si="165"/>
        <v>1224.7924126524251</v>
      </c>
      <c r="AM172" s="59">
        <f t="shared" si="113"/>
        <v>1518.1257459857584</v>
      </c>
      <c r="AN172" s="59">
        <f ca="1">AVERAGE(OFFSET($AM$3,0,0,'Données projet'!$E$10+1,1))-AVERAGE(OFFSET($H$3,0,0,'Données projet'!$E$10+1,1))</f>
        <v>559.94918407141222</v>
      </c>
      <c r="AO172" s="59">
        <f t="shared" si="144"/>
        <v>334.6078891555664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2.2038475685107461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1.9747240695934513E-19</v>
      </c>
      <c r="AX172" s="21">
        <f t="shared" si="166"/>
        <v>2.2038475685107461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1.7053025658242404E-13</v>
      </c>
      <c r="BE172" s="13">
        <f>BD172*VLOOKUP('Données projet'!$B$11,Paramètres!$A$1:$I$89,3,0)*VLOOKUP('Données projet'!$B$11,Paramètres!$A$1:$I$89,5,0)</f>
        <v>7.9808160080574461E-14</v>
      </c>
      <c r="BF172" s="13">
        <f t="shared" si="167"/>
        <v>1.2308384591775343E-12</v>
      </c>
      <c r="BG172" s="20">
        <f t="shared" si="168"/>
        <v>2.282709528541206E-12</v>
      </c>
      <c r="BH172" s="59">
        <f t="shared" si="116"/>
        <v>293.33333333333559</v>
      </c>
      <c r="BI172" s="59">
        <f ca="1">AVERAGE(OFFSET($BH$3,0,0,'Données projet'!$E$11+1,1))-AVERAGE(OFFSET($H$3,0,0,'Données projet'!$E$11+1,1))</f>
        <v>276.78862011733338</v>
      </c>
      <c r="BJ172" s="59">
        <f t="shared" si="146"/>
        <v>202.1678469635836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-275.00000000000028</v>
      </c>
      <c r="BZ172" s="13">
        <f>BY172*VLOOKUP('Données projet'!$B$12,Paramètres!$A$1:$I$89,3,0)*VLOOKUP('Données projet'!$B$12,Paramètres!$A$1:$I$89,5,0)</f>
        <v>-214.50000000000023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286.5685205631126</v>
      </c>
      <c r="CE172" s="59">
        <f t="shared" si="148"/>
        <v>264.17357326498581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2.8421709430404007E-13</v>
      </c>
      <c r="O173" s="13">
        <f>N173*VLOOKUP('Données projet'!$B$9,Paramètres!$A$1:$I$89,3,0)*VLOOKUP('Données projet'!$B$9,Paramètres!$A$1:$I$89,5,0)</f>
        <v>2.5715962692629546E-13</v>
      </c>
      <c r="P173" s="13">
        <f t="shared" si="141"/>
        <v>3.4610450122128953E-12</v>
      </c>
      <c r="Q173" s="20">
        <f t="shared" si="162"/>
        <v>6.4758730798340893E-12</v>
      </c>
      <c r="R173" s="59">
        <f t="shared" si="109"/>
        <v>293.33333333333979</v>
      </c>
      <c r="S173" s="59">
        <f ca="1">AVERAGE(OFFSET($R$3,0,0,'Données projet'!$E$9+1,1))-AVERAGE(OFFSET($H$3,0,0,'Données projet'!$E$9+1,1))</f>
        <v>346.35147716792028</v>
      </c>
      <c r="T173" s="59">
        <f t="shared" si="142"/>
        <v>231.36959598460686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3.9522968011737432E-19</v>
      </c>
      <c r="AC173" s="22">
        <f t="shared" si="163"/>
        <v>3.9522968011737432E-19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964.00000000000023</v>
      </c>
      <c r="AJ173" s="13">
        <f>AI173*VLOOKUP('Données projet'!$B$10,Paramètres!$A$1:$I$89,3,0)*VLOOKUP('Données projet'!$B$10,Paramètres!$A$1:$I$89,5,0)</f>
        <v>576.47200000000021</v>
      </c>
      <c r="AK173" s="13">
        <f t="shared" si="164"/>
        <v>126.75809338895206</v>
      </c>
      <c r="AL173" s="20">
        <f t="shared" si="165"/>
        <v>1224.7924126524251</v>
      </c>
      <c r="AM173" s="59">
        <f t="shared" si="113"/>
        <v>1518.1257459857584</v>
      </c>
      <c r="AN173" s="59">
        <f ca="1">AVERAGE(OFFSET($AM$3,0,0,'Données projet'!$E$10+1,1))-AVERAGE(OFFSET($H$3,0,0,'Données projet'!$E$10+1,1))</f>
        <v>559.94918407141222</v>
      </c>
      <c r="AO173" s="59">
        <f t="shared" si="144"/>
        <v>334.6078891555664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2.160631461906537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1.3963407805818252E-19</v>
      </c>
      <c r="AX173" s="21">
        <f t="shared" si="166"/>
        <v>2.160631461906537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1.7053025658242404E-13</v>
      </c>
      <c r="BE173" s="13">
        <f>BD173*VLOOKUP('Données projet'!$B$11,Paramètres!$A$1:$I$89,3,0)*VLOOKUP('Données projet'!$B$11,Paramètres!$A$1:$I$89,5,0)</f>
        <v>7.9808160080574461E-14</v>
      </c>
      <c r="BF173" s="13">
        <f t="shared" si="167"/>
        <v>1.2308384591775343E-12</v>
      </c>
      <c r="BG173" s="20">
        <f t="shared" si="168"/>
        <v>2.282709528541206E-12</v>
      </c>
      <c r="BH173" s="59">
        <f t="shared" si="116"/>
        <v>293.33333333333559</v>
      </c>
      <c r="BI173" s="59">
        <f ca="1">AVERAGE(OFFSET($BH$3,0,0,'Données projet'!$E$11+1,1))-AVERAGE(OFFSET($H$3,0,0,'Données projet'!$E$11+1,1))</f>
        <v>276.78862011733338</v>
      </c>
      <c r="BJ173" s="59">
        <f t="shared" si="146"/>
        <v>202.1678469635836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-275.00000000000028</v>
      </c>
      <c r="BZ173" s="13">
        <f>BY173*VLOOKUP('Données projet'!$B$12,Paramètres!$A$1:$I$89,3,0)*VLOOKUP('Données projet'!$B$12,Paramètres!$A$1:$I$89,5,0)</f>
        <v>-214.50000000000023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286.5685205631126</v>
      </c>
      <c r="CE173" s="59">
        <f t="shared" si="148"/>
        <v>264.17357326498581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2.8421709430404007E-13</v>
      </c>
      <c r="O174" s="13">
        <f>N174*VLOOKUP('Données projet'!$B$9,Paramètres!$A$1:$I$89,3,0)*VLOOKUP('Données projet'!$B$9,Paramètres!$A$1:$I$89,5,0)</f>
        <v>2.5715962692629546E-13</v>
      </c>
      <c r="P174" s="13">
        <f t="shared" si="141"/>
        <v>3.4610450122128953E-12</v>
      </c>
      <c r="Q174" s="20">
        <f t="shared" si="162"/>
        <v>6.4758730798340893E-12</v>
      </c>
      <c r="R174" s="59">
        <f t="shared" si="109"/>
        <v>293.33333333333979</v>
      </c>
      <c r="S174" s="59">
        <f ca="1">AVERAGE(OFFSET($R$3,0,0,'Données projet'!$E$9+1,1))-AVERAGE(OFFSET($H$3,0,0,'Données projet'!$E$9+1,1))</f>
        <v>346.35147716792028</v>
      </c>
      <c r="T174" s="59">
        <f t="shared" si="142"/>
        <v>231.36959598460686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2.7946958693718537E-19</v>
      </c>
      <c r="AC174" s="22">
        <f t="shared" si="163"/>
        <v>2.7946958693718537E-19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964.00000000000023</v>
      </c>
      <c r="AJ174" s="13">
        <f>AI174*VLOOKUP('Données projet'!$B$10,Paramètres!$A$1:$I$89,3,0)*VLOOKUP('Données projet'!$B$10,Paramètres!$A$1:$I$89,5,0)</f>
        <v>576.47200000000021</v>
      </c>
      <c r="AK174" s="13">
        <f t="shared" si="164"/>
        <v>126.75809338895206</v>
      </c>
      <c r="AL174" s="20">
        <f t="shared" si="165"/>
        <v>1224.7924126524251</v>
      </c>
      <c r="AM174" s="59">
        <f t="shared" si="113"/>
        <v>1518.1257459857584</v>
      </c>
      <c r="AN174" s="59">
        <f ca="1">AVERAGE(OFFSET($AM$3,0,0,'Données projet'!$E$10+1,1))-AVERAGE(OFFSET($H$3,0,0,'Données projet'!$E$10+1,1))</f>
        <v>559.94918407141222</v>
      </c>
      <c r="AO174" s="59">
        <f t="shared" si="144"/>
        <v>334.6078891555664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2.1182627967936143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9.8736203479672565E-20</v>
      </c>
      <c r="AX174" s="21">
        <f t="shared" si="166"/>
        <v>2.1182627967936143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1.7053025658242404E-13</v>
      </c>
      <c r="BE174" s="13">
        <f>BD174*VLOOKUP('Données projet'!$B$11,Paramètres!$A$1:$I$89,3,0)*VLOOKUP('Données projet'!$B$11,Paramètres!$A$1:$I$89,5,0)</f>
        <v>7.9808160080574461E-14</v>
      </c>
      <c r="BF174" s="13">
        <f t="shared" si="167"/>
        <v>1.2308384591775343E-12</v>
      </c>
      <c r="BG174" s="20">
        <f t="shared" si="168"/>
        <v>2.282709528541206E-12</v>
      </c>
      <c r="BH174" s="59">
        <f t="shared" si="116"/>
        <v>293.33333333333559</v>
      </c>
      <c r="BI174" s="59">
        <f ca="1">AVERAGE(OFFSET($BH$3,0,0,'Données projet'!$E$11+1,1))-AVERAGE(OFFSET($H$3,0,0,'Données projet'!$E$11+1,1))</f>
        <v>276.78862011733338</v>
      </c>
      <c r="BJ174" s="59">
        <f t="shared" si="146"/>
        <v>202.1678469635836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-275.00000000000028</v>
      </c>
      <c r="BZ174" s="13">
        <f>BY174*VLOOKUP('Données projet'!$B$12,Paramètres!$A$1:$I$89,3,0)*VLOOKUP('Données projet'!$B$12,Paramètres!$A$1:$I$89,5,0)</f>
        <v>-214.50000000000023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286.5685205631126</v>
      </c>
      <c r="CE174" s="59">
        <f t="shared" si="148"/>
        <v>264.17357326498581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2.8421709430404007E-13</v>
      </c>
      <c r="O175" s="13">
        <f>N175*VLOOKUP('Données projet'!$B$9,Paramètres!$A$1:$I$89,3,0)*VLOOKUP('Données projet'!$B$9,Paramètres!$A$1:$I$89,5,0)</f>
        <v>2.5715962692629546E-13</v>
      </c>
      <c r="P175" s="13">
        <f t="shared" si="141"/>
        <v>3.4610450122128953E-12</v>
      </c>
      <c r="Q175" s="20">
        <f t="shared" si="162"/>
        <v>6.4758730798340893E-12</v>
      </c>
      <c r="R175" s="59">
        <f t="shared" si="109"/>
        <v>293.33333333333979</v>
      </c>
      <c r="S175" s="59">
        <f ca="1">AVERAGE(OFFSET($R$3,0,0,'Données projet'!$E$9+1,1))-AVERAGE(OFFSET($H$3,0,0,'Données projet'!$E$9+1,1))</f>
        <v>346.35147716792028</v>
      </c>
      <c r="T175" s="59">
        <f t="shared" si="142"/>
        <v>231.36959598460686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1.9761484005868716E-19</v>
      </c>
      <c r="AC175" s="22">
        <f t="shared" si="163"/>
        <v>1.9761484005868716E-19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964.00000000000023</v>
      </c>
      <c r="AJ175" s="13">
        <f>AI175*VLOOKUP('Données projet'!$B$10,Paramètres!$A$1:$I$89,3,0)*VLOOKUP('Données projet'!$B$10,Paramètres!$A$1:$I$89,5,0)</f>
        <v>576.47200000000021</v>
      </c>
      <c r="AK175" s="13">
        <f t="shared" si="164"/>
        <v>126.75809338895206</v>
      </c>
      <c r="AL175" s="20">
        <f t="shared" si="165"/>
        <v>1224.7924126524251</v>
      </c>
      <c r="AM175" s="59">
        <f t="shared" si="113"/>
        <v>1518.1257459857584</v>
      </c>
      <c r="AN175" s="59">
        <f ca="1">AVERAGE(OFFSET($AM$3,0,0,'Données projet'!$E$10+1,1))-AVERAGE(OFFSET($H$3,0,0,'Données projet'!$E$10+1,1))</f>
        <v>559.94918407141222</v>
      </c>
      <c r="AO175" s="59">
        <f t="shared" si="144"/>
        <v>334.6078891555664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2.0767249553612217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6.981703902909126E-20</v>
      </c>
      <c r="AX175" s="21">
        <f t="shared" si="166"/>
        <v>2.0767249553612217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1.7053025658242404E-13</v>
      </c>
      <c r="BE175" s="13">
        <f>BD175*VLOOKUP('Données projet'!$B$11,Paramètres!$A$1:$I$89,3,0)*VLOOKUP('Données projet'!$B$11,Paramètres!$A$1:$I$89,5,0)</f>
        <v>7.9808160080574461E-14</v>
      </c>
      <c r="BF175" s="13">
        <f t="shared" si="167"/>
        <v>1.2308384591775343E-12</v>
      </c>
      <c r="BG175" s="20">
        <f t="shared" si="168"/>
        <v>2.282709528541206E-12</v>
      </c>
      <c r="BH175" s="59">
        <f t="shared" si="116"/>
        <v>293.33333333333559</v>
      </c>
      <c r="BI175" s="59">
        <f ca="1">AVERAGE(OFFSET($BH$3,0,0,'Données projet'!$E$11+1,1))-AVERAGE(OFFSET($H$3,0,0,'Données projet'!$E$11+1,1))</f>
        <v>276.78862011733338</v>
      </c>
      <c r="BJ175" s="59">
        <f t="shared" si="146"/>
        <v>202.1678469635836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-275.00000000000028</v>
      </c>
      <c r="BZ175" s="13">
        <f>BY175*VLOOKUP('Données projet'!$B$12,Paramètres!$A$1:$I$89,3,0)*VLOOKUP('Données projet'!$B$12,Paramètres!$A$1:$I$89,5,0)</f>
        <v>-214.50000000000023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286.5685205631126</v>
      </c>
      <c r="CE175" s="59">
        <f t="shared" si="148"/>
        <v>264.17357326498581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2.8421709430404007E-13</v>
      </c>
      <c r="O176" s="13">
        <f>N176*VLOOKUP('Données projet'!$B$9,Paramètres!$A$1:$I$89,3,0)*VLOOKUP('Données projet'!$B$9,Paramètres!$A$1:$I$89,5,0)</f>
        <v>2.5715962692629546E-13</v>
      </c>
      <c r="P176" s="13">
        <f t="shared" si="141"/>
        <v>3.4610450122128953E-12</v>
      </c>
      <c r="Q176" s="20">
        <f t="shared" si="162"/>
        <v>6.4758730798340893E-12</v>
      </c>
      <c r="R176" s="59">
        <f t="shared" si="109"/>
        <v>293.33333333333979</v>
      </c>
      <c r="S176" s="59">
        <f ca="1">AVERAGE(OFFSET($R$3,0,0,'Données projet'!$E$9+1,1))-AVERAGE(OFFSET($H$3,0,0,'Données projet'!$E$9+1,1))</f>
        <v>346.35147716792028</v>
      </c>
      <c r="T176" s="59">
        <f t="shared" si="142"/>
        <v>231.36959598460686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1.3973479346859269E-19</v>
      </c>
      <c r="AC176" s="22">
        <f t="shared" si="163"/>
        <v>1.3973479346859269E-19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964.00000000000023</v>
      </c>
      <c r="AJ176" s="13">
        <f>AI176*VLOOKUP('Données projet'!$B$10,Paramètres!$A$1:$I$89,3,0)*VLOOKUP('Données projet'!$B$10,Paramètres!$A$1:$I$89,5,0)</f>
        <v>576.47200000000021</v>
      </c>
      <c r="AK176" s="13">
        <f t="shared" si="164"/>
        <v>126.75809338895206</v>
      </c>
      <c r="AL176" s="20">
        <f t="shared" si="165"/>
        <v>1224.7924126524251</v>
      </c>
      <c r="AM176" s="59">
        <f t="shared" si="113"/>
        <v>1518.1257459857584</v>
      </c>
      <c r="AN176" s="59">
        <f ca="1">AVERAGE(OFFSET($AM$3,0,0,'Données projet'!$E$10+1,1))-AVERAGE(OFFSET($H$3,0,0,'Données projet'!$E$10+1,1))</f>
        <v>559.94918407141222</v>
      </c>
      <c r="AO176" s="59">
        <f t="shared" si="144"/>
        <v>334.6078891555664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2.0360016456637369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4.9368101739836282E-20</v>
      </c>
      <c r="AX176" s="21">
        <f t="shared" si="166"/>
        <v>2.0360016456637369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1.7053025658242404E-13</v>
      </c>
      <c r="BE176" s="13">
        <f>BD176*VLOOKUP('Données projet'!$B$11,Paramètres!$A$1:$I$89,3,0)*VLOOKUP('Données projet'!$B$11,Paramètres!$A$1:$I$89,5,0)</f>
        <v>7.9808160080574461E-14</v>
      </c>
      <c r="BF176" s="13">
        <f t="shared" si="167"/>
        <v>1.2308384591775343E-12</v>
      </c>
      <c r="BG176" s="20">
        <f t="shared" si="168"/>
        <v>2.282709528541206E-12</v>
      </c>
      <c r="BH176" s="59">
        <f t="shared" si="116"/>
        <v>293.33333333333559</v>
      </c>
      <c r="BI176" s="59">
        <f ca="1">AVERAGE(OFFSET($BH$3,0,0,'Données projet'!$E$11+1,1))-AVERAGE(OFFSET($H$3,0,0,'Données projet'!$E$11+1,1))</f>
        <v>276.78862011733338</v>
      </c>
      <c r="BJ176" s="59">
        <f t="shared" si="146"/>
        <v>202.1678469635836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-275.00000000000028</v>
      </c>
      <c r="BZ176" s="13">
        <f>BY176*VLOOKUP('Données projet'!$B$12,Paramètres!$A$1:$I$89,3,0)*VLOOKUP('Données projet'!$B$12,Paramètres!$A$1:$I$89,5,0)</f>
        <v>-214.50000000000023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286.5685205631126</v>
      </c>
      <c r="CE176" s="59">
        <f t="shared" si="148"/>
        <v>264.17357326498581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2.8421709430404007E-13</v>
      </c>
      <c r="O177" s="13">
        <f>N177*VLOOKUP('Données projet'!$B$9,Paramètres!$A$1:$I$89,3,0)*VLOOKUP('Données projet'!$B$9,Paramètres!$A$1:$I$89,5,0)</f>
        <v>2.5715962692629546E-13</v>
      </c>
      <c r="P177" s="13">
        <f t="shared" si="141"/>
        <v>3.4610450122128953E-12</v>
      </c>
      <c r="Q177" s="20">
        <f t="shared" si="162"/>
        <v>6.4758730798340893E-12</v>
      </c>
      <c r="R177" s="59">
        <f t="shared" si="109"/>
        <v>293.33333333333979</v>
      </c>
      <c r="S177" s="59">
        <f ca="1">AVERAGE(OFFSET($R$3,0,0,'Données projet'!$E$9+1,1))-AVERAGE(OFFSET($H$3,0,0,'Données projet'!$E$9+1,1))</f>
        <v>346.35147716792028</v>
      </c>
      <c r="T177" s="59">
        <f t="shared" si="142"/>
        <v>231.36959598460686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9.880742002934358E-20</v>
      </c>
      <c r="AC177" s="22">
        <f t="shared" si="163"/>
        <v>9.880742002934358E-20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964.00000000000023</v>
      </c>
      <c r="AJ177" s="13">
        <f>AI177*VLOOKUP('Données projet'!$B$10,Paramètres!$A$1:$I$89,3,0)*VLOOKUP('Données projet'!$B$10,Paramètres!$A$1:$I$89,5,0)</f>
        <v>576.47200000000021</v>
      </c>
      <c r="AK177" s="13">
        <f t="shared" si="164"/>
        <v>126.75809338895206</v>
      </c>
      <c r="AL177" s="20">
        <f t="shared" si="165"/>
        <v>1224.7924126524251</v>
      </c>
      <c r="AM177" s="59">
        <f t="shared" si="113"/>
        <v>1518.1257459857584</v>
      </c>
      <c r="AN177" s="59">
        <f ca="1">AVERAGE(OFFSET($AM$3,0,0,'Données projet'!$E$10+1,1))-AVERAGE(OFFSET($H$3,0,0,'Données projet'!$E$10+1,1))</f>
        <v>559.94918407141222</v>
      </c>
      <c r="AO177" s="59">
        <f t="shared" si="144"/>
        <v>334.6078891555664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1.9960768952306536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3.490851951454563E-20</v>
      </c>
      <c r="AX177" s="21">
        <f t="shared" si="166"/>
        <v>1.9960768952306536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1.7053025658242404E-13</v>
      </c>
      <c r="BE177" s="13">
        <f>BD177*VLOOKUP('Données projet'!$B$11,Paramètres!$A$1:$I$89,3,0)*VLOOKUP('Données projet'!$B$11,Paramètres!$A$1:$I$89,5,0)</f>
        <v>7.9808160080574461E-14</v>
      </c>
      <c r="BF177" s="13">
        <f t="shared" si="167"/>
        <v>1.2308384591775343E-12</v>
      </c>
      <c r="BG177" s="20">
        <f t="shared" si="168"/>
        <v>2.282709528541206E-12</v>
      </c>
      <c r="BH177" s="59">
        <f t="shared" si="116"/>
        <v>293.33333333333559</v>
      </c>
      <c r="BI177" s="59">
        <f ca="1">AVERAGE(OFFSET($BH$3,0,0,'Données projet'!$E$11+1,1))-AVERAGE(OFFSET($H$3,0,0,'Données projet'!$E$11+1,1))</f>
        <v>276.78862011733338</v>
      </c>
      <c r="BJ177" s="59">
        <f t="shared" si="146"/>
        <v>202.1678469635836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-275.00000000000028</v>
      </c>
      <c r="BZ177" s="13">
        <f>BY177*VLOOKUP('Données projet'!$B$12,Paramètres!$A$1:$I$89,3,0)*VLOOKUP('Données projet'!$B$12,Paramètres!$A$1:$I$89,5,0)</f>
        <v>-214.50000000000023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286.5685205631126</v>
      </c>
      <c r="CE177" s="59">
        <f t="shared" si="148"/>
        <v>264.17357326498581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2.8421709430404007E-13</v>
      </c>
      <c r="O178" s="13">
        <f>N178*VLOOKUP('Données projet'!$B$9,Paramètres!$A$1:$I$89,3,0)*VLOOKUP('Données projet'!$B$9,Paramètres!$A$1:$I$89,5,0)</f>
        <v>2.5715962692629546E-13</v>
      </c>
      <c r="P178" s="13">
        <f t="shared" si="141"/>
        <v>3.4610450122128953E-12</v>
      </c>
      <c r="Q178" s="20">
        <f t="shared" si="162"/>
        <v>6.4758730798340893E-12</v>
      </c>
      <c r="R178" s="59">
        <f t="shared" si="109"/>
        <v>293.33333333333979</v>
      </c>
      <c r="S178" s="59">
        <f ca="1">AVERAGE(OFFSET($R$3,0,0,'Données projet'!$E$9+1,1))-AVERAGE(OFFSET($H$3,0,0,'Données projet'!$E$9+1,1))</f>
        <v>346.35147716792028</v>
      </c>
      <c r="T178" s="59">
        <f t="shared" si="142"/>
        <v>231.36959598460686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6.9867396734296343E-20</v>
      </c>
      <c r="AC178" s="22">
        <f t="shared" si="163"/>
        <v>6.9867396734296343E-20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964.00000000000023</v>
      </c>
      <c r="AJ178" s="13">
        <f>AI178*VLOOKUP('Données projet'!$B$10,Paramètres!$A$1:$I$89,3,0)*VLOOKUP('Données projet'!$B$10,Paramètres!$A$1:$I$89,5,0)</f>
        <v>576.47200000000021</v>
      </c>
      <c r="AK178" s="13">
        <f t="shared" si="164"/>
        <v>126.75809338895206</v>
      </c>
      <c r="AL178" s="20">
        <f t="shared" si="165"/>
        <v>1224.7924126524251</v>
      </c>
      <c r="AM178" s="59">
        <f t="shared" si="113"/>
        <v>1518.1257459857584</v>
      </c>
      <c r="AN178" s="59">
        <f ca="1">AVERAGE(OFFSET($AM$3,0,0,'Données projet'!$E$10+1,1))-AVERAGE(OFFSET($H$3,0,0,'Données projet'!$E$10+1,1))</f>
        <v>559.94918407141222</v>
      </c>
      <c r="AO178" s="59">
        <f t="shared" si="144"/>
        <v>334.6078891555664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1.9569350448018696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2.4684050869918141E-20</v>
      </c>
      <c r="AX178" s="21">
        <f t="shared" si="166"/>
        <v>1.9569350448018696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1.7053025658242404E-13</v>
      </c>
      <c r="BE178" s="13">
        <f>BD178*VLOOKUP('Données projet'!$B$11,Paramètres!$A$1:$I$89,3,0)*VLOOKUP('Données projet'!$B$11,Paramètres!$A$1:$I$89,5,0)</f>
        <v>7.9808160080574461E-14</v>
      </c>
      <c r="BF178" s="13">
        <f t="shared" si="167"/>
        <v>1.2308384591775343E-12</v>
      </c>
      <c r="BG178" s="20">
        <f t="shared" si="168"/>
        <v>2.282709528541206E-12</v>
      </c>
      <c r="BH178" s="59">
        <f t="shared" si="116"/>
        <v>293.33333333333559</v>
      </c>
      <c r="BI178" s="59">
        <f ca="1">AVERAGE(OFFSET($BH$3,0,0,'Données projet'!$E$11+1,1))-AVERAGE(OFFSET($H$3,0,0,'Données projet'!$E$11+1,1))</f>
        <v>276.78862011733338</v>
      </c>
      <c r="BJ178" s="59">
        <f t="shared" si="146"/>
        <v>202.1678469635836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-275.00000000000028</v>
      </c>
      <c r="BZ178" s="13">
        <f>BY178*VLOOKUP('Données projet'!$B$12,Paramètres!$A$1:$I$89,3,0)*VLOOKUP('Données projet'!$B$12,Paramètres!$A$1:$I$89,5,0)</f>
        <v>-214.50000000000023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286.5685205631126</v>
      </c>
      <c r="CE178" s="59">
        <f t="shared" si="148"/>
        <v>264.17357326498581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2.8421709430404007E-13</v>
      </c>
      <c r="O179" s="13">
        <f>N179*VLOOKUP('Données projet'!$B$9,Paramètres!$A$1:$I$89,3,0)*VLOOKUP('Données projet'!$B$9,Paramètres!$A$1:$I$89,5,0)</f>
        <v>2.5715962692629546E-13</v>
      </c>
      <c r="P179" s="13">
        <f t="shared" si="141"/>
        <v>3.4610450122128953E-12</v>
      </c>
      <c r="Q179" s="20">
        <f t="shared" si="162"/>
        <v>6.4758730798340893E-12</v>
      </c>
      <c r="R179" s="59">
        <f t="shared" si="109"/>
        <v>293.33333333333979</v>
      </c>
      <c r="S179" s="59">
        <f ca="1">AVERAGE(OFFSET($R$3,0,0,'Données projet'!$E$9+1,1))-AVERAGE(OFFSET($H$3,0,0,'Données projet'!$E$9+1,1))</f>
        <v>346.35147716792028</v>
      </c>
      <c r="T179" s="59">
        <f t="shared" si="142"/>
        <v>231.36959598460686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4.940371001467179E-20</v>
      </c>
      <c r="AC179" s="22">
        <f t="shared" si="163"/>
        <v>4.940371001467179E-20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964.00000000000023</v>
      </c>
      <c r="AJ179" s="13">
        <f>AI179*VLOOKUP('Données projet'!$B$10,Paramètres!$A$1:$I$89,3,0)*VLOOKUP('Données projet'!$B$10,Paramètres!$A$1:$I$89,5,0)</f>
        <v>576.47200000000021</v>
      </c>
      <c r="AK179" s="13">
        <f t="shared" si="164"/>
        <v>126.75809338895206</v>
      </c>
      <c r="AL179" s="20">
        <f t="shared" si="165"/>
        <v>1224.7924126524251</v>
      </c>
      <c r="AM179" s="59">
        <f t="shared" si="113"/>
        <v>1518.1257459857584</v>
      </c>
      <c r="AN179" s="59">
        <f ca="1">AVERAGE(OFFSET($AM$3,0,0,'Données projet'!$E$10+1,1))-AVERAGE(OFFSET($H$3,0,0,'Données projet'!$E$10+1,1))</f>
        <v>559.94918407141222</v>
      </c>
      <c r="AO179" s="59">
        <f t="shared" si="144"/>
        <v>334.6078891555664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1.9185607421858228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1.7454259757272815E-20</v>
      </c>
      <c r="AX179" s="21">
        <f t="shared" si="166"/>
        <v>1.9185607421858228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1.7053025658242404E-13</v>
      </c>
      <c r="BE179" s="13">
        <f>BD179*VLOOKUP('Données projet'!$B$11,Paramètres!$A$1:$I$89,3,0)*VLOOKUP('Données projet'!$B$11,Paramètres!$A$1:$I$89,5,0)</f>
        <v>7.9808160080574461E-14</v>
      </c>
      <c r="BF179" s="13">
        <f t="shared" si="167"/>
        <v>1.2308384591775343E-12</v>
      </c>
      <c r="BG179" s="20">
        <f t="shared" si="168"/>
        <v>2.282709528541206E-12</v>
      </c>
      <c r="BH179" s="59">
        <f t="shared" si="116"/>
        <v>293.33333333333559</v>
      </c>
      <c r="BI179" s="59">
        <f ca="1">AVERAGE(OFFSET($BH$3,0,0,'Données projet'!$E$11+1,1))-AVERAGE(OFFSET($H$3,0,0,'Données projet'!$E$11+1,1))</f>
        <v>276.78862011733338</v>
      </c>
      <c r="BJ179" s="59">
        <f t="shared" si="146"/>
        <v>202.1678469635836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-275.00000000000028</v>
      </c>
      <c r="BZ179" s="13">
        <f>BY179*VLOOKUP('Données projet'!$B$12,Paramètres!$A$1:$I$89,3,0)*VLOOKUP('Données projet'!$B$12,Paramètres!$A$1:$I$89,5,0)</f>
        <v>-214.50000000000023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286.5685205631126</v>
      </c>
      <c r="CE179" s="59">
        <f t="shared" si="148"/>
        <v>264.17357326498581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2.8421709430404007E-13</v>
      </c>
      <c r="O180" s="13">
        <f>N180*VLOOKUP('Données projet'!$B$9,Paramètres!$A$1:$I$89,3,0)*VLOOKUP('Données projet'!$B$9,Paramètres!$A$1:$I$89,5,0)</f>
        <v>2.5715962692629546E-13</v>
      </c>
      <c r="P180" s="13">
        <f t="shared" si="141"/>
        <v>3.4610450122128953E-12</v>
      </c>
      <c r="Q180" s="20">
        <f t="shared" si="162"/>
        <v>6.4758730798340893E-12</v>
      </c>
      <c r="R180" s="59">
        <f t="shared" si="109"/>
        <v>293.33333333333979</v>
      </c>
      <c r="S180" s="59">
        <f ca="1">AVERAGE(OFFSET($R$3,0,0,'Données projet'!$E$9+1,1))-AVERAGE(OFFSET($H$3,0,0,'Données projet'!$E$9+1,1))</f>
        <v>346.35147716792028</v>
      </c>
      <c r="T180" s="59">
        <f t="shared" si="142"/>
        <v>231.36959598460686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3.4933698367148171E-20</v>
      </c>
      <c r="AC180" s="22">
        <f t="shared" si="163"/>
        <v>3.4933698367148171E-20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964.00000000000023</v>
      </c>
      <c r="AJ180" s="13">
        <f>AI180*VLOOKUP('Données projet'!$B$10,Paramètres!$A$1:$I$89,3,0)*VLOOKUP('Données projet'!$B$10,Paramètres!$A$1:$I$89,5,0)</f>
        <v>576.47200000000021</v>
      </c>
      <c r="AK180" s="13">
        <f t="shared" si="164"/>
        <v>126.75809338895206</v>
      </c>
      <c r="AL180" s="20">
        <f t="shared" si="165"/>
        <v>1224.7924126524251</v>
      </c>
      <c r="AM180" s="59">
        <f t="shared" si="113"/>
        <v>1518.1257459857584</v>
      </c>
      <c r="AN180" s="59">
        <f ca="1">AVERAGE(OFFSET($AM$3,0,0,'Données projet'!$E$10+1,1))-AVERAGE(OFFSET($H$3,0,0,'Données projet'!$E$10+1,1))</f>
        <v>559.94918407141222</v>
      </c>
      <c r="AO180" s="59">
        <f t="shared" si="144"/>
        <v>334.6078891555664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1.8809389362380633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1.2342025434959071E-20</v>
      </c>
      <c r="AX180" s="21">
        <f t="shared" si="166"/>
        <v>1.8809389362380633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1.7053025658242404E-13</v>
      </c>
      <c r="BE180" s="13">
        <f>BD180*VLOOKUP('Données projet'!$B$11,Paramètres!$A$1:$I$89,3,0)*VLOOKUP('Données projet'!$B$11,Paramètres!$A$1:$I$89,5,0)</f>
        <v>7.9808160080574461E-14</v>
      </c>
      <c r="BF180" s="13">
        <f t="shared" si="167"/>
        <v>1.2308384591775343E-12</v>
      </c>
      <c r="BG180" s="20">
        <f t="shared" si="168"/>
        <v>2.282709528541206E-12</v>
      </c>
      <c r="BH180" s="59">
        <f t="shared" si="116"/>
        <v>293.33333333333559</v>
      </c>
      <c r="BI180" s="59">
        <f ca="1">AVERAGE(OFFSET($BH$3,0,0,'Données projet'!$E$11+1,1))-AVERAGE(OFFSET($H$3,0,0,'Données projet'!$E$11+1,1))</f>
        <v>276.78862011733338</v>
      </c>
      <c r="BJ180" s="59">
        <f t="shared" si="146"/>
        <v>202.1678469635836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-275.00000000000028</v>
      </c>
      <c r="BZ180" s="13">
        <f>BY180*VLOOKUP('Données projet'!$B$12,Paramètres!$A$1:$I$89,3,0)*VLOOKUP('Données projet'!$B$12,Paramètres!$A$1:$I$89,5,0)</f>
        <v>-214.50000000000023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286.5685205631126</v>
      </c>
      <c r="CE180" s="59">
        <f t="shared" si="148"/>
        <v>264.17357326498581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2.8421709430404007E-13</v>
      </c>
      <c r="O181" s="13">
        <f>N181*VLOOKUP('Données projet'!$B$9,Paramètres!$A$1:$I$89,3,0)*VLOOKUP('Données projet'!$B$9,Paramètres!$A$1:$I$89,5,0)</f>
        <v>2.5715962692629546E-13</v>
      </c>
      <c r="P181" s="13">
        <f t="shared" si="141"/>
        <v>3.4610450122128953E-12</v>
      </c>
      <c r="Q181" s="20">
        <f t="shared" si="162"/>
        <v>6.4758730798340893E-12</v>
      </c>
      <c r="R181" s="59">
        <f t="shared" si="109"/>
        <v>293.33333333333979</v>
      </c>
      <c r="S181" s="59">
        <f ca="1">AVERAGE(OFFSET($R$3,0,0,'Données projet'!$E$9+1,1))-AVERAGE(OFFSET($H$3,0,0,'Données projet'!$E$9+1,1))</f>
        <v>346.35147716792028</v>
      </c>
      <c r="T181" s="59">
        <f t="shared" si="142"/>
        <v>231.36959598460686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2.4701855007335895E-20</v>
      </c>
      <c r="AC181" s="22">
        <f t="shared" si="163"/>
        <v>2.4701855007335895E-20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964.00000000000023</v>
      </c>
      <c r="AJ181" s="13">
        <f>AI181*VLOOKUP('Données projet'!$B$10,Paramètres!$A$1:$I$89,3,0)*VLOOKUP('Données projet'!$B$10,Paramètres!$A$1:$I$89,5,0)</f>
        <v>576.47200000000021</v>
      </c>
      <c r="AK181" s="13">
        <f t="shared" si="164"/>
        <v>126.75809338895206</v>
      </c>
      <c r="AL181" s="20">
        <f t="shared" si="165"/>
        <v>1224.7924126524251</v>
      </c>
      <c r="AM181" s="59">
        <f t="shared" si="113"/>
        <v>1518.1257459857584</v>
      </c>
      <c r="AN181" s="59">
        <f ca="1">AVERAGE(OFFSET($AM$3,0,0,'Données projet'!$E$10+1,1))-AVERAGE(OFFSET($H$3,0,0,'Données projet'!$E$10+1,1))</f>
        <v>559.94918407141222</v>
      </c>
      <c r="AO181" s="59">
        <f t="shared" si="144"/>
        <v>334.6078891555664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1.8440548709579034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8.7271298786364075E-21</v>
      </c>
      <c r="AX181" s="21">
        <f t="shared" si="166"/>
        <v>1.8440548709579034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1.7053025658242404E-13</v>
      </c>
      <c r="BE181" s="13">
        <f>BD181*VLOOKUP('Données projet'!$B$11,Paramètres!$A$1:$I$89,3,0)*VLOOKUP('Données projet'!$B$11,Paramètres!$A$1:$I$89,5,0)</f>
        <v>7.9808160080574461E-14</v>
      </c>
      <c r="BF181" s="13">
        <f t="shared" si="167"/>
        <v>1.2308384591775343E-12</v>
      </c>
      <c r="BG181" s="20">
        <f t="shared" si="168"/>
        <v>2.282709528541206E-12</v>
      </c>
      <c r="BH181" s="59">
        <f t="shared" si="116"/>
        <v>293.33333333333559</v>
      </c>
      <c r="BI181" s="59">
        <f ca="1">AVERAGE(OFFSET($BH$3,0,0,'Données projet'!$E$11+1,1))-AVERAGE(OFFSET($H$3,0,0,'Données projet'!$E$11+1,1))</f>
        <v>276.78862011733338</v>
      </c>
      <c r="BJ181" s="59">
        <f t="shared" si="146"/>
        <v>202.1678469635836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-275.00000000000028</v>
      </c>
      <c r="BZ181" s="13">
        <f>BY181*VLOOKUP('Données projet'!$B$12,Paramètres!$A$1:$I$89,3,0)*VLOOKUP('Données projet'!$B$12,Paramètres!$A$1:$I$89,5,0)</f>
        <v>-214.50000000000023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286.5685205631126</v>
      </c>
      <c r="CE181" s="59">
        <f t="shared" si="148"/>
        <v>264.17357326498581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2.8421709430404007E-13</v>
      </c>
      <c r="O182" s="13">
        <f>N182*VLOOKUP('Données projet'!$B$9,Paramètres!$A$1:$I$89,3,0)*VLOOKUP('Données projet'!$B$9,Paramètres!$A$1:$I$89,5,0)</f>
        <v>2.5715962692629546E-13</v>
      </c>
      <c r="P182" s="13">
        <f t="shared" si="141"/>
        <v>3.4610450122128953E-12</v>
      </c>
      <c r="Q182" s="20">
        <f t="shared" si="162"/>
        <v>6.4758730798340893E-12</v>
      </c>
      <c r="R182" s="59">
        <f t="shared" si="109"/>
        <v>293.33333333333979</v>
      </c>
      <c r="S182" s="59">
        <f ca="1">AVERAGE(OFFSET($R$3,0,0,'Données projet'!$E$9+1,1))-AVERAGE(OFFSET($H$3,0,0,'Données projet'!$E$9+1,1))</f>
        <v>346.35147716792028</v>
      </c>
      <c r="T182" s="59">
        <f t="shared" si="142"/>
        <v>231.36959598460686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1.7466849183574086E-20</v>
      </c>
      <c r="AC182" s="22">
        <f t="shared" si="163"/>
        <v>1.7466849183574086E-20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964.00000000000023</v>
      </c>
      <c r="AJ182" s="13">
        <f>AI182*VLOOKUP('Données projet'!$B$10,Paramètres!$A$1:$I$89,3,0)*VLOOKUP('Données projet'!$B$10,Paramètres!$A$1:$I$89,5,0)</f>
        <v>576.47200000000021</v>
      </c>
      <c r="AK182" s="13">
        <f t="shared" si="164"/>
        <v>126.75809338895206</v>
      </c>
      <c r="AL182" s="20">
        <f t="shared" si="165"/>
        <v>1224.7924126524251</v>
      </c>
      <c r="AM182" s="59">
        <f t="shared" si="113"/>
        <v>1518.1257459857584</v>
      </c>
      <c r="AN182" s="59">
        <f ca="1">AVERAGE(OFFSET($AM$3,0,0,'Données projet'!$E$10+1,1))-AVERAGE(OFFSET($H$3,0,0,'Données projet'!$E$10+1,1))</f>
        <v>559.94918407141222</v>
      </c>
      <c r="AO182" s="59">
        <f t="shared" si="144"/>
        <v>334.6078891555664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1.8078940797008292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6.1710127174795353E-21</v>
      </c>
      <c r="AX182" s="21">
        <f t="shared" si="166"/>
        <v>1.8078940797008292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1.7053025658242404E-13</v>
      </c>
      <c r="BE182" s="13">
        <f>BD182*VLOOKUP('Données projet'!$B$11,Paramètres!$A$1:$I$89,3,0)*VLOOKUP('Données projet'!$B$11,Paramètres!$A$1:$I$89,5,0)</f>
        <v>7.9808160080574461E-14</v>
      </c>
      <c r="BF182" s="13">
        <f t="shared" si="167"/>
        <v>1.2308384591775343E-12</v>
      </c>
      <c r="BG182" s="20">
        <f t="shared" si="168"/>
        <v>2.282709528541206E-12</v>
      </c>
      <c r="BH182" s="59">
        <f t="shared" si="116"/>
        <v>293.33333333333559</v>
      </c>
      <c r="BI182" s="59">
        <f ca="1">AVERAGE(OFFSET($BH$3,0,0,'Données projet'!$E$11+1,1))-AVERAGE(OFFSET($H$3,0,0,'Données projet'!$E$11+1,1))</f>
        <v>276.78862011733338</v>
      </c>
      <c r="BJ182" s="59">
        <f t="shared" si="146"/>
        <v>202.1678469635836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-275.00000000000028</v>
      </c>
      <c r="BZ182" s="13">
        <f>BY182*VLOOKUP('Données projet'!$B$12,Paramètres!$A$1:$I$89,3,0)*VLOOKUP('Données projet'!$B$12,Paramètres!$A$1:$I$89,5,0)</f>
        <v>-214.50000000000023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286.5685205631126</v>
      </c>
      <c r="CE182" s="59">
        <f t="shared" si="148"/>
        <v>264.17357326498581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2.8421709430404007E-13</v>
      </c>
      <c r="O183" s="13">
        <f>N183*VLOOKUP('Données projet'!$B$9,Paramètres!$A$1:$I$89,3,0)*VLOOKUP('Données projet'!$B$9,Paramètres!$A$1:$I$89,5,0)</f>
        <v>2.5715962692629546E-13</v>
      </c>
      <c r="P183" s="13">
        <f t="shared" si="141"/>
        <v>3.4610450122128953E-12</v>
      </c>
      <c r="Q183" s="20">
        <f t="shared" si="162"/>
        <v>6.4758730798340893E-12</v>
      </c>
      <c r="R183" s="59">
        <f t="shared" si="109"/>
        <v>293.33333333333979</v>
      </c>
      <c r="S183" s="59">
        <f ca="1">AVERAGE(OFFSET($R$3,0,0,'Données projet'!$E$9+1,1))-AVERAGE(OFFSET($H$3,0,0,'Données projet'!$E$9+1,1))</f>
        <v>346.35147716792028</v>
      </c>
      <c r="T183" s="59">
        <f t="shared" si="142"/>
        <v>231.36959598460686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1.2350927503667947E-20</v>
      </c>
      <c r="AC183" s="22">
        <f t="shared" si="163"/>
        <v>1.2350927503667947E-20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964.00000000000023</v>
      </c>
      <c r="AJ183" s="13">
        <f>AI183*VLOOKUP('Données projet'!$B$10,Paramètres!$A$1:$I$89,3,0)*VLOOKUP('Données projet'!$B$10,Paramètres!$A$1:$I$89,5,0)</f>
        <v>576.47200000000021</v>
      </c>
      <c r="AK183" s="13">
        <f t="shared" si="164"/>
        <v>126.75809338895206</v>
      </c>
      <c r="AL183" s="20">
        <f t="shared" si="165"/>
        <v>1224.7924126524251</v>
      </c>
      <c r="AM183" s="59">
        <f t="shared" si="113"/>
        <v>1518.1257459857584</v>
      </c>
      <c r="AN183" s="59">
        <f ca="1">AVERAGE(OFFSET($AM$3,0,0,'Données projet'!$E$10+1,1))-AVERAGE(OFFSET($H$3,0,0,'Données projet'!$E$10+1,1))</f>
        <v>559.94918407141222</v>
      </c>
      <c r="AO183" s="59">
        <f t="shared" si="144"/>
        <v>334.6078891555664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1.7724423795044013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4.3635649393182037E-21</v>
      </c>
      <c r="AX183" s="21">
        <f t="shared" si="166"/>
        <v>1.7724423795044013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1.7053025658242404E-13</v>
      </c>
      <c r="BE183" s="13">
        <f>BD183*VLOOKUP('Données projet'!$B$11,Paramètres!$A$1:$I$89,3,0)*VLOOKUP('Données projet'!$B$11,Paramètres!$A$1:$I$89,5,0)</f>
        <v>7.9808160080574461E-14</v>
      </c>
      <c r="BF183" s="13">
        <f t="shared" si="167"/>
        <v>1.2308384591775343E-12</v>
      </c>
      <c r="BG183" s="20">
        <f t="shared" si="168"/>
        <v>2.282709528541206E-12</v>
      </c>
      <c r="BH183" s="59">
        <f t="shared" si="116"/>
        <v>293.33333333333559</v>
      </c>
      <c r="BI183" s="59">
        <f ca="1">AVERAGE(OFFSET($BH$3,0,0,'Données projet'!$E$11+1,1))-AVERAGE(OFFSET($H$3,0,0,'Données projet'!$E$11+1,1))</f>
        <v>276.78862011733338</v>
      </c>
      <c r="BJ183" s="59">
        <f t="shared" si="146"/>
        <v>202.1678469635836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-275.00000000000028</v>
      </c>
      <c r="BZ183" s="13">
        <f>BY183*VLOOKUP('Données projet'!$B$12,Paramètres!$A$1:$I$89,3,0)*VLOOKUP('Données projet'!$B$12,Paramètres!$A$1:$I$89,5,0)</f>
        <v>-214.50000000000023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286.5685205631126</v>
      </c>
      <c r="CE183" s="59">
        <f t="shared" si="148"/>
        <v>264.17357326498581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2.8421709430404007E-13</v>
      </c>
      <c r="O184" s="13">
        <f>N184*VLOOKUP('Données projet'!$B$9,Paramètres!$A$1:$I$89,3,0)*VLOOKUP('Données projet'!$B$9,Paramètres!$A$1:$I$89,5,0)</f>
        <v>2.5715962692629546E-13</v>
      </c>
      <c r="P184" s="13">
        <f t="shared" si="141"/>
        <v>3.4610450122128953E-12</v>
      </c>
      <c r="Q184" s="20">
        <f t="shared" si="162"/>
        <v>6.4758730798340893E-12</v>
      </c>
      <c r="R184" s="59">
        <f t="shared" si="109"/>
        <v>293.33333333333979</v>
      </c>
      <c r="S184" s="59">
        <f ca="1">AVERAGE(OFFSET($R$3,0,0,'Données projet'!$E$9+1,1))-AVERAGE(OFFSET($H$3,0,0,'Données projet'!$E$9+1,1))</f>
        <v>346.35147716792028</v>
      </c>
      <c r="T184" s="59">
        <f t="shared" si="142"/>
        <v>231.36959598460686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8.7334245917870428E-21</v>
      </c>
      <c r="AC184" s="22">
        <f t="shared" si="163"/>
        <v>8.7334245917870428E-21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964.00000000000023</v>
      </c>
      <c r="AJ184" s="13">
        <f>AI184*VLOOKUP('Données projet'!$B$10,Paramètres!$A$1:$I$89,3,0)*VLOOKUP('Données projet'!$B$10,Paramètres!$A$1:$I$89,5,0)</f>
        <v>576.47200000000021</v>
      </c>
      <c r="AK184" s="13">
        <f t="shared" si="164"/>
        <v>126.75809338895206</v>
      </c>
      <c r="AL184" s="20">
        <f t="shared" si="165"/>
        <v>1224.7924126524251</v>
      </c>
      <c r="AM184" s="59">
        <f t="shared" si="113"/>
        <v>1518.1257459857584</v>
      </c>
      <c r="AN184" s="59">
        <f ca="1">AVERAGE(OFFSET($AM$3,0,0,'Données projet'!$E$10+1,1))-AVERAGE(OFFSET($H$3,0,0,'Données projet'!$E$10+1,1))</f>
        <v>559.94918407141222</v>
      </c>
      <c r="AO184" s="59">
        <f t="shared" si="144"/>
        <v>334.6078891555664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1.7376858655254235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3.0855063587397677E-21</v>
      </c>
      <c r="AX184" s="21">
        <f t="shared" si="166"/>
        <v>1.7376858655254235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1.7053025658242404E-13</v>
      </c>
      <c r="BE184" s="13">
        <f>BD184*VLOOKUP('Données projet'!$B$11,Paramètres!$A$1:$I$89,3,0)*VLOOKUP('Données projet'!$B$11,Paramètres!$A$1:$I$89,5,0)</f>
        <v>7.9808160080574461E-14</v>
      </c>
      <c r="BF184" s="13">
        <f t="shared" si="167"/>
        <v>1.2308384591775343E-12</v>
      </c>
      <c r="BG184" s="20">
        <f t="shared" si="168"/>
        <v>2.282709528541206E-12</v>
      </c>
      <c r="BH184" s="59">
        <f t="shared" si="116"/>
        <v>293.33333333333559</v>
      </c>
      <c r="BI184" s="59">
        <f ca="1">AVERAGE(OFFSET($BH$3,0,0,'Données projet'!$E$11+1,1))-AVERAGE(OFFSET($H$3,0,0,'Données projet'!$E$11+1,1))</f>
        <v>276.78862011733338</v>
      </c>
      <c r="BJ184" s="59">
        <f t="shared" si="146"/>
        <v>202.1678469635836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-275.00000000000028</v>
      </c>
      <c r="BZ184" s="13">
        <f>BY184*VLOOKUP('Données projet'!$B$12,Paramètres!$A$1:$I$89,3,0)*VLOOKUP('Données projet'!$B$12,Paramètres!$A$1:$I$89,5,0)</f>
        <v>-214.50000000000023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286.5685205631126</v>
      </c>
      <c r="CE184" s="59">
        <f t="shared" si="148"/>
        <v>264.17357326498581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2.8421709430404007E-13</v>
      </c>
      <c r="O185" s="13">
        <f>N185*VLOOKUP('Données projet'!$B$9,Paramètres!$A$1:$I$89,3,0)*VLOOKUP('Données projet'!$B$9,Paramètres!$A$1:$I$89,5,0)</f>
        <v>2.5715962692629546E-13</v>
      </c>
      <c r="P185" s="13">
        <f t="shared" si="141"/>
        <v>3.4610450122128953E-12</v>
      </c>
      <c r="Q185" s="20">
        <f t="shared" si="162"/>
        <v>6.4758730798340893E-12</v>
      </c>
      <c r="R185" s="59">
        <f t="shared" si="109"/>
        <v>293.33333333333979</v>
      </c>
      <c r="S185" s="59">
        <f ca="1">AVERAGE(OFFSET($R$3,0,0,'Données projet'!$E$9+1,1))-AVERAGE(OFFSET($H$3,0,0,'Données projet'!$E$9+1,1))</f>
        <v>346.35147716792028</v>
      </c>
      <c r="T185" s="59">
        <f t="shared" si="142"/>
        <v>231.36959598460686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6.1754637518339737E-21</v>
      </c>
      <c r="AC185" s="22">
        <f t="shared" si="163"/>
        <v>6.1754637518339737E-21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964.00000000000023</v>
      </c>
      <c r="AJ185" s="13">
        <f>AI185*VLOOKUP('Données projet'!$B$10,Paramètres!$A$1:$I$89,3,0)*VLOOKUP('Données projet'!$B$10,Paramètres!$A$1:$I$89,5,0)</f>
        <v>576.47200000000021</v>
      </c>
      <c r="AK185" s="13">
        <f t="shared" si="164"/>
        <v>126.75809338895206</v>
      </c>
      <c r="AL185" s="20">
        <f t="shared" si="165"/>
        <v>1224.7924126524251</v>
      </c>
      <c r="AM185" s="59">
        <f t="shared" si="113"/>
        <v>1518.1257459857584</v>
      </c>
      <c r="AN185" s="59">
        <f ca="1">AVERAGE(OFFSET($AM$3,0,0,'Données projet'!$E$10+1,1))-AVERAGE(OFFSET($H$3,0,0,'Données projet'!$E$10+1,1))</f>
        <v>559.94918407141222</v>
      </c>
      <c r="AO185" s="59">
        <f t="shared" si="144"/>
        <v>334.6078891555664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1.703610905586193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2.1817824696591019E-21</v>
      </c>
      <c r="AX185" s="21">
        <f t="shared" si="166"/>
        <v>1.703610905586193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1.7053025658242404E-13</v>
      </c>
      <c r="BE185" s="13">
        <f>BD185*VLOOKUP('Données projet'!$B$11,Paramètres!$A$1:$I$89,3,0)*VLOOKUP('Données projet'!$B$11,Paramètres!$A$1:$I$89,5,0)</f>
        <v>7.9808160080574461E-14</v>
      </c>
      <c r="BF185" s="13">
        <f t="shared" si="167"/>
        <v>1.2308384591775343E-12</v>
      </c>
      <c r="BG185" s="20">
        <f t="shared" si="168"/>
        <v>2.282709528541206E-12</v>
      </c>
      <c r="BH185" s="59">
        <f t="shared" si="116"/>
        <v>293.33333333333559</v>
      </c>
      <c r="BI185" s="59">
        <f ca="1">AVERAGE(OFFSET($BH$3,0,0,'Données projet'!$E$11+1,1))-AVERAGE(OFFSET($H$3,0,0,'Données projet'!$E$11+1,1))</f>
        <v>276.78862011733338</v>
      </c>
      <c r="BJ185" s="59">
        <f t="shared" si="146"/>
        <v>202.1678469635836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-275.00000000000028</v>
      </c>
      <c r="BZ185" s="13">
        <f>BY185*VLOOKUP('Données projet'!$B$12,Paramètres!$A$1:$I$89,3,0)*VLOOKUP('Données projet'!$B$12,Paramètres!$A$1:$I$89,5,0)</f>
        <v>-214.50000000000023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286.5685205631126</v>
      </c>
      <c r="CE185" s="59">
        <f t="shared" si="148"/>
        <v>264.17357326498581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2.8421709430404007E-13</v>
      </c>
      <c r="O186" s="13">
        <f>N186*VLOOKUP('Données projet'!$B$9,Paramètres!$A$1:$I$89,3,0)*VLOOKUP('Données projet'!$B$9,Paramètres!$A$1:$I$89,5,0)</f>
        <v>2.5715962692629546E-13</v>
      </c>
      <c r="P186" s="13">
        <f t="shared" si="141"/>
        <v>3.4610450122128953E-12</v>
      </c>
      <c r="Q186" s="20">
        <f t="shared" si="162"/>
        <v>6.4758730798340893E-12</v>
      </c>
      <c r="R186" s="59">
        <f t="shared" si="109"/>
        <v>293.33333333333979</v>
      </c>
      <c r="S186" s="59">
        <f ca="1">AVERAGE(OFFSET($R$3,0,0,'Données projet'!$E$9+1,1))-AVERAGE(OFFSET($H$3,0,0,'Données projet'!$E$9+1,1))</f>
        <v>346.35147716792028</v>
      </c>
      <c r="T186" s="59">
        <f t="shared" si="142"/>
        <v>231.36959598460686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4.3667122958935214E-21</v>
      </c>
      <c r="AC186" s="22">
        <f t="shared" si="163"/>
        <v>4.3667122958935214E-21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964.00000000000023</v>
      </c>
      <c r="AJ186" s="13">
        <f>AI186*VLOOKUP('Données projet'!$B$10,Paramètres!$A$1:$I$89,3,0)*VLOOKUP('Données projet'!$B$10,Paramètres!$A$1:$I$89,5,0)</f>
        <v>576.47200000000021</v>
      </c>
      <c r="AK186" s="13">
        <f t="shared" si="164"/>
        <v>126.75809338895206</v>
      </c>
      <c r="AL186" s="20">
        <f t="shared" si="165"/>
        <v>1224.7924126524251</v>
      </c>
      <c r="AM186" s="59">
        <f t="shared" si="113"/>
        <v>1518.1257459857584</v>
      </c>
      <c r="AN186" s="59">
        <f ca="1">AVERAGE(OFFSET($AM$3,0,0,'Données projet'!$E$10+1,1))-AVERAGE(OFFSET($H$3,0,0,'Données projet'!$E$10+1,1))</f>
        <v>559.94918407141222</v>
      </c>
      <c r="AO186" s="59">
        <f t="shared" si="144"/>
        <v>334.6078891555664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1.6702041348276975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1.5427531793698838E-21</v>
      </c>
      <c r="AX186" s="21">
        <f t="shared" si="166"/>
        <v>1.6702041348276975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1.7053025658242404E-13</v>
      </c>
      <c r="BE186" s="13">
        <f>BD186*VLOOKUP('Données projet'!$B$11,Paramètres!$A$1:$I$89,3,0)*VLOOKUP('Données projet'!$B$11,Paramètres!$A$1:$I$89,5,0)</f>
        <v>7.9808160080574461E-14</v>
      </c>
      <c r="BF186" s="13">
        <f t="shared" si="167"/>
        <v>1.2308384591775343E-12</v>
      </c>
      <c r="BG186" s="20">
        <f t="shared" si="168"/>
        <v>2.282709528541206E-12</v>
      </c>
      <c r="BH186" s="59">
        <f t="shared" si="116"/>
        <v>293.33333333333559</v>
      </c>
      <c r="BI186" s="59">
        <f ca="1">AVERAGE(OFFSET($BH$3,0,0,'Données projet'!$E$11+1,1))-AVERAGE(OFFSET($H$3,0,0,'Données projet'!$E$11+1,1))</f>
        <v>276.78862011733338</v>
      </c>
      <c r="BJ186" s="59">
        <f t="shared" si="146"/>
        <v>202.1678469635836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-275.00000000000028</v>
      </c>
      <c r="BZ186" s="13">
        <f>BY186*VLOOKUP('Données projet'!$B$12,Paramètres!$A$1:$I$89,3,0)*VLOOKUP('Données projet'!$B$12,Paramètres!$A$1:$I$89,5,0)</f>
        <v>-214.50000000000023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286.5685205631126</v>
      </c>
      <c r="CE186" s="59">
        <f t="shared" si="148"/>
        <v>264.17357326498581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2.8421709430404007E-13</v>
      </c>
      <c r="O187" s="13">
        <f>N187*VLOOKUP('Données projet'!$B$9,Paramètres!$A$1:$I$89,3,0)*VLOOKUP('Données projet'!$B$9,Paramètres!$A$1:$I$89,5,0)</f>
        <v>2.5715962692629546E-13</v>
      </c>
      <c r="P187" s="13">
        <f t="shared" si="141"/>
        <v>3.4610450122128953E-12</v>
      </c>
      <c r="Q187" s="20">
        <f t="shared" si="162"/>
        <v>6.4758730798340893E-12</v>
      </c>
      <c r="R187" s="59">
        <f t="shared" si="109"/>
        <v>293.33333333333979</v>
      </c>
      <c r="S187" s="59">
        <f ca="1">AVERAGE(OFFSET($R$3,0,0,'Données projet'!$E$9+1,1))-AVERAGE(OFFSET($H$3,0,0,'Données projet'!$E$9+1,1))</f>
        <v>346.35147716792028</v>
      </c>
      <c r="T187" s="59">
        <f t="shared" si="142"/>
        <v>231.36959598460686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3.0877318759169869E-21</v>
      </c>
      <c r="AC187" s="22">
        <f t="shared" si="163"/>
        <v>3.0877318759169869E-21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964.00000000000023</v>
      </c>
      <c r="AJ187" s="13">
        <f>AI187*VLOOKUP('Données projet'!$B$10,Paramètres!$A$1:$I$89,3,0)*VLOOKUP('Données projet'!$B$10,Paramètres!$A$1:$I$89,5,0)</f>
        <v>576.47200000000021</v>
      </c>
      <c r="AK187" s="13">
        <f t="shared" si="164"/>
        <v>126.75809338895206</v>
      </c>
      <c r="AL187" s="20">
        <f t="shared" si="165"/>
        <v>1224.7924126524251</v>
      </c>
      <c r="AM187" s="59">
        <f t="shared" si="113"/>
        <v>1518.1257459857584</v>
      </c>
      <c r="AN187" s="59">
        <f ca="1">AVERAGE(OFFSET($AM$3,0,0,'Données projet'!$E$10+1,1))-AVERAGE(OFFSET($H$3,0,0,'Données projet'!$E$10+1,1))</f>
        <v>559.94918407141222</v>
      </c>
      <c r="AO187" s="59">
        <f t="shared" si="144"/>
        <v>334.6078891555664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1.637452450467658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1.0908912348295509E-21</v>
      </c>
      <c r="AX187" s="21">
        <f t="shared" si="166"/>
        <v>1.637452450467658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1.7053025658242404E-13</v>
      </c>
      <c r="BE187" s="13">
        <f>BD187*VLOOKUP('Données projet'!$B$11,Paramètres!$A$1:$I$89,3,0)*VLOOKUP('Données projet'!$B$11,Paramètres!$A$1:$I$89,5,0)</f>
        <v>7.9808160080574461E-14</v>
      </c>
      <c r="BF187" s="13">
        <f t="shared" si="167"/>
        <v>1.2308384591775343E-12</v>
      </c>
      <c r="BG187" s="20">
        <f t="shared" si="168"/>
        <v>2.282709528541206E-12</v>
      </c>
      <c r="BH187" s="59">
        <f t="shared" si="116"/>
        <v>293.33333333333559</v>
      </c>
      <c r="BI187" s="59">
        <f ca="1">AVERAGE(OFFSET($BH$3,0,0,'Données projet'!$E$11+1,1))-AVERAGE(OFFSET($H$3,0,0,'Données projet'!$E$11+1,1))</f>
        <v>276.78862011733338</v>
      </c>
      <c r="BJ187" s="59">
        <f t="shared" si="146"/>
        <v>202.1678469635836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-275.00000000000028</v>
      </c>
      <c r="BZ187" s="13">
        <f>BY187*VLOOKUP('Données projet'!$B$12,Paramètres!$A$1:$I$89,3,0)*VLOOKUP('Données projet'!$B$12,Paramètres!$A$1:$I$89,5,0)</f>
        <v>-214.50000000000023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286.5685205631126</v>
      </c>
      <c r="CE187" s="59">
        <f t="shared" si="148"/>
        <v>264.17357326498581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2.8421709430404007E-13</v>
      </c>
      <c r="O188" s="13">
        <f>N188*VLOOKUP('Données projet'!$B$9,Paramètres!$A$1:$I$89,3,0)*VLOOKUP('Données projet'!$B$9,Paramètres!$A$1:$I$89,5,0)</f>
        <v>2.5715962692629546E-13</v>
      </c>
      <c r="P188" s="13">
        <f t="shared" si="141"/>
        <v>3.4610450122128953E-12</v>
      </c>
      <c r="Q188" s="20">
        <f t="shared" si="162"/>
        <v>6.4758730798340893E-12</v>
      </c>
      <c r="R188" s="59">
        <f t="shared" si="109"/>
        <v>293.33333333333979</v>
      </c>
      <c r="S188" s="59">
        <f ca="1">AVERAGE(OFFSET($R$3,0,0,'Données projet'!$E$9+1,1))-AVERAGE(OFFSET($H$3,0,0,'Données projet'!$E$9+1,1))</f>
        <v>346.35147716792028</v>
      </c>
      <c r="T188" s="59">
        <f t="shared" si="142"/>
        <v>231.36959598460686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2.1833561479467607E-21</v>
      </c>
      <c r="AC188" s="22">
        <f t="shared" si="163"/>
        <v>2.1833561479467607E-21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964.00000000000023</v>
      </c>
      <c r="AJ188" s="13">
        <f>AI188*VLOOKUP('Données projet'!$B$10,Paramètres!$A$1:$I$89,3,0)*VLOOKUP('Données projet'!$B$10,Paramètres!$A$1:$I$89,5,0)</f>
        <v>576.47200000000021</v>
      </c>
      <c r="AK188" s="13">
        <f t="shared" si="164"/>
        <v>126.75809338895206</v>
      </c>
      <c r="AL188" s="20">
        <f t="shared" si="165"/>
        <v>1224.7924126524251</v>
      </c>
      <c r="AM188" s="59">
        <f t="shared" si="113"/>
        <v>1518.1257459857584</v>
      </c>
      <c r="AN188" s="59">
        <f ca="1">AVERAGE(OFFSET($AM$3,0,0,'Données projet'!$E$10+1,1))-AVERAGE(OFFSET($H$3,0,0,'Données projet'!$E$10+1,1))</f>
        <v>559.94918407141222</v>
      </c>
      <c r="AO188" s="59">
        <f t="shared" si="144"/>
        <v>334.6078891555664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1.6053430066613639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7.7137658968494191E-22</v>
      </c>
      <c r="AX188" s="21">
        <f t="shared" si="166"/>
        <v>1.6053430066613639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1.7053025658242404E-13</v>
      </c>
      <c r="BE188" s="13">
        <f>BD188*VLOOKUP('Données projet'!$B$11,Paramètres!$A$1:$I$89,3,0)*VLOOKUP('Données projet'!$B$11,Paramètres!$A$1:$I$89,5,0)</f>
        <v>7.9808160080574461E-14</v>
      </c>
      <c r="BF188" s="13">
        <f t="shared" si="167"/>
        <v>1.2308384591775343E-12</v>
      </c>
      <c r="BG188" s="20">
        <f t="shared" si="168"/>
        <v>2.282709528541206E-12</v>
      </c>
      <c r="BH188" s="59">
        <f t="shared" si="116"/>
        <v>293.33333333333559</v>
      </c>
      <c r="BI188" s="59">
        <f ca="1">AVERAGE(OFFSET($BH$3,0,0,'Données projet'!$E$11+1,1))-AVERAGE(OFFSET($H$3,0,0,'Données projet'!$E$11+1,1))</f>
        <v>276.78862011733338</v>
      </c>
      <c r="BJ188" s="59">
        <f t="shared" si="146"/>
        <v>202.1678469635836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-275.00000000000028</v>
      </c>
      <c r="BZ188" s="13">
        <f>BY188*VLOOKUP('Données projet'!$B$12,Paramètres!$A$1:$I$89,3,0)*VLOOKUP('Données projet'!$B$12,Paramètres!$A$1:$I$89,5,0)</f>
        <v>-214.50000000000023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286.5685205631126</v>
      </c>
      <c r="CE188" s="59">
        <f t="shared" si="148"/>
        <v>264.17357326498581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2.8421709430404007E-13</v>
      </c>
      <c r="O189" s="13">
        <f>N189*VLOOKUP('Données projet'!$B$9,Paramètres!$A$1:$I$89,3,0)*VLOOKUP('Données projet'!$B$9,Paramètres!$A$1:$I$89,5,0)</f>
        <v>2.5715962692629546E-13</v>
      </c>
      <c r="P189" s="13">
        <f t="shared" si="141"/>
        <v>3.4610450122128953E-12</v>
      </c>
      <c r="Q189" s="20">
        <f t="shared" si="162"/>
        <v>6.4758730798340893E-12</v>
      </c>
      <c r="R189" s="59">
        <f t="shared" si="109"/>
        <v>293.33333333333979</v>
      </c>
      <c r="S189" s="59">
        <f ca="1">AVERAGE(OFFSET($R$3,0,0,'Données projet'!$E$9+1,1))-AVERAGE(OFFSET($H$3,0,0,'Données projet'!$E$9+1,1))</f>
        <v>346.35147716792028</v>
      </c>
      <c r="T189" s="59">
        <f t="shared" si="142"/>
        <v>231.36959598460686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1.5438659379584934E-21</v>
      </c>
      <c r="AC189" s="22">
        <f t="shared" si="163"/>
        <v>1.5438659379584934E-21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964.00000000000023</v>
      </c>
      <c r="AJ189" s="13">
        <f>AI189*VLOOKUP('Données projet'!$B$10,Paramètres!$A$1:$I$89,3,0)*VLOOKUP('Données projet'!$B$10,Paramètres!$A$1:$I$89,5,0)</f>
        <v>576.47200000000021</v>
      </c>
      <c r="AK189" s="13">
        <f t="shared" si="164"/>
        <v>126.75809338895206</v>
      </c>
      <c r="AL189" s="20">
        <f t="shared" si="165"/>
        <v>1224.7924126524251</v>
      </c>
      <c r="AM189" s="59">
        <f t="shared" si="113"/>
        <v>1518.1257459857584</v>
      </c>
      <c r="AN189" s="59">
        <f ca="1">AVERAGE(OFFSET($AM$3,0,0,'Données projet'!$E$10+1,1))-AVERAGE(OFFSET($H$3,0,0,'Données projet'!$E$10+1,1))</f>
        <v>559.94918407141222</v>
      </c>
      <c r="AO189" s="59">
        <f t="shared" si="144"/>
        <v>334.6078891555664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1.5738632094632843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5.4544561741477547E-22</v>
      </c>
      <c r="AX189" s="21">
        <f t="shared" si="166"/>
        <v>1.5738632094632843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1.7053025658242404E-13</v>
      </c>
      <c r="BE189" s="13">
        <f>BD189*VLOOKUP('Données projet'!$B$11,Paramètres!$A$1:$I$89,3,0)*VLOOKUP('Données projet'!$B$11,Paramètres!$A$1:$I$89,5,0)</f>
        <v>7.9808160080574461E-14</v>
      </c>
      <c r="BF189" s="13">
        <f t="shared" si="167"/>
        <v>1.2308384591775343E-12</v>
      </c>
      <c r="BG189" s="20">
        <f t="shared" si="168"/>
        <v>2.282709528541206E-12</v>
      </c>
      <c r="BH189" s="59">
        <f t="shared" si="116"/>
        <v>293.33333333333559</v>
      </c>
      <c r="BI189" s="59">
        <f ca="1">AVERAGE(OFFSET($BH$3,0,0,'Données projet'!$E$11+1,1))-AVERAGE(OFFSET($H$3,0,0,'Données projet'!$E$11+1,1))</f>
        <v>276.78862011733338</v>
      </c>
      <c r="BJ189" s="59">
        <f t="shared" si="146"/>
        <v>202.1678469635836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-275.00000000000028</v>
      </c>
      <c r="BZ189" s="13">
        <f>BY189*VLOOKUP('Données projet'!$B$12,Paramètres!$A$1:$I$89,3,0)*VLOOKUP('Données projet'!$B$12,Paramètres!$A$1:$I$89,5,0)</f>
        <v>-214.50000000000023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286.5685205631126</v>
      </c>
      <c r="CE189" s="59">
        <f t="shared" si="148"/>
        <v>264.17357326498581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2.8421709430404007E-13</v>
      </c>
      <c r="O190" s="13">
        <f>N190*VLOOKUP('Données projet'!$B$9,Paramètres!$A$1:$I$89,3,0)*VLOOKUP('Données projet'!$B$9,Paramètres!$A$1:$I$89,5,0)</f>
        <v>2.5715962692629546E-13</v>
      </c>
      <c r="P190" s="13">
        <f t="shared" si="141"/>
        <v>3.4610450122128953E-12</v>
      </c>
      <c r="Q190" s="20">
        <f t="shared" si="162"/>
        <v>6.4758730798340893E-12</v>
      </c>
      <c r="R190" s="59">
        <f t="shared" si="109"/>
        <v>293.33333333333979</v>
      </c>
      <c r="S190" s="59">
        <f ca="1">AVERAGE(OFFSET($R$3,0,0,'Données projet'!$E$9+1,1))-AVERAGE(OFFSET($H$3,0,0,'Données projet'!$E$9+1,1))</f>
        <v>346.35147716792028</v>
      </c>
      <c r="T190" s="59">
        <f t="shared" si="142"/>
        <v>231.36959598460686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1.0916780739733804E-21</v>
      </c>
      <c r="AC190" s="22">
        <f t="shared" si="163"/>
        <v>1.0916780739733804E-21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964.00000000000023</v>
      </c>
      <c r="AJ190" s="13">
        <f>AI190*VLOOKUP('Données projet'!$B$10,Paramètres!$A$1:$I$89,3,0)*VLOOKUP('Données projet'!$B$10,Paramètres!$A$1:$I$89,5,0)</f>
        <v>576.47200000000021</v>
      </c>
      <c r="AK190" s="13">
        <f t="shared" si="164"/>
        <v>126.75809338895206</v>
      </c>
      <c r="AL190" s="20">
        <f t="shared" si="165"/>
        <v>1224.7924126524251</v>
      </c>
      <c r="AM190" s="59">
        <f t="shared" si="113"/>
        <v>1518.1257459857584</v>
      </c>
      <c r="AN190" s="59">
        <f ca="1">AVERAGE(OFFSET($AM$3,0,0,'Données projet'!$E$10+1,1))-AVERAGE(OFFSET($H$3,0,0,'Données projet'!$E$10+1,1))</f>
        <v>559.94918407141222</v>
      </c>
      <c r="AO190" s="59">
        <f t="shared" si="144"/>
        <v>334.6078891555664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1.5430007118874787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3.8568829484247096E-22</v>
      </c>
      <c r="AX190" s="21">
        <f t="shared" si="166"/>
        <v>1.5430007118874787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1.7053025658242404E-13</v>
      </c>
      <c r="BE190" s="13">
        <f>BD190*VLOOKUP('Données projet'!$B$11,Paramètres!$A$1:$I$89,3,0)*VLOOKUP('Données projet'!$B$11,Paramètres!$A$1:$I$89,5,0)</f>
        <v>7.9808160080574461E-14</v>
      </c>
      <c r="BF190" s="13">
        <f t="shared" si="167"/>
        <v>1.2308384591775343E-12</v>
      </c>
      <c r="BG190" s="20">
        <f t="shared" si="168"/>
        <v>2.282709528541206E-12</v>
      </c>
      <c r="BH190" s="59">
        <f t="shared" si="116"/>
        <v>293.33333333333559</v>
      </c>
      <c r="BI190" s="59">
        <f ca="1">AVERAGE(OFFSET($BH$3,0,0,'Données projet'!$E$11+1,1))-AVERAGE(OFFSET($H$3,0,0,'Données projet'!$E$11+1,1))</f>
        <v>276.78862011733338</v>
      </c>
      <c r="BJ190" s="59">
        <f t="shared" si="146"/>
        <v>202.1678469635836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-275.00000000000028</v>
      </c>
      <c r="BZ190" s="13">
        <f>BY190*VLOOKUP('Données projet'!$B$12,Paramètres!$A$1:$I$89,3,0)*VLOOKUP('Données projet'!$B$12,Paramètres!$A$1:$I$89,5,0)</f>
        <v>-214.50000000000023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286.5685205631126</v>
      </c>
      <c r="CE190" s="59">
        <f t="shared" si="148"/>
        <v>264.17357326498581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2.8421709430404007E-13</v>
      </c>
      <c r="O191" s="13">
        <f>N191*VLOOKUP('Données projet'!$B$9,Paramètres!$A$1:$I$89,3,0)*VLOOKUP('Données projet'!$B$9,Paramètres!$A$1:$I$89,5,0)</f>
        <v>2.5715962692629546E-13</v>
      </c>
      <c r="P191" s="13">
        <f t="shared" si="141"/>
        <v>3.4610450122128953E-12</v>
      </c>
      <c r="Q191" s="20">
        <f t="shared" si="162"/>
        <v>6.4758730798340893E-12</v>
      </c>
      <c r="R191" s="59">
        <f t="shared" si="109"/>
        <v>293.33333333333979</v>
      </c>
      <c r="S191" s="59">
        <f ca="1">AVERAGE(OFFSET($R$3,0,0,'Données projet'!$E$9+1,1))-AVERAGE(OFFSET($H$3,0,0,'Données projet'!$E$9+1,1))</f>
        <v>346.35147716792028</v>
      </c>
      <c r="T191" s="59">
        <f t="shared" si="142"/>
        <v>231.36959598460686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7.7193296897924672E-22</v>
      </c>
      <c r="AC191" s="22">
        <f t="shared" si="163"/>
        <v>7.7193296897924672E-22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964.00000000000023</v>
      </c>
      <c r="AJ191" s="13">
        <f>AI191*VLOOKUP('Données projet'!$B$10,Paramètres!$A$1:$I$89,3,0)*VLOOKUP('Données projet'!$B$10,Paramètres!$A$1:$I$89,5,0)</f>
        <v>576.47200000000021</v>
      </c>
      <c r="AK191" s="13">
        <f t="shared" si="164"/>
        <v>126.75809338895206</v>
      </c>
      <c r="AL191" s="20">
        <f t="shared" si="165"/>
        <v>1224.7924126524251</v>
      </c>
      <c r="AM191" s="59">
        <f t="shared" si="113"/>
        <v>1518.1257459857584</v>
      </c>
      <c r="AN191" s="59">
        <f ca="1">AVERAGE(OFFSET($AM$3,0,0,'Données projet'!$E$10+1,1))-AVERAGE(OFFSET($H$3,0,0,'Données projet'!$E$10+1,1))</f>
        <v>559.94918407141222</v>
      </c>
      <c r="AO191" s="59">
        <f t="shared" si="144"/>
        <v>334.6078891555664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1.5127434090648699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2.7272280870738773E-22</v>
      </c>
      <c r="AX191" s="21">
        <f t="shared" si="166"/>
        <v>1.5127434090648699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1.7053025658242404E-13</v>
      </c>
      <c r="BE191" s="13">
        <f>BD191*VLOOKUP('Données projet'!$B$11,Paramètres!$A$1:$I$89,3,0)*VLOOKUP('Données projet'!$B$11,Paramètres!$A$1:$I$89,5,0)</f>
        <v>7.9808160080574461E-14</v>
      </c>
      <c r="BF191" s="13">
        <f t="shared" si="167"/>
        <v>1.2308384591775343E-12</v>
      </c>
      <c r="BG191" s="20">
        <f t="shared" si="168"/>
        <v>2.282709528541206E-12</v>
      </c>
      <c r="BH191" s="59">
        <f t="shared" si="116"/>
        <v>293.33333333333559</v>
      </c>
      <c r="BI191" s="59">
        <f ca="1">AVERAGE(OFFSET($BH$3,0,0,'Données projet'!$E$11+1,1))-AVERAGE(OFFSET($H$3,0,0,'Données projet'!$E$11+1,1))</f>
        <v>276.78862011733338</v>
      </c>
      <c r="BJ191" s="59">
        <f t="shared" si="146"/>
        <v>202.1678469635836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-275.00000000000028</v>
      </c>
      <c r="BZ191" s="13">
        <f>BY191*VLOOKUP('Données projet'!$B$12,Paramètres!$A$1:$I$89,3,0)*VLOOKUP('Données projet'!$B$12,Paramètres!$A$1:$I$89,5,0)</f>
        <v>-214.50000000000023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286.5685205631126</v>
      </c>
      <c r="CE191" s="59">
        <f t="shared" si="148"/>
        <v>264.17357326498581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2.8421709430404007E-13</v>
      </c>
      <c r="O192" s="13">
        <f>N192*VLOOKUP('Données projet'!$B$9,Paramètres!$A$1:$I$89,3,0)*VLOOKUP('Données projet'!$B$9,Paramètres!$A$1:$I$89,5,0)</f>
        <v>2.5715962692629546E-13</v>
      </c>
      <c r="P192" s="13">
        <f t="shared" si="141"/>
        <v>3.4610450122128953E-12</v>
      </c>
      <c r="Q192" s="20">
        <f t="shared" si="162"/>
        <v>6.4758730798340893E-12</v>
      </c>
      <c r="R192" s="59">
        <f t="shared" si="109"/>
        <v>293.33333333333979</v>
      </c>
      <c r="S192" s="59">
        <f ca="1">AVERAGE(OFFSET($R$3,0,0,'Données projet'!$E$9+1,1))-AVERAGE(OFFSET($H$3,0,0,'Données projet'!$E$9+1,1))</f>
        <v>346.35147716792028</v>
      </c>
      <c r="T192" s="59">
        <f t="shared" si="142"/>
        <v>231.36959598460686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5.4583903698669018E-22</v>
      </c>
      <c r="AC192" s="22">
        <f t="shared" si="163"/>
        <v>5.4583903698669018E-22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964.00000000000023</v>
      </c>
      <c r="AJ192" s="13">
        <f>AI192*VLOOKUP('Données projet'!$B$10,Paramètres!$A$1:$I$89,3,0)*VLOOKUP('Données projet'!$B$10,Paramètres!$A$1:$I$89,5,0)</f>
        <v>576.47200000000021</v>
      </c>
      <c r="AK192" s="13">
        <f t="shared" si="164"/>
        <v>126.75809338895206</v>
      </c>
      <c r="AL192" s="20">
        <f t="shared" si="165"/>
        <v>1224.7924126524251</v>
      </c>
      <c r="AM192" s="59">
        <f t="shared" si="113"/>
        <v>1518.1257459857584</v>
      </c>
      <c r="AN192" s="59">
        <f ca="1">AVERAGE(OFFSET($AM$3,0,0,'Données projet'!$E$10+1,1))-AVERAGE(OFFSET($H$3,0,0,'Données projet'!$E$10+1,1))</f>
        <v>559.94918407141222</v>
      </c>
      <c r="AO192" s="59">
        <f t="shared" si="144"/>
        <v>334.6078891555664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1.48307943349548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1.9284414742123548E-22</v>
      </c>
      <c r="AX192" s="21">
        <f t="shared" si="166"/>
        <v>1.48307943349548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1.7053025658242404E-13</v>
      </c>
      <c r="BE192" s="13">
        <f>BD192*VLOOKUP('Données projet'!$B$11,Paramètres!$A$1:$I$89,3,0)*VLOOKUP('Données projet'!$B$11,Paramètres!$A$1:$I$89,5,0)</f>
        <v>7.9808160080574461E-14</v>
      </c>
      <c r="BF192" s="13">
        <f t="shared" si="167"/>
        <v>1.2308384591775343E-12</v>
      </c>
      <c r="BG192" s="20">
        <f t="shared" si="168"/>
        <v>2.282709528541206E-12</v>
      </c>
      <c r="BH192" s="59">
        <f t="shared" si="116"/>
        <v>293.33333333333559</v>
      </c>
      <c r="BI192" s="59">
        <f ca="1">AVERAGE(OFFSET($BH$3,0,0,'Données projet'!$E$11+1,1))-AVERAGE(OFFSET($H$3,0,0,'Données projet'!$E$11+1,1))</f>
        <v>276.78862011733338</v>
      </c>
      <c r="BJ192" s="59">
        <f t="shared" si="146"/>
        <v>202.1678469635836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-275.00000000000028</v>
      </c>
      <c r="BZ192" s="13">
        <f>BY192*VLOOKUP('Données projet'!$B$12,Paramètres!$A$1:$I$89,3,0)*VLOOKUP('Données projet'!$B$12,Paramètres!$A$1:$I$89,5,0)</f>
        <v>-214.50000000000023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286.5685205631126</v>
      </c>
      <c r="CE192" s="59">
        <f t="shared" si="148"/>
        <v>264.17357326498581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2.8421709430404007E-13</v>
      </c>
      <c r="O193" s="13">
        <f>N193*VLOOKUP('Données projet'!$B$9,Paramètres!$A$1:$I$89,3,0)*VLOOKUP('Données projet'!$B$9,Paramètres!$A$1:$I$89,5,0)</f>
        <v>2.5715962692629546E-13</v>
      </c>
      <c r="P193" s="13">
        <f t="shared" si="141"/>
        <v>3.4610450122128953E-12</v>
      </c>
      <c r="Q193" s="20">
        <f t="shared" si="162"/>
        <v>6.4758730798340893E-12</v>
      </c>
      <c r="R193" s="59">
        <f t="shared" si="109"/>
        <v>293.33333333333979</v>
      </c>
      <c r="S193" s="59">
        <f ca="1">AVERAGE(OFFSET($R$3,0,0,'Données projet'!$E$9+1,1))-AVERAGE(OFFSET($H$3,0,0,'Données projet'!$E$9+1,1))</f>
        <v>346.35147716792028</v>
      </c>
      <c r="T193" s="59">
        <f t="shared" si="142"/>
        <v>231.36959598460686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3.8596648448962336E-22</v>
      </c>
      <c r="AC193" s="22">
        <f t="shared" si="163"/>
        <v>3.8596648448962336E-22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964.00000000000023</v>
      </c>
      <c r="AJ193" s="13">
        <f>AI193*VLOOKUP('Données projet'!$B$10,Paramètres!$A$1:$I$89,3,0)*VLOOKUP('Données projet'!$B$10,Paramètres!$A$1:$I$89,5,0)</f>
        <v>576.47200000000021</v>
      </c>
      <c r="AK193" s="13">
        <f t="shared" si="164"/>
        <v>126.75809338895206</v>
      </c>
      <c r="AL193" s="20">
        <f t="shared" si="165"/>
        <v>1224.7924126524251</v>
      </c>
      <c r="AM193" s="59">
        <f t="shared" si="113"/>
        <v>1518.1257459857584</v>
      </c>
      <c r="AN193" s="59">
        <f ca="1">AVERAGE(OFFSET($AM$3,0,0,'Données projet'!$E$10+1,1))-AVERAGE(OFFSET($H$3,0,0,'Données projet'!$E$10+1,1))</f>
        <v>559.94918407141222</v>
      </c>
      <c r="AO193" s="59">
        <f t="shared" si="144"/>
        <v>334.6078891555664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1.4539971503937672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1.3636140435369387E-22</v>
      </c>
      <c r="AX193" s="21">
        <f t="shared" si="166"/>
        <v>1.4539971503937672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1.7053025658242404E-13</v>
      </c>
      <c r="BE193" s="13">
        <f>BD193*VLOOKUP('Données projet'!$B$11,Paramètres!$A$1:$I$89,3,0)*VLOOKUP('Données projet'!$B$11,Paramètres!$A$1:$I$89,5,0)</f>
        <v>7.9808160080574461E-14</v>
      </c>
      <c r="BF193" s="13">
        <f t="shared" si="167"/>
        <v>1.2308384591775343E-12</v>
      </c>
      <c r="BG193" s="20">
        <f t="shared" si="168"/>
        <v>2.282709528541206E-12</v>
      </c>
      <c r="BH193" s="59">
        <f t="shared" si="116"/>
        <v>293.33333333333559</v>
      </c>
      <c r="BI193" s="59">
        <f ca="1">AVERAGE(OFFSET($BH$3,0,0,'Données projet'!$E$11+1,1))-AVERAGE(OFFSET($H$3,0,0,'Données projet'!$E$11+1,1))</f>
        <v>276.78862011733338</v>
      </c>
      <c r="BJ193" s="59">
        <f t="shared" si="146"/>
        <v>202.1678469635836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-275.00000000000028</v>
      </c>
      <c r="BZ193" s="13">
        <f>BY193*VLOOKUP('Données projet'!$B$12,Paramètres!$A$1:$I$89,3,0)*VLOOKUP('Données projet'!$B$12,Paramètres!$A$1:$I$89,5,0)</f>
        <v>-214.50000000000023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286.5685205631126</v>
      </c>
      <c r="CE193" s="59">
        <f t="shared" si="148"/>
        <v>264.17357326498581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2.8421709430404007E-13</v>
      </c>
      <c r="O194" s="13">
        <f>N194*VLOOKUP('Données projet'!$B$9,Paramètres!$A$1:$I$89,3,0)*VLOOKUP('Données projet'!$B$9,Paramètres!$A$1:$I$89,5,0)</f>
        <v>2.5715962692629546E-13</v>
      </c>
      <c r="P194" s="13">
        <f t="shared" si="141"/>
        <v>3.4610450122128953E-12</v>
      </c>
      <c r="Q194" s="20">
        <f t="shared" si="162"/>
        <v>6.4758730798340893E-12</v>
      </c>
      <c r="R194" s="59">
        <f t="shared" si="109"/>
        <v>293.33333333333979</v>
      </c>
      <c r="S194" s="59">
        <f ca="1">AVERAGE(OFFSET($R$3,0,0,'Données projet'!$E$9+1,1))-AVERAGE(OFFSET($H$3,0,0,'Données projet'!$E$9+1,1))</f>
        <v>346.35147716792028</v>
      </c>
      <c r="T194" s="59">
        <f t="shared" si="142"/>
        <v>231.36959598460686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2.7291951849334509E-22</v>
      </c>
      <c r="AC194" s="22">
        <f t="shared" si="163"/>
        <v>2.7291951849334509E-22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964.00000000000023</v>
      </c>
      <c r="AJ194" s="13">
        <f>AI194*VLOOKUP('Données projet'!$B$10,Paramètres!$A$1:$I$89,3,0)*VLOOKUP('Données projet'!$B$10,Paramètres!$A$1:$I$89,5,0)</f>
        <v>576.47200000000021</v>
      </c>
      <c r="AK194" s="13">
        <f t="shared" si="164"/>
        <v>126.75809338895206</v>
      </c>
      <c r="AL194" s="20">
        <f t="shared" si="165"/>
        <v>1224.7924126524251</v>
      </c>
      <c r="AM194" s="59">
        <f t="shared" si="113"/>
        <v>1518.1257459857584</v>
      </c>
      <c r="AN194" s="59">
        <f ca="1">AVERAGE(OFFSET($AM$3,0,0,'Données projet'!$E$10+1,1))-AVERAGE(OFFSET($H$3,0,0,'Données projet'!$E$10+1,1))</f>
        <v>559.94918407141222</v>
      </c>
      <c r="AO194" s="59">
        <f t="shared" si="144"/>
        <v>334.6078891555664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1.4254851531252379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9.6422073710617739E-23</v>
      </c>
      <c r="AX194" s="21">
        <f t="shared" si="166"/>
        <v>1.4254851531252379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1.7053025658242404E-13</v>
      </c>
      <c r="BE194" s="13">
        <f>BD194*VLOOKUP('Données projet'!$B$11,Paramètres!$A$1:$I$89,3,0)*VLOOKUP('Données projet'!$B$11,Paramètres!$A$1:$I$89,5,0)</f>
        <v>7.9808160080574461E-14</v>
      </c>
      <c r="BF194" s="13">
        <f t="shared" si="167"/>
        <v>1.2308384591775343E-12</v>
      </c>
      <c r="BG194" s="20">
        <f t="shared" si="168"/>
        <v>2.282709528541206E-12</v>
      </c>
      <c r="BH194" s="59">
        <f t="shared" si="116"/>
        <v>293.33333333333559</v>
      </c>
      <c r="BI194" s="59">
        <f ca="1">AVERAGE(OFFSET($BH$3,0,0,'Données projet'!$E$11+1,1))-AVERAGE(OFFSET($H$3,0,0,'Données projet'!$E$11+1,1))</f>
        <v>276.78862011733338</v>
      </c>
      <c r="BJ194" s="59">
        <f t="shared" si="146"/>
        <v>202.1678469635836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-275.00000000000028</v>
      </c>
      <c r="BZ194" s="13">
        <f>BY194*VLOOKUP('Données projet'!$B$12,Paramètres!$A$1:$I$89,3,0)*VLOOKUP('Données projet'!$B$12,Paramètres!$A$1:$I$89,5,0)</f>
        <v>-214.50000000000023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286.5685205631126</v>
      </c>
      <c r="CE194" s="59">
        <f t="shared" si="148"/>
        <v>264.17357326498581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2.8421709430404007E-13</v>
      </c>
      <c r="O195" s="13">
        <f>N195*VLOOKUP('Données projet'!$B$9,Paramètres!$A$1:$I$89,3,0)*VLOOKUP('Données projet'!$B$9,Paramètres!$A$1:$I$89,5,0)</f>
        <v>2.5715962692629546E-13</v>
      </c>
      <c r="P195" s="13">
        <f t="shared" si="141"/>
        <v>3.4610450122128953E-12</v>
      </c>
      <c r="Q195" s="20">
        <f t="shared" si="162"/>
        <v>6.4758730798340893E-12</v>
      </c>
      <c r="R195" s="59">
        <f t="shared" ref="R195:R203" si="191">Q195+(I195+J195)*44/12</f>
        <v>293.33333333333979</v>
      </c>
      <c r="S195" s="59">
        <f ca="1">AVERAGE(OFFSET($R$3,0,0,'Données projet'!$E$9+1,1))-AVERAGE(OFFSET($H$3,0,0,'Données projet'!$E$9+1,1))</f>
        <v>346.35147716792028</v>
      </c>
      <c r="T195" s="59">
        <f t="shared" si="142"/>
        <v>231.36959598460686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1.9298324224481168E-22</v>
      </c>
      <c r="AC195" s="22">
        <f t="shared" si="163"/>
        <v>1.9298324224481168E-22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964.00000000000023</v>
      </c>
      <c r="AJ195" s="13">
        <f>AI195*VLOOKUP('Données projet'!$B$10,Paramètres!$A$1:$I$89,3,0)*VLOOKUP('Données projet'!$B$10,Paramètres!$A$1:$I$89,5,0)</f>
        <v>576.47200000000021</v>
      </c>
      <c r="AK195" s="13">
        <f t="shared" si="164"/>
        <v>126.75809338895206</v>
      </c>
      <c r="AL195" s="20">
        <f t="shared" si="165"/>
        <v>1224.7924126524251</v>
      </c>
      <c r="AM195" s="59">
        <f t="shared" si="113"/>
        <v>1518.1257459857584</v>
      </c>
      <c r="AN195" s="59">
        <f ca="1">AVERAGE(OFFSET($AM$3,0,0,'Données projet'!$E$10+1,1))-AVERAGE(OFFSET($H$3,0,0,'Données projet'!$E$10+1,1))</f>
        <v>559.94918407141222</v>
      </c>
      <c r="AO195" s="59">
        <f t="shared" si="144"/>
        <v>334.6078891555664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1.3975322587325434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6.8180702176846933E-23</v>
      </c>
      <c r="AX195" s="21">
        <f t="shared" si="166"/>
        <v>1.3975322587325434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1.7053025658242404E-13</v>
      </c>
      <c r="BE195" s="13">
        <f>BD195*VLOOKUP('Données projet'!$B$11,Paramètres!$A$1:$I$89,3,0)*VLOOKUP('Données projet'!$B$11,Paramètres!$A$1:$I$89,5,0)</f>
        <v>7.9808160080574461E-14</v>
      </c>
      <c r="BF195" s="13">
        <f t="shared" si="167"/>
        <v>1.2308384591775343E-12</v>
      </c>
      <c r="BG195" s="20">
        <f t="shared" si="168"/>
        <v>2.282709528541206E-12</v>
      </c>
      <c r="BH195" s="59">
        <f t="shared" si="116"/>
        <v>293.33333333333559</v>
      </c>
      <c r="BI195" s="59">
        <f ca="1">AVERAGE(OFFSET($BH$3,0,0,'Données projet'!$E$11+1,1))-AVERAGE(OFFSET($H$3,0,0,'Données projet'!$E$11+1,1))</f>
        <v>276.78862011733338</v>
      </c>
      <c r="BJ195" s="59">
        <f t="shared" si="146"/>
        <v>202.1678469635836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-275.00000000000028</v>
      </c>
      <c r="BZ195" s="13">
        <f>BY195*VLOOKUP('Données projet'!$B$12,Paramètres!$A$1:$I$89,3,0)*VLOOKUP('Données projet'!$B$12,Paramètres!$A$1:$I$89,5,0)</f>
        <v>-214.50000000000023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286.5685205631126</v>
      </c>
      <c r="CE195" s="59">
        <f t="shared" si="148"/>
        <v>264.17357326498581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2.8421709430404007E-13</v>
      </c>
      <c r="O196" s="13">
        <f>N196*VLOOKUP('Données projet'!$B$9,Paramètres!$A$1:$I$89,3,0)*VLOOKUP('Données projet'!$B$9,Paramètres!$A$1:$I$89,5,0)</f>
        <v>2.5715962692629546E-13</v>
      </c>
      <c r="P196" s="13">
        <f t="shared" si="141"/>
        <v>3.4610450122128953E-12</v>
      </c>
      <c r="Q196" s="20">
        <f t="shared" si="162"/>
        <v>6.4758730798340893E-12</v>
      </c>
      <c r="R196" s="59">
        <f t="shared" si="191"/>
        <v>293.33333333333979</v>
      </c>
      <c r="S196" s="59">
        <f ca="1">AVERAGE(OFFSET($R$3,0,0,'Données projet'!$E$9+1,1))-AVERAGE(OFFSET($H$3,0,0,'Données projet'!$E$9+1,1))</f>
        <v>346.35147716792028</v>
      </c>
      <c r="T196" s="59">
        <f t="shared" si="142"/>
        <v>231.36959598460686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1.3645975924667254E-22</v>
      </c>
      <c r="AC196" s="22">
        <f t="shared" si="163"/>
        <v>1.3645975924667254E-22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964.00000000000023</v>
      </c>
      <c r="AJ196" s="13">
        <f>AI196*VLOOKUP('Données projet'!$B$10,Paramètres!$A$1:$I$89,3,0)*VLOOKUP('Données projet'!$B$10,Paramètres!$A$1:$I$89,5,0)</f>
        <v>576.47200000000021</v>
      </c>
      <c r="AK196" s="13">
        <f t="shared" si="164"/>
        <v>126.75809338895206</v>
      </c>
      <c r="AL196" s="20">
        <f t="shared" si="165"/>
        <v>1224.7924126524251</v>
      </c>
      <c r="AM196" s="59">
        <f t="shared" ref="AM196:AM203" si="193">AL196+(AD196+AE196)*44/12</f>
        <v>1518.1257459857584</v>
      </c>
      <c r="AN196" s="59">
        <f ca="1">AVERAGE(OFFSET($AM$3,0,0,'Données projet'!$E$10+1,1))-AVERAGE(OFFSET($H$3,0,0,'Données projet'!$E$10+1,1))</f>
        <v>559.94918407141222</v>
      </c>
      <c r="AO196" s="59">
        <f t="shared" si="144"/>
        <v>334.6078891555664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1.3701275035493075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4.821103685530887E-23</v>
      </c>
      <c r="AX196" s="21">
        <f t="shared" si="166"/>
        <v>1.3701275035493075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1.7053025658242404E-13</v>
      </c>
      <c r="BE196" s="13">
        <f>BD196*VLOOKUP('Données projet'!$B$11,Paramètres!$A$1:$I$89,3,0)*VLOOKUP('Données projet'!$B$11,Paramètres!$A$1:$I$89,5,0)</f>
        <v>7.9808160080574461E-14</v>
      </c>
      <c r="BF196" s="13">
        <f t="shared" si="167"/>
        <v>1.2308384591775343E-12</v>
      </c>
      <c r="BG196" s="20">
        <f t="shared" si="168"/>
        <v>2.282709528541206E-12</v>
      </c>
      <c r="BH196" s="59">
        <f t="shared" ref="BH196:BH203" si="194">BG196+(AY196+AZ196)*44/12</f>
        <v>293.33333333333559</v>
      </c>
      <c r="BI196" s="59">
        <f ca="1">AVERAGE(OFFSET($BH$3,0,0,'Données projet'!$E$11+1,1))-AVERAGE(OFFSET($H$3,0,0,'Données projet'!$E$11+1,1))</f>
        <v>276.78862011733338</v>
      </c>
      <c r="BJ196" s="59">
        <f t="shared" si="146"/>
        <v>202.1678469635836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-275.00000000000028</v>
      </c>
      <c r="BZ196" s="13">
        <f>BY196*VLOOKUP('Données projet'!$B$12,Paramètres!$A$1:$I$89,3,0)*VLOOKUP('Données projet'!$B$12,Paramètres!$A$1:$I$89,5,0)</f>
        <v>-214.50000000000023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286.5685205631126</v>
      </c>
      <c r="CE196" s="59">
        <f t="shared" si="148"/>
        <v>264.17357326498581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2.8421709430404007E-13</v>
      </c>
      <c r="O197" s="13">
        <f>N197*VLOOKUP('Données projet'!$B$9,Paramètres!$A$1:$I$89,3,0)*VLOOKUP('Données projet'!$B$9,Paramètres!$A$1:$I$89,5,0)</f>
        <v>2.5715962692629546E-13</v>
      </c>
      <c r="P197" s="13">
        <f t="shared" ref="P197:P203" si="203">EXP(-1.0587+0.8836*LN(O197)+0.284)</f>
        <v>3.4610450122128953E-12</v>
      </c>
      <c r="Q197" s="20">
        <f t="shared" si="162"/>
        <v>6.4758730798340893E-12</v>
      </c>
      <c r="R197" s="59">
        <f t="shared" si="191"/>
        <v>293.33333333333979</v>
      </c>
      <c r="S197" s="59">
        <f ca="1">AVERAGE(OFFSET($R$3,0,0,'Données projet'!$E$9+1,1))-AVERAGE(OFFSET($H$3,0,0,'Données projet'!$E$9+1,1))</f>
        <v>346.35147716792028</v>
      </c>
      <c r="T197" s="59">
        <f t="shared" ref="T197:T203" si="204">$T$3</f>
        <v>231.36959598460686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9.649162112240584E-23</v>
      </c>
      <c r="AC197" s="22">
        <f t="shared" si="163"/>
        <v>9.649162112240584E-23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964.00000000000023</v>
      </c>
      <c r="AJ197" s="13">
        <f>AI197*VLOOKUP('Données projet'!$B$10,Paramètres!$A$1:$I$89,3,0)*VLOOKUP('Données projet'!$B$10,Paramètres!$A$1:$I$89,5,0)</f>
        <v>576.47200000000021</v>
      </c>
      <c r="AK197" s="13">
        <f t="shared" si="164"/>
        <v>126.75809338895206</v>
      </c>
      <c r="AL197" s="20">
        <f t="shared" si="165"/>
        <v>1224.7924126524251</v>
      </c>
      <c r="AM197" s="59">
        <f t="shared" si="193"/>
        <v>1518.1257459857584</v>
      </c>
      <c r="AN197" s="59">
        <f ca="1">AVERAGE(OFFSET($AM$3,0,0,'Données projet'!$E$10+1,1))-AVERAGE(OFFSET($H$3,0,0,'Données projet'!$E$10+1,1))</f>
        <v>559.94918407141222</v>
      </c>
      <c r="AO197" s="59">
        <f t="shared" ref="AO197:AO203" si="205">$AO$3</f>
        <v>334.6078891555664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1.3432601388999645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3.4090351088423467E-23</v>
      </c>
      <c r="AX197" s="21">
        <f t="shared" si="166"/>
        <v>1.3432601388999645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1.7053025658242404E-13</v>
      </c>
      <c r="BE197" s="13">
        <f>BD197*VLOOKUP('Données projet'!$B$11,Paramètres!$A$1:$I$89,3,0)*VLOOKUP('Données projet'!$B$11,Paramètres!$A$1:$I$89,5,0)</f>
        <v>7.9808160080574461E-14</v>
      </c>
      <c r="BF197" s="13">
        <f t="shared" si="167"/>
        <v>1.2308384591775343E-12</v>
      </c>
      <c r="BG197" s="20">
        <f t="shared" si="168"/>
        <v>2.282709528541206E-12</v>
      </c>
      <c r="BH197" s="59">
        <f t="shared" si="194"/>
        <v>293.33333333333559</v>
      </c>
      <c r="BI197" s="59">
        <f ca="1">AVERAGE(OFFSET($BH$3,0,0,'Données projet'!$E$11+1,1))-AVERAGE(OFFSET($H$3,0,0,'Données projet'!$E$11+1,1))</f>
        <v>276.78862011733338</v>
      </c>
      <c r="BJ197" s="59">
        <f t="shared" ref="BJ197:BJ203" si="206">$BJ$3</f>
        <v>202.1678469635836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-275.00000000000028</v>
      </c>
      <c r="BZ197" s="13">
        <f>BY197*VLOOKUP('Données projet'!$B$12,Paramètres!$A$1:$I$89,3,0)*VLOOKUP('Données projet'!$B$12,Paramètres!$A$1:$I$89,5,0)</f>
        <v>-214.50000000000023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286.5685205631126</v>
      </c>
      <c r="CE197" s="59">
        <f t="shared" ref="CE197:CE203" si="207">$CE$3</f>
        <v>264.17357326498581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2.8421709430404007E-13</v>
      </c>
      <c r="O198" s="13">
        <f>N198*VLOOKUP('Données projet'!$B$9,Paramètres!$A$1:$I$89,3,0)*VLOOKUP('Données projet'!$B$9,Paramètres!$A$1:$I$89,5,0)</f>
        <v>2.5715962692629546E-13</v>
      </c>
      <c r="P198" s="13">
        <f t="shared" si="203"/>
        <v>3.4610450122128953E-12</v>
      </c>
      <c r="Q198" s="20">
        <f t="shared" si="162"/>
        <v>6.4758730798340893E-12</v>
      </c>
      <c r="R198" s="59">
        <f t="shared" si="191"/>
        <v>293.33333333333979</v>
      </c>
      <c r="S198" s="59">
        <f ca="1">AVERAGE(OFFSET($R$3,0,0,'Données projet'!$E$9+1,1))-AVERAGE(OFFSET($H$3,0,0,'Données projet'!$E$9+1,1))</f>
        <v>346.35147716792028</v>
      </c>
      <c r="T198" s="59">
        <f t="shared" si="204"/>
        <v>231.36959598460686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6.8229879623336272E-23</v>
      </c>
      <c r="AC198" s="22">
        <f t="shared" si="163"/>
        <v>6.8229879623336272E-23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964.00000000000023</v>
      </c>
      <c r="AJ198" s="13">
        <f>AI198*VLOOKUP('Données projet'!$B$10,Paramètres!$A$1:$I$89,3,0)*VLOOKUP('Données projet'!$B$10,Paramètres!$A$1:$I$89,5,0)</f>
        <v>576.47200000000021</v>
      </c>
      <c r="AK198" s="13">
        <f t="shared" si="164"/>
        <v>126.75809338895206</v>
      </c>
      <c r="AL198" s="20">
        <f t="shared" si="165"/>
        <v>1224.7924126524251</v>
      </c>
      <c r="AM198" s="59">
        <f t="shared" si="193"/>
        <v>1518.1257459857584</v>
      </c>
      <c r="AN198" s="59">
        <f ca="1">AVERAGE(OFFSET($AM$3,0,0,'Données projet'!$E$10+1,1))-AVERAGE(OFFSET($H$3,0,0,'Données projet'!$E$10+1,1))</f>
        <v>559.94918407141222</v>
      </c>
      <c r="AO198" s="59">
        <f t="shared" si="205"/>
        <v>334.6078891555664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1.3169196268839209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2.4105518427654435E-23</v>
      </c>
      <c r="AX198" s="21">
        <f t="shared" si="166"/>
        <v>1.3169196268839209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1.7053025658242404E-13</v>
      </c>
      <c r="BE198" s="13">
        <f>BD198*VLOOKUP('Données projet'!$B$11,Paramètres!$A$1:$I$89,3,0)*VLOOKUP('Données projet'!$B$11,Paramètres!$A$1:$I$89,5,0)</f>
        <v>7.9808160080574461E-14</v>
      </c>
      <c r="BF198" s="13">
        <f t="shared" si="167"/>
        <v>1.2308384591775343E-12</v>
      </c>
      <c r="BG198" s="20">
        <f t="shared" si="168"/>
        <v>2.282709528541206E-12</v>
      </c>
      <c r="BH198" s="59">
        <f t="shared" si="194"/>
        <v>293.33333333333559</v>
      </c>
      <c r="BI198" s="59">
        <f ca="1">AVERAGE(OFFSET($BH$3,0,0,'Données projet'!$E$11+1,1))-AVERAGE(OFFSET($H$3,0,0,'Données projet'!$E$11+1,1))</f>
        <v>276.78862011733338</v>
      </c>
      <c r="BJ198" s="59">
        <f t="shared" si="206"/>
        <v>202.1678469635836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-275.00000000000028</v>
      </c>
      <c r="BZ198" s="13">
        <f>BY198*VLOOKUP('Données projet'!$B$12,Paramètres!$A$1:$I$89,3,0)*VLOOKUP('Données projet'!$B$12,Paramètres!$A$1:$I$89,5,0)</f>
        <v>-214.50000000000023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286.5685205631126</v>
      </c>
      <c r="CE198" s="59">
        <f t="shared" si="207"/>
        <v>264.17357326498581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2.8421709430404007E-13</v>
      </c>
      <c r="O199" s="13">
        <f>N199*VLOOKUP('Données projet'!$B$9,Paramètres!$A$1:$I$89,3,0)*VLOOKUP('Données projet'!$B$9,Paramètres!$A$1:$I$89,5,0)</f>
        <v>2.5715962692629546E-13</v>
      </c>
      <c r="P199" s="13">
        <f t="shared" si="203"/>
        <v>3.4610450122128953E-12</v>
      </c>
      <c r="Q199" s="20">
        <f t="shared" si="162"/>
        <v>6.4758730798340893E-12</v>
      </c>
      <c r="R199" s="59">
        <f t="shared" si="191"/>
        <v>293.33333333333979</v>
      </c>
      <c r="S199" s="59">
        <f ca="1">AVERAGE(OFFSET($R$3,0,0,'Données projet'!$E$9+1,1))-AVERAGE(OFFSET($H$3,0,0,'Données projet'!$E$9+1,1))</f>
        <v>346.35147716792028</v>
      </c>
      <c r="T199" s="59">
        <f t="shared" si="204"/>
        <v>231.36959598460686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4.824581056120292E-23</v>
      </c>
      <c r="AC199" s="22">
        <f t="shared" si="163"/>
        <v>4.824581056120292E-23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964.00000000000023</v>
      </c>
      <c r="AJ199" s="13">
        <f>AI199*VLOOKUP('Données projet'!$B$10,Paramètres!$A$1:$I$89,3,0)*VLOOKUP('Données projet'!$B$10,Paramètres!$A$1:$I$89,5,0)</f>
        <v>576.47200000000021</v>
      </c>
      <c r="AK199" s="13">
        <f t="shared" si="164"/>
        <v>126.75809338895206</v>
      </c>
      <c r="AL199" s="20">
        <f t="shared" si="165"/>
        <v>1224.7924126524251</v>
      </c>
      <c r="AM199" s="59">
        <f t="shared" si="193"/>
        <v>1518.1257459857584</v>
      </c>
      <c r="AN199" s="59">
        <f ca="1">AVERAGE(OFFSET($AM$3,0,0,'Données projet'!$E$10+1,1))-AVERAGE(OFFSET($H$3,0,0,'Données projet'!$E$10+1,1))</f>
        <v>559.94918407141222</v>
      </c>
      <c r="AO199" s="59">
        <f t="shared" si="205"/>
        <v>334.6078891555664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1.2910956362423862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1.7045175544211733E-23</v>
      </c>
      <c r="AX199" s="21">
        <f t="shared" si="166"/>
        <v>1.2910956362423862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1.7053025658242404E-13</v>
      </c>
      <c r="BE199" s="13">
        <f>BD199*VLOOKUP('Données projet'!$B$11,Paramètres!$A$1:$I$89,3,0)*VLOOKUP('Données projet'!$B$11,Paramètres!$A$1:$I$89,5,0)</f>
        <v>7.9808160080574461E-14</v>
      </c>
      <c r="BF199" s="13">
        <f t="shared" si="167"/>
        <v>1.2308384591775343E-12</v>
      </c>
      <c r="BG199" s="20">
        <f t="shared" si="168"/>
        <v>2.282709528541206E-12</v>
      </c>
      <c r="BH199" s="59">
        <f t="shared" si="194"/>
        <v>293.33333333333559</v>
      </c>
      <c r="BI199" s="59">
        <f ca="1">AVERAGE(OFFSET($BH$3,0,0,'Données projet'!$E$11+1,1))-AVERAGE(OFFSET($H$3,0,0,'Données projet'!$E$11+1,1))</f>
        <v>276.78862011733338</v>
      </c>
      <c r="BJ199" s="59">
        <f t="shared" si="206"/>
        <v>202.1678469635836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-275.00000000000028</v>
      </c>
      <c r="BZ199" s="13">
        <f>BY199*VLOOKUP('Données projet'!$B$12,Paramètres!$A$1:$I$89,3,0)*VLOOKUP('Données projet'!$B$12,Paramètres!$A$1:$I$89,5,0)</f>
        <v>-214.50000000000023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286.5685205631126</v>
      </c>
      <c r="CE199" s="59">
        <f t="shared" si="207"/>
        <v>264.17357326498581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2.8421709430404007E-13</v>
      </c>
      <c r="O200" s="13">
        <f>N200*VLOOKUP('Données projet'!$B$9,Paramètres!$A$1:$I$89,3,0)*VLOOKUP('Données projet'!$B$9,Paramètres!$A$1:$I$89,5,0)</f>
        <v>2.5715962692629546E-13</v>
      </c>
      <c r="P200" s="13">
        <f t="shared" si="203"/>
        <v>3.4610450122128953E-12</v>
      </c>
      <c r="Q200" s="20">
        <f t="shared" si="162"/>
        <v>6.4758730798340893E-12</v>
      </c>
      <c r="R200" s="59">
        <f t="shared" si="191"/>
        <v>293.33333333333979</v>
      </c>
      <c r="S200" s="59">
        <f ca="1">AVERAGE(OFFSET($R$3,0,0,'Données projet'!$E$9+1,1))-AVERAGE(OFFSET($H$3,0,0,'Données projet'!$E$9+1,1))</f>
        <v>346.35147716792028</v>
      </c>
      <c r="T200" s="59">
        <f t="shared" si="204"/>
        <v>231.36959598460686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3.4114939811668136E-23</v>
      </c>
      <c r="AC200" s="22">
        <f t="shared" si="163"/>
        <v>3.4114939811668136E-23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964.00000000000023</v>
      </c>
      <c r="AJ200" s="13">
        <f>AI200*VLOOKUP('Données projet'!$B$10,Paramètres!$A$1:$I$89,3,0)*VLOOKUP('Données projet'!$B$10,Paramètres!$A$1:$I$89,5,0)</f>
        <v>576.47200000000021</v>
      </c>
      <c r="AK200" s="13">
        <f t="shared" si="164"/>
        <v>126.75809338895206</v>
      </c>
      <c r="AL200" s="20">
        <f t="shared" si="165"/>
        <v>1224.7924126524251</v>
      </c>
      <c r="AM200" s="59">
        <f t="shared" si="193"/>
        <v>1518.1257459857584</v>
      </c>
      <c r="AN200" s="59">
        <f ca="1">AVERAGE(OFFSET($AM$3,0,0,'Données projet'!$E$10+1,1))-AVERAGE(OFFSET($H$3,0,0,'Données projet'!$E$10+1,1))</f>
        <v>559.94918407141222</v>
      </c>
      <c r="AO200" s="59">
        <f t="shared" si="205"/>
        <v>334.6078891555664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1.2657780383062529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1.2052759213827217E-23</v>
      </c>
      <c r="AX200" s="21">
        <f t="shared" si="166"/>
        <v>1.2657780383062529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1.7053025658242404E-13</v>
      </c>
      <c r="BE200" s="13">
        <f>BD200*VLOOKUP('Données projet'!$B$11,Paramètres!$A$1:$I$89,3,0)*VLOOKUP('Données projet'!$B$11,Paramètres!$A$1:$I$89,5,0)</f>
        <v>7.9808160080574461E-14</v>
      </c>
      <c r="BF200" s="13">
        <f t="shared" si="167"/>
        <v>1.2308384591775343E-12</v>
      </c>
      <c r="BG200" s="20">
        <f t="shared" si="168"/>
        <v>2.282709528541206E-12</v>
      </c>
      <c r="BH200" s="59">
        <f t="shared" si="194"/>
        <v>293.33333333333559</v>
      </c>
      <c r="BI200" s="59">
        <f ca="1">AVERAGE(OFFSET($BH$3,0,0,'Données projet'!$E$11+1,1))-AVERAGE(OFFSET($H$3,0,0,'Données projet'!$E$11+1,1))</f>
        <v>276.78862011733338</v>
      </c>
      <c r="BJ200" s="59">
        <f t="shared" si="206"/>
        <v>202.1678469635836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-275.00000000000028</v>
      </c>
      <c r="BZ200" s="13">
        <f>BY200*VLOOKUP('Données projet'!$B$12,Paramètres!$A$1:$I$89,3,0)*VLOOKUP('Données projet'!$B$12,Paramètres!$A$1:$I$89,5,0)</f>
        <v>-214.50000000000023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286.5685205631126</v>
      </c>
      <c r="CE200" s="59">
        <f t="shared" si="207"/>
        <v>264.17357326498581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2.8421709430404007E-13</v>
      </c>
      <c r="O201" s="13">
        <f>N201*VLOOKUP('Données projet'!$B$9,Paramètres!$A$1:$I$89,3,0)*VLOOKUP('Données projet'!$B$9,Paramètres!$A$1:$I$89,5,0)</f>
        <v>2.5715962692629546E-13</v>
      </c>
      <c r="P201" s="13">
        <f t="shared" si="203"/>
        <v>3.4610450122128953E-12</v>
      </c>
      <c r="Q201" s="20">
        <f t="shared" si="162"/>
        <v>6.4758730798340893E-12</v>
      </c>
      <c r="R201" s="59">
        <f t="shared" si="191"/>
        <v>293.33333333333979</v>
      </c>
      <c r="S201" s="59">
        <f ca="1">AVERAGE(OFFSET($R$3,0,0,'Données projet'!$E$9+1,1))-AVERAGE(OFFSET($H$3,0,0,'Données projet'!$E$9+1,1))</f>
        <v>346.35147716792028</v>
      </c>
      <c r="T201" s="59">
        <f t="shared" si="204"/>
        <v>231.36959598460686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2.412290528060146E-23</v>
      </c>
      <c r="AC201" s="22">
        <f t="shared" si="163"/>
        <v>2.412290528060146E-23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964.00000000000023</v>
      </c>
      <c r="AJ201" s="13">
        <f>AI201*VLOOKUP('Données projet'!$B$10,Paramètres!$A$1:$I$89,3,0)*VLOOKUP('Données projet'!$B$10,Paramètres!$A$1:$I$89,5,0)</f>
        <v>576.47200000000021</v>
      </c>
      <c r="AK201" s="13">
        <f t="shared" si="164"/>
        <v>126.75809338895206</v>
      </c>
      <c r="AL201" s="20">
        <f t="shared" si="165"/>
        <v>1224.7924126524251</v>
      </c>
      <c r="AM201" s="59">
        <f t="shared" si="193"/>
        <v>1518.1257459857584</v>
      </c>
      <c r="AN201" s="59">
        <f ca="1">AVERAGE(OFFSET($AM$3,0,0,'Données projet'!$E$10+1,1))-AVERAGE(OFFSET($H$3,0,0,'Données projet'!$E$10+1,1))</f>
        <v>559.94918407141222</v>
      </c>
      <c r="AO201" s="59">
        <f t="shared" si="205"/>
        <v>334.6078891555664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1.2409569030234373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8.5225877721058667E-24</v>
      </c>
      <c r="AX201" s="21">
        <f t="shared" si="166"/>
        <v>1.2409569030234373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1.7053025658242404E-13</v>
      </c>
      <c r="BE201" s="13">
        <f>BD201*VLOOKUP('Données projet'!$B$11,Paramètres!$A$1:$I$89,3,0)*VLOOKUP('Données projet'!$B$11,Paramètres!$A$1:$I$89,5,0)</f>
        <v>7.9808160080574461E-14</v>
      </c>
      <c r="BF201" s="13">
        <f t="shared" si="167"/>
        <v>1.2308384591775343E-12</v>
      </c>
      <c r="BG201" s="20">
        <f t="shared" si="168"/>
        <v>2.282709528541206E-12</v>
      </c>
      <c r="BH201" s="59">
        <f t="shared" si="194"/>
        <v>293.33333333333559</v>
      </c>
      <c r="BI201" s="59">
        <f ca="1">AVERAGE(OFFSET($BH$3,0,0,'Données projet'!$E$11+1,1))-AVERAGE(OFFSET($H$3,0,0,'Données projet'!$E$11+1,1))</f>
        <v>276.78862011733338</v>
      </c>
      <c r="BJ201" s="59">
        <f t="shared" si="206"/>
        <v>202.1678469635836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-275.00000000000028</v>
      </c>
      <c r="BZ201" s="13">
        <f>BY201*VLOOKUP('Données projet'!$B$12,Paramètres!$A$1:$I$89,3,0)*VLOOKUP('Données projet'!$B$12,Paramètres!$A$1:$I$89,5,0)</f>
        <v>-214.50000000000023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286.5685205631126</v>
      </c>
      <c r="CE201" s="59">
        <f t="shared" si="207"/>
        <v>264.17357326498581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2.8421709430404007E-13</v>
      </c>
      <c r="O202" s="13">
        <f>N202*VLOOKUP('Données projet'!$B$9,Paramètres!$A$1:$I$89,3,0)*VLOOKUP('Données projet'!$B$9,Paramètres!$A$1:$I$89,5,0)</f>
        <v>2.5715962692629546E-13</v>
      </c>
      <c r="P202" s="13">
        <f t="shared" si="203"/>
        <v>3.4610450122128953E-12</v>
      </c>
      <c r="Q202" s="20">
        <f t="shared" si="162"/>
        <v>6.4758730798340893E-12</v>
      </c>
      <c r="R202" s="59">
        <f t="shared" si="191"/>
        <v>293.33333333333979</v>
      </c>
      <c r="S202" s="59">
        <f ca="1">AVERAGE(OFFSET($R$3,0,0,'Données projet'!$E$9+1,1))-AVERAGE(OFFSET($H$3,0,0,'Données projet'!$E$9+1,1))</f>
        <v>346.35147716792028</v>
      </c>
      <c r="T202" s="59">
        <f t="shared" si="204"/>
        <v>231.36959598460686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1.7057469905834068E-23</v>
      </c>
      <c r="AC202" s="22">
        <f t="shared" si="163"/>
        <v>1.7057469905834068E-23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964.00000000000023</v>
      </c>
      <c r="AJ202" s="13">
        <f>AI202*VLOOKUP('Données projet'!$B$10,Paramètres!$A$1:$I$89,3,0)*VLOOKUP('Données projet'!$B$10,Paramètres!$A$1:$I$89,5,0)</f>
        <v>576.47200000000021</v>
      </c>
      <c r="AK202" s="13">
        <f t="shared" si="164"/>
        <v>126.75809338895206</v>
      </c>
      <c r="AL202" s="20">
        <f t="shared" si="165"/>
        <v>1224.7924126524251</v>
      </c>
      <c r="AM202" s="59">
        <f t="shared" si="193"/>
        <v>1518.1257459857584</v>
      </c>
      <c r="AN202" s="59">
        <f ca="1">AVERAGE(OFFSET($AM$3,0,0,'Données projet'!$E$10+1,1))-AVERAGE(OFFSET($H$3,0,0,'Données projet'!$E$10+1,1))</f>
        <v>559.94918407141222</v>
      </c>
      <c r="AO202" s="59">
        <f t="shared" si="205"/>
        <v>334.6078891555664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1.21662249506412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6.0263796069136087E-24</v>
      </c>
      <c r="AX202" s="21">
        <f t="shared" si="166"/>
        <v>1.21662249506412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1.7053025658242404E-13</v>
      </c>
      <c r="BE202" s="13">
        <f>BD202*VLOOKUP('Données projet'!$B$11,Paramètres!$A$1:$I$89,3,0)*VLOOKUP('Données projet'!$B$11,Paramètres!$A$1:$I$89,5,0)</f>
        <v>7.9808160080574461E-14</v>
      </c>
      <c r="BF202" s="13">
        <f t="shared" si="167"/>
        <v>1.2308384591775343E-12</v>
      </c>
      <c r="BG202" s="20">
        <f t="shared" si="168"/>
        <v>2.282709528541206E-12</v>
      </c>
      <c r="BH202" s="59">
        <f t="shared" si="194"/>
        <v>293.33333333333559</v>
      </c>
      <c r="BI202" s="59">
        <f ca="1">AVERAGE(OFFSET($BH$3,0,0,'Données projet'!$E$11+1,1))-AVERAGE(OFFSET($H$3,0,0,'Données projet'!$E$11+1,1))</f>
        <v>276.78862011733338</v>
      </c>
      <c r="BJ202" s="59">
        <f t="shared" si="206"/>
        <v>202.1678469635836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-275.00000000000028</v>
      </c>
      <c r="BZ202" s="13">
        <f>BY202*VLOOKUP('Données projet'!$B$12,Paramètres!$A$1:$I$89,3,0)*VLOOKUP('Données projet'!$B$12,Paramètres!$A$1:$I$89,5,0)</f>
        <v>-214.50000000000023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286.5685205631126</v>
      </c>
      <c r="CE202" s="59">
        <f t="shared" si="207"/>
        <v>264.17357326498581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2.8421709430404007E-13</v>
      </c>
      <c r="O203" s="13">
        <f>N203*VLOOKUP('Données projet'!$B$9,Paramètres!$A$1:$I$89,3,0)*VLOOKUP('Données projet'!$B$9,Paramètres!$A$1:$I$89,5,0)</f>
        <v>2.5715962692629546E-13</v>
      </c>
      <c r="P203" s="13">
        <f t="shared" si="203"/>
        <v>3.4610450122128953E-12</v>
      </c>
      <c r="Q203" s="20">
        <f t="shared" si="162"/>
        <v>6.4758730798340893E-12</v>
      </c>
      <c r="R203" s="59">
        <f t="shared" si="191"/>
        <v>293.33333333333979</v>
      </c>
      <c r="S203" s="59">
        <f ca="1">AVERAGE(OFFSET($R$3,0,0,'Données projet'!$E$9+1,1))-AVERAGE(OFFSET($H$3,0,0,'Données projet'!$E$9+1,1))</f>
        <v>346.35147716792028</v>
      </c>
      <c r="T203" s="59">
        <f t="shared" si="204"/>
        <v>231.36959598460686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1.206145264030073E-23</v>
      </c>
      <c r="AC203" s="22">
        <f t="shared" si="163"/>
        <v>1.206145264030073E-23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964.00000000000023</v>
      </c>
      <c r="AJ203" s="13">
        <f>AI203*VLOOKUP('Données projet'!$B$10,Paramètres!$A$1:$I$89,3,0)*VLOOKUP('Données projet'!$B$10,Paramètres!$A$1:$I$89,5,0)</f>
        <v>576.47200000000021</v>
      </c>
      <c r="AK203" s="13">
        <f t="shared" si="164"/>
        <v>126.75809338895206</v>
      </c>
      <c r="AL203" s="20">
        <f t="shared" si="165"/>
        <v>1224.7924126524251</v>
      </c>
      <c r="AM203" s="59">
        <f t="shared" si="193"/>
        <v>1518.1257459857584</v>
      </c>
      <c r="AN203" s="59">
        <f ca="1">AVERAGE(OFFSET($AM$3,0,0,'Données projet'!$E$10+1,1))-AVERAGE(OFFSET($H$3,0,0,'Données projet'!$E$10+1,1))</f>
        <v>559.94918407141222</v>
      </c>
      <c r="AO203" s="59">
        <f t="shared" si="205"/>
        <v>334.6078891555664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1.1927652700023617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4.2612938860529333E-24</v>
      </c>
      <c r="AX203" s="21">
        <f t="shared" si="166"/>
        <v>1.1927652700023617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1.7053025658242404E-13</v>
      </c>
      <c r="BE203" s="13">
        <f>BD203*VLOOKUP('Données projet'!$B$11,Paramètres!$A$1:$I$89,3,0)*VLOOKUP('Données projet'!$B$11,Paramètres!$A$1:$I$89,5,0)</f>
        <v>7.9808160080574461E-14</v>
      </c>
      <c r="BF203" s="13">
        <f t="shared" si="167"/>
        <v>1.2308384591775343E-12</v>
      </c>
      <c r="BG203" s="20">
        <f t="shared" si="168"/>
        <v>2.282709528541206E-12</v>
      </c>
      <c r="BH203" s="59">
        <f t="shared" si="194"/>
        <v>293.33333333333559</v>
      </c>
      <c r="BI203" s="59">
        <f ca="1">AVERAGE(OFFSET($BH$3,0,0,'Données projet'!$E$11+1,1))-AVERAGE(OFFSET($H$3,0,0,'Données projet'!$E$11+1,1))</f>
        <v>276.78862011733338</v>
      </c>
      <c r="BJ203" s="59">
        <f t="shared" si="206"/>
        <v>202.1678469635836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-275.00000000000028</v>
      </c>
      <c r="BZ203" s="13">
        <f>BY203*VLOOKUP('Données projet'!$B$12,Paramètres!$A$1:$I$89,3,0)*VLOOKUP('Données projet'!$B$12,Paramètres!$A$1:$I$89,5,0)</f>
        <v>-214.50000000000023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286.5685205631126</v>
      </c>
      <c r="CE203" s="59">
        <f t="shared" si="207"/>
        <v>264.17357326498581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1.2054868146447177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1.244502252163008</v>
      </c>
      <c r="BA205" s="82">
        <f>EXP(LN('Données projet'!B88)/'Données projet'!A88)</f>
        <v>1.1840119133911551</v>
      </c>
      <c r="BV205" s="82">
        <f>EXP(LN('Données projet'!B114)/'Données projet'!A114)</f>
        <v>1.1966732973638288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R25" sqref="R25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sessile</v>
      </c>
      <c r="B6" s="146">
        <f>'Données projet'!D9</f>
        <v>1.724</v>
      </c>
      <c r="C6" s="147">
        <f ca="1">IF(OR('Données projet'!B9="",'Données projet'!C9="",'Données projet'!C9=0%),0,Calculateur!S3)</f>
        <v>346.35147716792028</v>
      </c>
      <c r="D6" s="147">
        <f>IF(OR('Données projet'!B9="",'Données projet'!C9="",'Données projet'!C9=0%),0,Calculateur!T3)</f>
        <v>231.36959598460686</v>
      </c>
      <c r="E6" s="147">
        <f ca="1">MIN(C6,D6)</f>
        <v>231.36959598460686</v>
      </c>
      <c r="F6" s="147">
        <f ca="1">E6*B6</f>
        <v>398.88118347746223</v>
      </c>
      <c r="G6" s="147">
        <f ca="1">F6*(100%-'Données projet'!$C$24)*(100%-'Données projet'!$C$25)*(100%-'Données projet'!$C$26)*(100%-'Données projet'!$C$27)</f>
        <v>358.993065129716</v>
      </c>
      <c r="H6" s="148">
        <f>IF(OR('Données projet'!B9="",'Données projet'!C9="",'Données projet'!C9=0%),0,AVERAGE(Calculateur!$AC$3:$AC$33)*B6)</f>
        <v>0.85267572632710775</v>
      </c>
      <c r="I6" s="149">
        <f>H6*(100%-'Données projet'!$C$24)*(100%-'Données projet'!$C$25)*(100%-'Données projet'!$C$26)*(100%-'Données projet'!$C$27)</f>
        <v>0.76740815369439697</v>
      </c>
      <c r="J6" s="150">
        <f>IF(OR('Données projet'!B9="",'Données projet'!C9="",'Données projet'!C9=0%),0,SUM(Calculateur!$V$3:$V$33)*VLOOKUP('Données projet'!$B$9,Paramètres!$A$1:$I$89,9,0)*B6)</f>
        <v>12.499000000000001</v>
      </c>
      <c r="K6" s="151">
        <f>J6*(100%-'Données projet'!$C$24)*(100%-'Données projet'!$C$25)*(100%-'Données projet'!$C$26)*(100%-'Données projet'!$C$27)</f>
        <v>11.2491</v>
      </c>
      <c r="L6" s="152">
        <f ca="1">G6+I6+K6</f>
        <v>371.00957328341042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laricio</v>
      </c>
      <c r="B7" s="154">
        <f>'Données projet'!D10</f>
        <v>1.272</v>
      </c>
      <c r="C7" s="147">
        <f ca="1">IF(OR('Données projet'!B10="",'Données projet'!C10="",'Données projet'!C10=0%),0,Calculateur!AN3)</f>
        <v>559.94918407141222</v>
      </c>
      <c r="D7" s="147">
        <f>IF(OR('Données projet'!B10="",'Données projet'!C10="",'Données projet'!C10=0%),0,Calculateur!AO3)</f>
        <v>334.6078891555664</v>
      </c>
      <c r="E7" s="147">
        <f t="shared" ref="E7:E15" ca="1" si="0">MIN(C7,D7)</f>
        <v>334.6078891555664</v>
      </c>
      <c r="F7" s="147">
        <f t="shared" ref="F7:F15" ca="1" si="1">E7*B7</f>
        <v>425.62123500588046</v>
      </c>
      <c r="G7" s="147">
        <f ca="1">F7*(100%-'Données projet'!$C$24)*(100%-'Données projet'!$C$25)*(100%-'Données projet'!$C$26)*(100%-'Données projet'!$C$27)</f>
        <v>383.05911150529244</v>
      </c>
      <c r="H7" s="155">
        <f>IF(OR('Données projet'!B10="",'Données projet'!C10="",'Données projet'!C10=0%),0,AVERAGE(Calculateur!$AX$3:$AX$33)*B7)</f>
        <v>3.5887078637082657</v>
      </c>
      <c r="I7" s="149">
        <f>H7*(100%-'Données projet'!$C$24)*(100%-'Données projet'!$C$25)*(100%-'Données projet'!$C$26)*(100%-'Données projet'!$C$27)</f>
        <v>3.229837077337439</v>
      </c>
      <c r="J7" s="150">
        <f>IF(OR('Données projet'!B10="",'Données projet'!C10="",'Données projet'!C10=0%),0,SUM(Calculateur!$AQ$3:$AQ$33)*VLOOKUP('Données projet'!$B$10,Paramètres!$A$1:$I$89,9,0)*B7)</f>
        <v>36.646319999999996</v>
      </c>
      <c r="K7" s="151">
        <f>J7*(100%-'Données projet'!$C$24)*(100%-'Données projet'!$C$25)*(100%-'Données projet'!$C$26)*(100%-'Données projet'!$C$27)</f>
        <v>32.981687999999998</v>
      </c>
      <c r="L7" s="152">
        <f t="shared" ref="L7:L15" ca="1" si="2">G7+I7+K7</f>
        <v>419.27063658262989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Cèdre de l'Atlas</v>
      </c>
      <c r="B8" s="154">
        <f>'Données projet'!D11</f>
        <v>0.42399999999999999</v>
      </c>
      <c r="C8" s="147">
        <f ca="1">IF(OR('Données projet'!B11="",'Données projet'!C11="",'Données projet'!C11=0%),0,Calculateur!BI3)</f>
        <v>276.78862011733338</v>
      </c>
      <c r="D8" s="147">
        <f>IF(OR('Données projet'!B11="",'Données projet'!C11="",'Données projet'!C11=0%),0,Calculateur!BJ3)</f>
        <v>202.1678469635836</v>
      </c>
      <c r="E8" s="147">
        <f t="shared" ca="1" si="0"/>
        <v>202.1678469635836</v>
      </c>
      <c r="F8" s="147">
        <f t="shared" ca="1" si="1"/>
        <v>85.719167112559447</v>
      </c>
      <c r="G8" s="147">
        <f ca="1">F8*(100%-'Données projet'!$C$24)*(100%-'Données projet'!$C$25)*(100%-'Données projet'!$C$26)*(100%-'Données projet'!$C$27)</f>
        <v>77.147250401303509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77.147250401303509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Merisier</v>
      </c>
      <c r="B9" s="154">
        <f>'Données projet'!D12</f>
        <v>0.28720000000000001</v>
      </c>
      <c r="C9" s="147">
        <f ca="1">IF(OR('Données projet'!B12="",'Données projet'!C12="",'Données projet'!C12=0%),0,Calculateur!CD3)</f>
        <v>286.5685205631126</v>
      </c>
      <c r="D9" s="147">
        <f>IF(OR('Données projet'!B12="",'Données projet'!C12="",'Données projet'!C12=0%),0,Calculateur!CE3)</f>
        <v>264.17357326498581</v>
      </c>
      <c r="E9" s="147">
        <f t="shared" ca="1" si="0"/>
        <v>264.17357326498581</v>
      </c>
      <c r="F9" s="147">
        <f t="shared" ca="1" si="1"/>
        <v>75.870650241703927</v>
      </c>
      <c r="G9" s="147">
        <f ca="1">F9*(100%-'Données projet'!$C$24)*(100%-'Données projet'!$C$25)*(100%-'Données projet'!$C$26)*(100%-'Données projet'!$C$27)</f>
        <v>68.283585217533542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3.7336</v>
      </c>
      <c r="K9" s="151">
        <f>J9*(100%-'Données projet'!$C$24)*(100%-'Données projet'!$C$25)*(100%-'Données projet'!$C$26)*(100%-'Données projet'!$C$27)</f>
        <v>3.3602400000000001</v>
      </c>
      <c r="L9" s="152">
        <f t="shared" ca="1" si="2"/>
        <v>71.643825217533546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986.09223583760615</v>
      </c>
      <c r="G16" s="166">
        <f t="shared" ca="1" si="3"/>
        <v>887.48301225384546</v>
      </c>
      <c r="H16" s="167">
        <f t="shared" si="3"/>
        <v>4.4413835900353735</v>
      </c>
      <c r="I16" s="167">
        <f t="shared" si="3"/>
        <v>3.9972452310318358</v>
      </c>
      <c r="J16" s="168">
        <f t="shared" si="3"/>
        <v>52.878920000000001</v>
      </c>
      <c r="K16" s="168">
        <f t="shared" si="3"/>
        <v>47.591027999999994</v>
      </c>
      <c r="L16" s="169">
        <f t="shared" ca="1" si="3"/>
        <v>939.07128548487731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Cèdre de l'Atlas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Merisier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19" zoomScale="80" zoomScaleNormal="80" workbookViewId="0">
      <selection activeCell="L26" sqref="L26:P2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886.14543898305237</v>
      </c>
      <c r="U10" s="178">
        <f>'Données projet'!D9</f>
        <v>1.724</v>
      </c>
      <c r="V10" s="177">
        <f>U10*T10</f>
        <v>1527.7147368067822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1171.5166020812653</v>
      </c>
      <c r="U11" s="178">
        <f>'Données projet'!D10</f>
        <v>1.272</v>
      </c>
      <c r="V11" s="177">
        <f t="shared" ref="V11" si="0">U11*T11</f>
        <v>1490.1691178473695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Cèdre de l'Atlas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942.93302594205068</v>
      </c>
      <c r="U12" s="178">
        <f>'Données projet'!D11</f>
        <v>0.42399999999999999</v>
      </c>
      <c r="V12" s="177">
        <f t="shared" ref="V12:V19" si="1">U12*T12</f>
        <v>399.80360299942947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Merisier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1402.9999219087513</v>
      </c>
      <c r="U13" s="178">
        <f>'Données projet'!D12</f>
        <v>0.28720000000000001</v>
      </c>
      <c r="V13" s="177">
        <f t="shared" si="1"/>
        <v>402.94157757219341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1050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1050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1050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20</v>
      </c>
      <c r="B23" s="181">
        <f>'Données projet'!D36</f>
        <v>0</v>
      </c>
      <c r="C23" s="193">
        <v>2</v>
      </c>
      <c r="D23" s="182">
        <f>B23*C23</f>
        <v>0</v>
      </c>
      <c r="E23" s="193"/>
      <c r="F23" s="230"/>
      <c r="H23" s="190">
        <v>4</v>
      </c>
      <c r="I23" s="191">
        <v>1050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-14617.273291377078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25</v>
      </c>
      <c r="B24" s="181">
        <f>'Données projet'!D37</f>
        <v>8</v>
      </c>
      <c r="C24" s="193">
        <v>3</v>
      </c>
      <c r="D24" s="182">
        <f t="shared" ref="D24:D42" si="2">B24*C24</f>
        <v>24</v>
      </c>
      <c r="E24" s="193"/>
      <c r="F24" s="233"/>
      <c r="H24" s="190">
        <v>5</v>
      </c>
      <c r="I24" s="191">
        <v>1050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30</v>
      </c>
      <c r="B25" s="181">
        <f>'Données projet'!D38</f>
        <v>21</v>
      </c>
      <c r="C25" s="193">
        <v>6</v>
      </c>
      <c r="D25" s="182">
        <f t="shared" si="2"/>
        <v>126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299">
        <f ca="1">T23-T24</f>
        <v>-14617.273291377078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40</v>
      </c>
      <c r="B26" s="181">
        <f>'Données projet'!D39</f>
        <v>42</v>
      </c>
      <c r="C26" s="193">
        <v>20</v>
      </c>
      <c r="D26" s="182">
        <f t="shared" si="2"/>
        <v>840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50</v>
      </c>
      <c r="B27" s="181">
        <f>'Données projet'!D40</f>
        <v>42</v>
      </c>
      <c r="C27" s="193">
        <v>35</v>
      </c>
      <c r="D27" s="182">
        <f t="shared" si="2"/>
        <v>1470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60</v>
      </c>
      <c r="B28" s="181">
        <f>'Données projet'!D41</f>
        <v>42</v>
      </c>
      <c r="C28" s="193">
        <v>55</v>
      </c>
      <c r="D28" s="182">
        <f t="shared" si="2"/>
        <v>2310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70</v>
      </c>
      <c r="B29" s="181">
        <f>'Données projet'!D42</f>
        <v>42</v>
      </c>
      <c r="C29" s="193">
        <v>75</v>
      </c>
      <c r="D29" s="182">
        <f t="shared" si="2"/>
        <v>3150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80</v>
      </c>
      <c r="B30" s="181">
        <f>'Données projet'!D43</f>
        <v>42</v>
      </c>
      <c r="C30" s="193">
        <v>100</v>
      </c>
      <c r="D30" s="182">
        <f t="shared" si="2"/>
        <v>4200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90</v>
      </c>
      <c r="B31" s="181">
        <f>'Données projet'!D44</f>
        <v>42</v>
      </c>
      <c r="C31" s="193">
        <v>130</v>
      </c>
      <c r="D31" s="182">
        <f t="shared" si="2"/>
        <v>5460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100</v>
      </c>
      <c r="B32" s="181">
        <f>'Données projet'!D45</f>
        <v>303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22</v>
      </c>
      <c r="B54" s="181">
        <f>'Données projet'!D62</f>
        <v>16</v>
      </c>
      <c r="C54" s="191">
        <v>3.5</v>
      </c>
      <c r="D54" s="179">
        <f>B54*C54</f>
        <v>56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25</v>
      </c>
      <c r="B55" s="181">
        <f>'Données projet'!D63</f>
        <v>17</v>
      </c>
      <c r="C55" s="191">
        <v>4</v>
      </c>
      <c r="D55" s="179">
        <f t="shared" ref="D55:D73" si="4">B55*C55</f>
        <v>68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30</v>
      </c>
      <c r="B56" s="181">
        <f>'Données projet'!D64</f>
        <v>34</v>
      </c>
      <c r="C56" s="191">
        <v>15</v>
      </c>
      <c r="D56" s="179">
        <f t="shared" si="4"/>
        <v>510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35</v>
      </c>
      <c r="B57" s="181">
        <f>'Données projet'!D65</f>
        <v>41</v>
      </c>
      <c r="C57" s="191">
        <v>15</v>
      </c>
      <c r="D57" s="179">
        <f t="shared" si="4"/>
        <v>615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40</v>
      </c>
      <c r="B58" s="181">
        <f>'Données projet'!D66</f>
        <v>41</v>
      </c>
      <c r="C58" s="191">
        <v>15</v>
      </c>
      <c r="D58" s="179">
        <f t="shared" si="4"/>
        <v>615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45</v>
      </c>
      <c r="B59" s="181">
        <f>'Données projet'!D67</f>
        <v>53</v>
      </c>
      <c r="C59" s="191">
        <v>30</v>
      </c>
      <c r="D59" s="179">
        <f t="shared" si="4"/>
        <v>1590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50</v>
      </c>
      <c r="B60" s="181">
        <f>'Données projet'!D68</f>
        <v>53</v>
      </c>
      <c r="C60" s="191">
        <v>30</v>
      </c>
      <c r="D60" s="179">
        <f t="shared" si="4"/>
        <v>1590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58</v>
      </c>
      <c r="B61" s="181">
        <f>'Données projet'!D69</f>
        <v>78</v>
      </c>
      <c r="C61" s="191">
        <v>30</v>
      </c>
      <c r="D61" s="179">
        <f t="shared" si="4"/>
        <v>2340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66</v>
      </c>
      <c r="B62" s="181">
        <f>'Données projet'!D70</f>
        <v>65</v>
      </c>
      <c r="C62" s="191">
        <v>35</v>
      </c>
      <c r="D62" s="179">
        <f t="shared" si="4"/>
        <v>2275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74</v>
      </c>
      <c r="B63" s="181">
        <f>'Données projet'!D71</f>
        <v>37</v>
      </c>
      <c r="C63" s="191">
        <v>35</v>
      </c>
      <c r="D63" s="179">
        <f t="shared" si="4"/>
        <v>1295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82</v>
      </c>
      <c r="B64" s="181">
        <f>'Données projet'!D72</f>
        <v>26</v>
      </c>
      <c r="C64" s="191">
        <v>35</v>
      </c>
      <c r="D64" s="179">
        <f t="shared" si="4"/>
        <v>910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Cèdre de l'Atlas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30</v>
      </c>
      <c r="B85" s="181">
        <f>'Données projet'!D88</f>
        <v>0</v>
      </c>
      <c r="C85" s="191"/>
      <c r="D85" s="179">
        <f t="shared" ref="D85:D90" si="6"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36</v>
      </c>
      <c r="B86" s="181">
        <f>'Données projet'!D89</f>
        <v>0</v>
      </c>
      <c r="C86" s="191"/>
      <c r="D86" s="179">
        <f t="shared" si="6"/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42</v>
      </c>
      <c r="B87" s="181">
        <f>'Données projet'!D90</f>
        <v>104.98461538461537</v>
      </c>
      <c r="C87" s="191">
        <v>13</v>
      </c>
      <c r="D87" s="179">
        <f t="shared" si="6"/>
        <v>1364.7999999999997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46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50</v>
      </c>
      <c r="B89" s="181">
        <f>'Données projet'!D92</f>
        <v>100.66923076923077</v>
      </c>
      <c r="C89" s="191">
        <v>13</v>
      </c>
      <c r="D89" s="179">
        <f t="shared" si="6"/>
        <v>1308.7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54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58</v>
      </c>
      <c r="B91" s="181">
        <f>'Données projet'!D94</f>
        <v>80.315384615384616</v>
      </c>
      <c r="C91" s="191">
        <v>20</v>
      </c>
      <c r="D91" s="179">
        <f t="shared" ref="D91:D104" si="7">B91*C91</f>
        <v>1606.3076923076924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62</v>
      </c>
      <c r="B92" s="181">
        <f>'Données projet'!D95</f>
        <v>0</v>
      </c>
      <c r="C92" s="191"/>
      <c r="D92" s="179">
        <f t="shared" si="7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66</v>
      </c>
      <c r="B93" s="181">
        <f>'Données projet'!D96</f>
        <v>79.169230769230765</v>
      </c>
      <c r="C93" s="191">
        <v>20</v>
      </c>
      <c r="D93" s="179">
        <f t="shared" si="7"/>
        <v>1583.3846153846152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71</v>
      </c>
      <c r="B94" s="181">
        <f>'Données projet'!D97</f>
        <v>0</v>
      </c>
      <c r="C94" s="191"/>
      <c r="D94" s="179">
        <f t="shared" si="7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75</v>
      </c>
      <c r="B95" s="181">
        <f>'Données projet'!D98</f>
        <v>78.307692307692307</v>
      </c>
      <c r="C95" s="191">
        <v>20</v>
      </c>
      <c r="D95" s="179">
        <f t="shared" si="7"/>
        <v>1566.1538461538462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79</v>
      </c>
      <c r="B96" s="181">
        <f>'Données projet'!D99</f>
        <v>0</v>
      </c>
      <c r="C96" s="191"/>
      <c r="D96" s="179">
        <f t="shared" si="7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83</v>
      </c>
      <c r="B97" s="181">
        <f>'Données projet'!D100</f>
        <v>79.707692307692312</v>
      </c>
      <c r="C97" s="191">
        <v>30</v>
      </c>
      <c r="D97" s="179">
        <f t="shared" si="7"/>
        <v>2391.2307692307695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8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87</v>
      </c>
      <c r="B98" s="181">
        <f>'Données projet'!D101</f>
        <v>0</v>
      </c>
      <c r="C98" s="191"/>
      <c r="D98" s="179">
        <f t="shared" si="7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8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91</v>
      </c>
      <c r="B99" s="181">
        <f>'Données projet'!D102</f>
        <v>229.73846153846154</v>
      </c>
      <c r="C99" s="191">
        <v>30</v>
      </c>
      <c r="D99" s="179">
        <f t="shared" si="7"/>
        <v>6892.1538461538457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8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96</v>
      </c>
      <c r="B100" s="181">
        <f>'Données projet'!D103</f>
        <v>0</v>
      </c>
      <c r="C100" s="191"/>
      <c r="D100" s="179">
        <f t="shared" si="7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8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101</v>
      </c>
      <c r="B101" s="181">
        <f>'Données projet'!D104</f>
        <v>307.60769230769228</v>
      </c>
      <c r="C101" s="191">
        <v>35</v>
      </c>
      <c r="D101" s="179">
        <f t="shared" si="7"/>
        <v>10766.26923076923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8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7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8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7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8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7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8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8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8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Merisier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8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8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str">
        <f>IF(O108+1&lt;=MIN('Données projet'!$E$9:$E$18),O108+1,"STOP")</f>
        <v>STOP</v>
      </c>
      <c r="P109" s="185" t="e">
        <f t="shared" si="8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8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8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8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8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8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8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25</v>
      </c>
      <c r="B116" s="181">
        <f>'Données projet'!D114</f>
        <v>28</v>
      </c>
      <c r="C116" s="191">
        <v>7</v>
      </c>
      <c r="D116" s="179">
        <f>B116*C116</f>
        <v>196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8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30</v>
      </c>
      <c r="B117" s="181">
        <f>'Données projet'!D115</f>
        <v>24</v>
      </c>
      <c r="C117" s="191">
        <v>8</v>
      </c>
      <c r="D117" s="179">
        <f t="shared" ref="D117:D135" si="9">B117*C117</f>
        <v>192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8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35</v>
      </c>
      <c r="B118" s="181">
        <f>'Données projet'!D116</f>
        <v>27</v>
      </c>
      <c r="C118" s="191">
        <v>10</v>
      </c>
      <c r="D118" s="179">
        <f t="shared" si="9"/>
        <v>270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8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40</v>
      </c>
      <c r="B119" s="181">
        <f>'Données projet'!D117</f>
        <v>32</v>
      </c>
      <c r="C119" s="191">
        <v>15</v>
      </c>
      <c r="D119" s="179">
        <f t="shared" si="9"/>
        <v>480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8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45</v>
      </c>
      <c r="B120" s="181">
        <f>'Données projet'!D118</f>
        <v>31</v>
      </c>
      <c r="C120" s="191">
        <v>18</v>
      </c>
      <c r="D120" s="179">
        <f t="shared" si="9"/>
        <v>558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8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50</v>
      </c>
      <c r="B121" s="181">
        <f>'Données projet'!D119</f>
        <v>30</v>
      </c>
      <c r="C121" s="191">
        <v>18</v>
      </c>
      <c r="D121" s="179">
        <f t="shared" si="9"/>
        <v>540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8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55</v>
      </c>
      <c r="B122" s="181">
        <f>'Données projet'!D120</f>
        <v>30</v>
      </c>
      <c r="C122" s="191">
        <v>20</v>
      </c>
      <c r="D122" s="179">
        <f t="shared" si="9"/>
        <v>600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8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60</v>
      </c>
      <c r="B123" s="181">
        <f>'Données projet'!D121</f>
        <v>27</v>
      </c>
      <c r="C123" s="191">
        <v>25</v>
      </c>
      <c r="D123" s="179">
        <f t="shared" si="9"/>
        <v>675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8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65</v>
      </c>
      <c r="B124" s="181">
        <f>'Données projet'!D122</f>
        <v>26</v>
      </c>
      <c r="C124" s="191">
        <v>30</v>
      </c>
      <c r="D124" s="179">
        <f t="shared" si="9"/>
        <v>780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8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70</v>
      </c>
      <c r="B125" s="181">
        <f>'Données projet'!D123</f>
        <v>20</v>
      </c>
      <c r="C125" s="191">
        <v>40</v>
      </c>
      <c r="D125" s="179">
        <f t="shared" si="9"/>
        <v>800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8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75</v>
      </c>
      <c r="B126" s="181">
        <f>'Données projet'!D124</f>
        <v>561</v>
      </c>
      <c r="C126" s="191">
        <v>40</v>
      </c>
      <c r="D126" s="179">
        <f t="shared" si="9"/>
        <v>22440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8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9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8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9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8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9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0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9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0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9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0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9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0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9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9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9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1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1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1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1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1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1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1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1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1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1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1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1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1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1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1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1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1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1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1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2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2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2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2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2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2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2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2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2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2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2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2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2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2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2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2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2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2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2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3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3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3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3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3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3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3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3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3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3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3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3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3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3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3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3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3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3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3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4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4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4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4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4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4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4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4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4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4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4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4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4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4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4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4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4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4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4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5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5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5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5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5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5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5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5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5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5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5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5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5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5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5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5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5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5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5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6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6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6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6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6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6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6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6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6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6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6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6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6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6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6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6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6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6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6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Sixte du CREST</cp:lastModifiedBy>
  <dcterms:created xsi:type="dcterms:W3CDTF">2021-02-01T08:22:39Z</dcterms:created>
  <dcterms:modified xsi:type="dcterms:W3CDTF">2026-02-23T12:47:48Z</dcterms:modified>
</cp:coreProperties>
</file>