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rbonapp\Documents\1_Vergers\Collectif n°6\_Dossiers prêts\14_EI Jérôme Saint Marie 2 (Unicoque)\Dossier d_instruction\"/>
    </mc:Choice>
  </mc:AlternateContent>
  <xr:revisionPtr revIDLastSave="0" documentId="13_ncr:1_{15AE6506-192C-4F2A-A481-42123EBD7F1E}" xr6:coauthVersionLast="47" xr6:coauthVersionMax="47" xr10:uidLastSave="{00000000-0000-0000-0000-000000000000}"/>
  <bookViews>
    <workbookView xWindow="-108" yWindow="-108" windowWidth="23256" windowHeight="12576" tabRatio="644" activeTab="7" xr2:uid="{00000000-000D-0000-FFFF-FFFF00000000}"/>
  </bookViews>
  <sheets>
    <sheet name="Accueil" sheetId="11" r:id="rId1"/>
    <sheet name="Eligibilité_projet" sheetId="2" r:id="rId2"/>
    <sheet name="RECeff + REIamont (1)" sheetId="4" r:id="rId3"/>
    <sheet name="RECeff + REIamont (2)" sheetId="5" r:id="rId4"/>
    <sheet name="REIaval" sheetId="8" r:id="rId5"/>
    <sheet name="RECant_biom" sheetId="9" r:id="rId6"/>
    <sheet name="RECant_sol" sheetId="10" r:id="rId7"/>
    <sheet name="RE" sheetId="6" r:id="rId8"/>
    <sheet name="(ne pas modifier) BDD_REF" sheetId="1" state="hidden" r:id="rId9"/>
    <sheet name="(ne pas modifier) LISTES" sheetId="3" state="hidden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8" i="2" l="1"/>
  <c r="B20" i="2"/>
  <c r="B21" i="2"/>
  <c r="M22" i="2"/>
  <c r="L22" i="2"/>
  <c r="B172" i="1" l="1"/>
  <c r="K22" i="2"/>
  <c r="J22" i="2"/>
  <c r="I22" i="2"/>
  <c r="H22" i="2"/>
  <c r="G22" i="2"/>
  <c r="F22" i="2"/>
  <c r="E22" i="2"/>
  <c r="D22" i="2"/>
  <c r="C22" i="2"/>
  <c r="B22" i="2"/>
  <c r="A22" i="2"/>
  <c r="C46" i="2"/>
  <c r="D46" i="2"/>
  <c r="E46" i="2"/>
  <c r="F46" i="2"/>
  <c r="G46" i="2"/>
  <c r="H46" i="2"/>
  <c r="I46" i="2"/>
  <c r="J46" i="2"/>
  <c r="K46" i="2"/>
  <c r="B46" i="2"/>
  <c r="L8" i="2" l="1"/>
  <c r="E25" i="9" l="1"/>
  <c r="F25" i="9"/>
  <c r="G25" i="9"/>
  <c r="H25" i="9"/>
  <c r="I25" i="9"/>
  <c r="J25" i="9"/>
  <c r="K25" i="9"/>
  <c r="L25" i="9"/>
  <c r="D25" i="9"/>
  <c r="C6" i="6" l="1"/>
  <c r="C5" i="5" l="1"/>
  <c r="B34" i="2" l="1"/>
  <c r="C34" i="2"/>
  <c r="D34" i="2"/>
  <c r="E34" i="2"/>
  <c r="F34" i="2"/>
  <c r="G34" i="2"/>
  <c r="H34" i="2"/>
  <c r="I34" i="2"/>
  <c r="J34" i="2"/>
  <c r="K34" i="2"/>
  <c r="B35" i="2"/>
  <c r="C35" i="2"/>
  <c r="D35" i="2"/>
  <c r="E35" i="2"/>
  <c r="F35" i="2"/>
  <c r="G35" i="2"/>
  <c r="H35" i="2"/>
  <c r="I35" i="2"/>
  <c r="J35" i="2"/>
  <c r="K35" i="2"/>
  <c r="C26" i="9"/>
  <c r="D26" i="9"/>
  <c r="F26" i="9"/>
  <c r="G26" i="9"/>
  <c r="H26" i="9"/>
  <c r="I26" i="9"/>
  <c r="J26" i="9"/>
  <c r="K26" i="9"/>
  <c r="L26" i="9"/>
  <c r="E26" i="9"/>
  <c r="C5" i="10" l="1"/>
  <c r="D118" i="5" l="1"/>
  <c r="E118" i="5"/>
  <c r="F118" i="5"/>
  <c r="G118" i="5"/>
  <c r="H118" i="5"/>
  <c r="I118" i="5"/>
  <c r="J118" i="5"/>
  <c r="K118" i="5"/>
  <c r="L118" i="5"/>
  <c r="D119" i="5"/>
  <c r="E119" i="5"/>
  <c r="F119" i="5"/>
  <c r="G119" i="5"/>
  <c r="H119" i="5"/>
  <c r="I119" i="5"/>
  <c r="J119" i="5"/>
  <c r="K119" i="5"/>
  <c r="L119" i="5"/>
  <c r="D120" i="5"/>
  <c r="E120" i="5"/>
  <c r="F120" i="5"/>
  <c r="G120" i="5"/>
  <c r="H120" i="5"/>
  <c r="I120" i="5"/>
  <c r="J120" i="5"/>
  <c r="K120" i="5"/>
  <c r="L120" i="5"/>
  <c r="D129" i="5"/>
  <c r="E129" i="5"/>
  <c r="F129" i="5"/>
  <c r="G129" i="5"/>
  <c r="H129" i="5"/>
  <c r="I129" i="5"/>
  <c r="J129" i="5"/>
  <c r="K129" i="5"/>
  <c r="L129" i="5"/>
  <c r="D133" i="5"/>
  <c r="E133" i="5"/>
  <c r="F133" i="5"/>
  <c r="G133" i="5"/>
  <c r="H133" i="5"/>
  <c r="I133" i="5"/>
  <c r="J133" i="5"/>
  <c r="K133" i="5"/>
  <c r="L133" i="5"/>
  <c r="D139" i="5"/>
  <c r="E139" i="5"/>
  <c r="F139" i="5"/>
  <c r="G139" i="5"/>
  <c r="H139" i="5"/>
  <c r="I139" i="5"/>
  <c r="I140" i="5" s="1"/>
  <c r="J139" i="5"/>
  <c r="K139" i="5"/>
  <c r="K140" i="5" s="1"/>
  <c r="L139" i="5"/>
  <c r="E140" i="5"/>
  <c r="C139" i="5"/>
  <c r="C133" i="5"/>
  <c r="C129" i="5"/>
  <c r="C120" i="5"/>
  <c r="C119" i="5"/>
  <c r="C118" i="5"/>
  <c r="D91" i="5"/>
  <c r="E91" i="5"/>
  <c r="F91" i="5"/>
  <c r="G91" i="5"/>
  <c r="H91" i="5"/>
  <c r="I91" i="5"/>
  <c r="J91" i="5"/>
  <c r="K91" i="5"/>
  <c r="L91" i="5"/>
  <c r="D92" i="5"/>
  <c r="E92" i="5"/>
  <c r="F92" i="5"/>
  <c r="G92" i="5"/>
  <c r="H92" i="5"/>
  <c r="I92" i="5"/>
  <c r="J92" i="5"/>
  <c r="K92" i="5"/>
  <c r="L92" i="5"/>
  <c r="D93" i="5"/>
  <c r="E93" i="5"/>
  <c r="F93" i="5"/>
  <c r="G93" i="5"/>
  <c r="H93" i="5"/>
  <c r="I93" i="5"/>
  <c r="J93" i="5"/>
  <c r="K93" i="5"/>
  <c r="L93" i="5"/>
  <c r="D102" i="5"/>
  <c r="E102" i="5"/>
  <c r="F102" i="5"/>
  <c r="G102" i="5"/>
  <c r="H102" i="5"/>
  <c r="I102" i="5"/>
  <c r="J102" i="5"/>
  <c r="K102" i="5"/>
  <c r="L102" i="5"/>
  <c r="D106" i="5"/>
  <c r="E106" i="5"/>
  <c r="F106" i="5"/>
  <c r="G106" i="5"/>
  <c r="H106" i="5"/>
  <c r="I106" i="5"/>
  <c r="J106" i="5"/>
  <c r="K106" i="5"/>
  <c r="L106" i="5"/>
  <c r="D112" i="5"/>
  <c r="E112" i="5"/>
  <c r="F112" i="5"/>
  <c r="G112" i="5"/>
  <c r="H112" i="5"/>
  <c r="I112" i="5"/>
  <c r="J112" i="5"/>
  <c r="K112" i="5"/>
  <c r="L112" i="5"/>
  <c r="C112" i="5"/>
  <c r="C106" i="5"/>
  <c r="C102" i="5"/>
  <c r="C93" i="5"/>
  <c r="C92" i="5"/>
  <c r="C91" i="5"/>
  <c r="D64" i="5"/>
  <c r="E64" i="5"/>
  <c r="F64" i="5"/>
  <c r="G64" i="5"/>
  <c r="H64" i="5"/>
  <c r="I64" i="5"/>
  <c r="J64" i="5"/>
  <c r="K64" i="5"/>
  <c r="L64" i="5"/>
  <c r="D65" i="5"/>
  <c r="E65" i="5"/>
  <c r="F65" i="5"/>
  <c r="G65" i="5"/>
  <c r="H65" i="5"/>
  <c r="I65" i="5"/>
  <c r="J65" i="5"/>
  <c r="K65" i="5"/>
  <c r="L65" i="5"/>
  <c r="D66" i="5"/>
  <c r="E66" i="5"/>
  <c r="F66" i="5"/>
  <c r="G66" i="5"/>
  <c r="H66" i="5"/>
  <c r="I66" i="5"/>
  <c r="J66" i="5"/>
  <c r="K66" i="5"/>
  <c r="L66" i="5"/>
  <c r="D75" i="5"/>
  <c r="E75" i="5"/>
  <c r="F75" i="5"/>
  <c r="G75" i="5"/>
  <c r="H75" i="5"/>
  <c r="I75" i="5"/>
  <c r="J75" i="5"/>
  <c r="K75" i="5"/>
  <c r="L75" i="5"/>
  <c r="D79" i="5"/>
  <c r="E79" i="5"/>
  <c r="F79" i="5"/>
  <c r="G79" i="5"/>
  <c r="H79" i="5"/>
  <c r="I79" i="5"/>
  <c r="J79" i="5"/>
  <c r="K79" i="5"/>
  <c r="L79" i="5"/>
  <c r="D85" i="5"/>
  <c r="E85" i="5"/>
  <c r="F85" i="5"/>
  <c r="F86" i="5" s="1"/>
  <c r="G85" i="5"/>
  <c r="H85" i="5"/>
  <c r="I85" i="5"/>
  <c r="J85" i="5"/>
  <c r="J86" i="5" s="1"/>
  <c r="K85" i="5"/>
  <c r="L85" i="5"/>
  <c r="C85" i="5"/>
  <c r="C79" i="5"/>
  <c r="C75" i="5"/>
  <c r="C66" i="5"/>
  <c r="C65" i="5"/>
  <c r="C64" i="5"/>
  <c r="D58" i="5"/>
  <c r="E58" i="5"/>
  <c r="F58" i="5"/>
  <c r="G58" i="5"/>
  <c r="H58" i="5"/>
  <c r="I58" i="5"/>
  <c r="J58" i="5"/>
  <c r="K58" i="5"/>
  <c r="L58" i="5"/>
  <c r="D52" i="5"/>
  <c r="E52" i="5"/>
  <c r="F52" i="5"/>
  <c r="G52" i="5"/>
  <c r="H52" i="5"/>
  <c r="I52" i="5"/>
  <c r="J52" i="5"/>
  <c r="K52" i="5"/>
  <c r="L52" i="5"/>
  <c r="D48" i="5"/>
  <c r="E48" i="5"/>
  <c r="F48" i="5"/>
  <c r="G48" i="5"/>
  <c r="H48" i="5"/>
  <c r="I48" i="5"/>
  <c r="J48" i="5"/>
  <c r="K48" i="5"/>
  <c r="L48" i="5"/>
  <c r="D37" i="5"/>
  <c r="E37" i="5"/>
  <c r="F37" i="5"/>
  <c r="G37" i="5"/>
  <c r="H37" i="5"/>
  <c r="I37" i="5"/>
  <c r="J37" i="5"/>
  <c r="K37" i="5"/>
  <c r="L37" i="5"/>
  <c r="D38" i="5"/>
  <c r="E38" i="5"/>
  <c r="F38" i="5"/>
  <c r="G38" i="5"/>
  <c r="H38" i="5"/>
  <c r="I38" i="5"/>
  <c r="J38" i="5"/>
  <c r="K38" i="5"/>
  <c r="L38" i="5"/>
  <c r="D39" i="5"/>
  <c r="E39" i="5"/>
  <c r="F39" i="5"/>
  <c r="G39" i="5"/>
  <c r="H39" i="5"/>
  <c r="I39" i="5"/>
  <c r="J39" i="5"/>
  <c r="K39" i="5"/>
  <c r="L39" i="5"/>
  <c r="C58" i="5"/>
  <c r="C52" i="5"/>
  <c r="C48" i="5"/>
  <c r="C39" i="5"/>
  <c r="C38" i="5"/>
  <c r="C37" i="5"/>
  <c r="K59" i="5" l="1"/>
  <c r="G59" i="5"/>
  <c r="L59" i="5"/>
  <c r="D59" i="5"/>
  <c r="K86" i="5"/>
  <c r="H59" i="5"/>
  <c r="H140" i="5"/>
  <c r="E113" i="5"/>
  <c r="H113" i="5"/>
  <c r="I113" i="5"/>
  <c r="J59" i="5"/>
  <c r="F59" i="5"/>
  <c r="D140" i="5"/>
  <c r="C113" i="5"/>
  <c r="G140" i="5"/>
  <c r="C86" i="5"/>
  <c r="I86" i="5"/>
  <c r="E86" i="5"/>
  <c r="L113" i="5"/>
  <c r="D113" i="5"/>
  <c r="C59" i="5"/>
  <c r="G86" i="5"/>
  <c r="L140" i="5"/>
  <c r="I59" i="5"/>
  <c r="E59" i="5"/>
  <c r="L86" i="5"/>
  <c r="H86" i="5"/>
  <c r="D86" i="5"/>
  <c r="K113" i="5"/>
  <c r="G113" i="5"/>
  <c r="C140" i="5"/>
  <c r="J140" i="5"/>
  <c r="F140" i="5"/>
  <c r="J113" i="5"/>
  <c r="F113" i="5"/>
  <c r="D31" i="5"/>
  <c r="E31" i="5"/>
  <c r="F31" i="5"/>
  <c r="G31" i="5"/>
  <c r="H31" i="5"/>
  <c r="I31" i="5"/>
  <c r="J31" i="5"/>
  <c r="K31" i="5"/>
  <c r="L31" i="5"/>
  <c r="D21" i="5"/>
  <c r="E21" i="5"/>
  <c r="F21" i="5"/>
  <c r="G21" i="5"/>
  <c r="H21" i="5"/>
  <c r="I21" i="5"/>
  <c r="J21" i="5"/>
  <c r="K21" i="5"/>
  <c r="L21" i="5"/>
  <c r="D25" i="5"/>
  <c r="E25" i="5"/>
  <c r="F25" i="5"/>
  <c r="G25" i="5"/>
  <c r="H25" i="5"/>
  <c r="I25" i="5"/>
  <c r="J25" i="5"/>
  <c r="K25" i="5"/>
  <c r="L25" i="5"/>
  <c r="D10" i="5"/>
  <c r="E10" i="5"/>
  <c r="F10" i="5"/>
  <c r="G10" i="5"/>
  <c r="H10" i="5"/>
  <c r="I10" i="5"/>
  <c r="J10" i="5"/>
  <c r="K10" i="5"/>
  <c r="L10" i="5"/>
  <c r="D11" i="5"/>
  <c r="E11" i="5"/>
  <c r="F11" i="5"/>
  <c r="G11" i="5"/>
  <c r="H11" i="5"/>
  <c r="I11" i="5"/>
  <c r="J11" i="5"/>
  <c r="K11" i="5"/>
  <c r="L11" i="5"/>
  <c r="D12" i="5"/>
  <c r="E12" i="5"/>
  <c r="F12" i="5"/>
  <c r="G12" i="5"/>
  <c r="H12" i="5"/>
  <c r="I12" i="5"/>
  <c r="J12" i="5"/>
  <c r="K12" i="5"/>
  <c r="L12" i="5"/>
  <c r="C31" i="5"/>
  <c r="C25" i="5"/>
  <c r="C21" i="5"/>
  <c r="C10" i="5"/>
  <c r="B31" i="2"/>
  <c r="K32" i="5" l="1"/>
  <c r="G32" i="5"/>
  <c r="J32" i="5"/>
  <c r="F32" i="5"/>
  <c r="I32" i="5"/>
  <c r="E32" i="5"/>
  <c r="L32" i="5"/>
  <c r="H32" i="5"/>
  <c r="D32" i="5"/>
  <c r="C76" i="8"/>
  <c r="C75" i="8"/>
  <c r="C74" i="8"/>
  <c r="C73" i="8"/>
  <c r="C72" i="8"/>
  <c r="C71" i="8"/>
  <c r="C70" i="8"/>
  <c r="C69" i="8"/>
  <c r="C68" i="8"/>
  <c r="C67" i="8"/>
  <c r="C66" i="8"/>
  <c r="C65" i="8"/>
  <c r="C64" i="8"/>
  <c r="C63" i="8"/>
  <c r="C62" i="8"/>
  <c r="C61" i="8"/>
  <c r="C60" i="8"/>
  <c r="C59" i="8"/>
  <c r="C58" i="8"/>
  <c r="C57" i="8"/>
  <c r="C56" i="8"/>
  <c r="C55" i="8"/>
  <c r="C54" i="8"/>
  <c r="C53" i="8"/>
  <c r="C52" i="8"/>
  <c r="C22" i="8"/>
  <c r="C23" i="8"/>
  <c r="C24" i="8"/>
  <c r="C25" i="8"/>
  <c r="C26" i="8"/>
  <c r="C27" i="8"/>
  <c r="C28" i="8"/>
  <c r="C29" i="8"/>
  <c r="C30" i="8"/>
  <c r="C31" i="8"/>
  <c r="C32" i="8"/>
  <c r="C33" i="8"/>
  <c r="C34" i="8"/>
  <c r="C35" i="8"/>
  <c r="C36" i="8"/>
  <c r="C37" i="8"/>
  <c r="C38" i="8"/>
  <c r="C39" i="8"/>
  <c r="C40" i="8"/>
  <c r="C41" i="8"/>
  <c r="C42" i="8"/>
  <c r="C43" i="8"/>
  <c r="C44" i="8"/>
  <c r="C45" i="8"/>
  <c r="C46" i="8"/>
  <c r="C47" i="8"/>
  <c r="C48" i="8"/>
  <c r="C49" i="8"/>
  <c r="C21" i="8"/>
  <c r="C6" i="4" l="1"/>
  <c r="D6" i="4"/>
  <c r="E6" i="4"/>
  <c r="F6" i="4"/>
  <c r="G6" i="4"/>
  <c r="H6" i="4"/>
  <c r="I6" i="4"/>
  <c r="J6" i="4"/>
  <c r="K6" i="4"/>
  <c r="B6" i="4"/>
  <c r="C5" i="4"/>
  <c r="D5" i="4"/>
  <c r="E5" i="4"/>
  <c r="F5" i="4"/>
  <c r="G5" i="4"/>
  <c r="H5" i="4"/>
  <c r="I5" i="4"/>
  <c r="J5" i="4"/>
  <c r="K5" i="4"/>
  <c r="B5" i="4"/>
  <c r="E5" i="5"/>
  <c r="F5" i="5"/>
  <c r="G5" i="5"/>
  <c r="H5" i="5"/>
  <c r="I5" i="5"/>
  <c r="J5" i="5"/>
  <c r="K5" i="5"/>
  <c r="L5" i="5"/>
  <c r="D5" i="5"/>
  <c r="D24" i="9"/>
  <c r="E24" i="9"/>
  <c r="F24" i="9"/>
  <c r="G24" i="9"/>
  <c r="H24" i="9"/>
  <c r="I24" i="9"/>
  <c r="J24" i="9"/>
  <c r="K24" i="9"/>
  <c r="L24" i="9"/>
  <c r="C24" i="9"/>
  <c r="D23" i="9"/>
  <c r="E23" i="9"/>
  <c r="F23" i="9"/>
  <c r="G23" i="9"/>
  <c r="H23" i="9"/>
  <c r="I23" i="9"/>
  <c r="J23" i="9"/>
  <c r="K23" i="9"/>
  <c r="L23" i="9"/>
  <c r="C23" i="9"/>
  <c r="D22" i="9"/>
  <c r="E22" i="9"/>
  <c r="F22" i="9"/>
  <c r="G22" i="9"/>
  <c r="H22" i="9"/>
  <c r="I22" i="9"/>
  <c r="J22" i="9"/>
  <c r="K22" i="9"/>
  <c r="L22" i="9"/>
  <c r="C22" i="9"/>
  <c r="D21" i="9"/>
  <c r="E21" i="9"/>
  <c r="F21" i="9"/>
  <c r="G21" i="9"/>
  <c r="H21" i="9"/>
  <c r="I21" i="9"/>
  <c r="J21" i="9"/>
  <c r="K21" i="9"/>
  <c r="L21" i="9"/>
  <c r="C21" i="9"/>
  <c r="D20" i="9"/>
  <c r="E20" i="9"/>
  <c r="F20" i="9"/>
  <c r="G20" i="9"/>
  <c r="H20" i="9"/>
  <c r="I20" i="9"/>
  <c r="J20" i="9"/>
  <c r="K20" i="9"/>
  <c r="L20" i="9"/>
  <c r="C20" i="9"/>
  <c r="D19" i="9"/>
  <c r="E19" i="9"/>
  <c r="F19" i="9"/>
  <c r="G19" i="9"/>
  <c r="H19" i="9"/>
  <c r="I19" i="9"/>
  <c r="J19" i="9"/>
  <c r="K19" i="9"/>
  <c r="L19" i="9"/>
  <c r="C19" i="9"/>
  <c r="D18" i="9"/>
  <c r="E18" i="9"/>
  <c r="F18" i="9"/>
  <c r="G18" i="9"/>
  <c r="H18" i="9"/>
  <c r="I18" i="9"/>
  <c r="J18" i="9"/>
  <c r="K18" i="9"/>
  <c r="L18" i="9"/>
  <c r="C18" i="9"/>
  <c r="D17" i="9"/>
  <c r="E17" i="9"/>
  <c r="F17" i="9"/>
  <c r="G17" i="9"/>
  <c r="H17" i="9"/>
  <c r="I17" i="9"/>
  <c r="J17" i="9"/>
  <c r="K17" i="9"/>
  <c r="L17" i="9"/>
  <c r="C17" i="9"/>
  <c r="D16" i="9"/>
  <c r="E16" i="9"/>
  <c r="F16" i="9"/>
  <c r="G16" i="9"/>
  <c r="H16" i="9"/>
  <c r="I16" i="9"/>
  <c r="J16" i="9"/>
  <c r="K16" i="9"/>
  <c r="L16" i="9"/>
  <c r="C16" i="9"/>
  <c r="D15" i="9"/>
  <c r="E15" i="9"/>
  <c r="F15" i="9"/>
  <c r="G15" i="9"/>
  <c r="H15" i="9"/>
  <c r="I15" i="9"/>
  <c r="J15" i="9"/>
  <c r="K15" i="9"/>
  <c r="L15" i="9"/>
  <c r="C15" i="9"/>
  <c r="D14" i="9"/>
  <c r="E14" i="9"/>
  <c r="F14" i="9"/>
  <c r="G14" i="9"/>
  <c r="H14" i="9"/>
  <c r="I14" i="9"/>
  <c r="J14" i="9"/>
  <c r="K14" i="9"/>
  <c r="L14" i="9"/>
  <c r="C14" i="9"/>
  <c r="D13" i="9"/>
  <c r="E13" i="9"/>
  <c r="F13" i="9"/>
  <c r="G13" i="9"/>
  <c r="H13" i="9"/>
  <c r="I13" i="9"/>
  <c r="J13" i="9"/>
  <c r="K13" i="9"/>
  <c r="L13" i="9"/>
  <c r="C13" i="9"/>
  <c r="D12" i="9"/>
  <c r="E12" i="9"/>
  <c r="F12" i="9"/>
  <c r="G12" i="9"/>
  <c r="H12" i="9"/>
  <c r="I12" i="9"/>
  <c r="J12" i="9"/>
  <c r="K12" i="9"/>
  <c r="L12" i="9"/>
  <c r="C12" i="9"/>
  <c r="D11" i="9"/>
  <c r="E11" i="9"/>
  <c r="F11" i="9"/>
  <c r="G11" i="9"/>
  <c r="H11" i="9"/>
  <c r="I11" i="9"/>
  <c r="J11" i="9"/>
  <c r="K11" i="9"/>
  <c r="L11" i="9"/>
  <c r="C11" i="9"/>
  <c r="D10" i="9"/>
  <c r="E10" i="9"/>
  <c r="F10" i="9"/>
  <c r="G10" i="9"/>
  <c r="H10" i="9"/>
  <c r="I10" i="9"/>
  <c r="J10" i="9"/>
  <c r="K10" i="9"/>
  <c r="L10" i="9"/>
  <c r="C10" i="9"/>
  <c r="D9" i="9"/>
  <c r="E9" i="9"/>
  <c r="F9" i="9"/>
  <c r="G9" i="9"/>
  <c r="H9" i="9"/>
  <c r="I9" i="9"/>
  <c r="J9" i="9"/>
  <c r="K9" i="9"/>
  <c r="L9" i="9"/>
  <c r="C9" i="9"/>
  <c r="D8" i="9"/>
  <c r="E8" i="9"/>
  <c r="F8" i="9"/>
  <c r="G8" i="9"/>
  <c r="H8" i="9"/>
  <c r="I8" i="9"/>
  <c r="J8" i="9"/>
  <c r="K8" i="9"/>
  <c r="L8" i="9"/>
  <c r="C8" i="9"/>
  <c r="C7" i="9"/>
  <c r="D7" i="9"/>
  <c r="E7" i="9"/>
  <c r="F7" i="9"/>
  <c r="G7" i="9"/>
  <c r="H7" i="9"/>
  <c r="I7" i="9"/>
  <c r="J7" i="9"/>
  <c r="K7" i="9"/>
  <c r="L7" i="9"/>
  <c r="D6" i="9"/>
  <c r="E6" i="9"/>
  <c r="F6" i="9"/>
  <c r="G6" i="9"/>
  <c r="H6" i="9"/>
  <c r="I6" i="9"/>
  <c r="J6" i="9"/>
  <c r="K6" i="9"/>
  <c r="L6" i="9"/>
  <c r="C6" i="9"/>
  <c r="D5" i="9"/>
  <c r="E5" i="9"/>
  <c r="F5" i="9"/>
  <c r="G5" i="9"/>
  <c r="H5" i="9"/>
  <c r="I5" i="9"/>
  <c r="J5" i="9"/>
  <c r="K5" i="9"/>
  <c r="L5" i="9"/>
  <c r="C5" i="9"/>
  <c r="D6" i="10"/>
  <c r="E6" i="10"/>
  <c r="F6" i="10"/>
  <c r="G6" i="10"/>
  <c r="H6" i="10"/>
  <c r="I6" i="10"/>
  <c r="J6" i="10"/>
  <c r="K6" i="10"/>
  <c r="L6" i="10"/>
  <c r="C6" i="10"/>
  <c r="D5" i="10"/>
  <c r="E5" i="10"/>
  <c r="F5" i="10"/>
  <c r="G5" i="10"/>
  <c r="H5" i="10"/>
  <c r="I5" i="10"/>
  <c r="J5" i="10"/>
  <c r="K5" i="10"/>
  <c r="L5" i="10"/>
  <c r="E68" i="1"/>
  <c r="C18" i="8"/>
  <c r="C14" i="8"/>
  <c r="C8" i="8"/>
  <c r="C20" i="8" l="1"/>
  <c r="C25" i="9"/>
  <c r="B7" i="4"/>
  <c r="D8" i="10"/>
  <c r="E8" i="10"/>
  <c r="F8" i="10"/>
  <c r="G8" i="10"/>
  <c r="H8" i="10"/>
  <c r="I8" i="10"/>
  <c r="J8" i="10"/>
  <c r="K8" i="10"/>
  <c r="L8" i="10"/>
  <c r="C8" i="10"/>
  <c r="D7" i="10"/>
  <c r="E7" i="10"/>
  <c r="F7" i="10"/>
  <c r="G7" i="10"/>
  <c r="H7" i="10"/>
  <c r="I7" i="10"/>
  <c r="J7" i="10"/>
  <c r="K7" i="10"/>
  <c r="L7" i="10"/>
  <c r="C7" i="10"/>
  <c r="C9" i="10" l="1"/>
  <c r="B36" i="2" s="1"/>
  <c r="G9" i="10"/>
  <c r="F36" i="2" s="1"/>
  <c r="K9" i="10"/>
  <c r="J36" i="2" s="1"/>
  <c r="D9" i="10"/>
  <c r="C36" i="2" s="1"/>
  <c r="I9" i="10"/>
  <c r="H36" i="2" s="1"/>
  <c r="L9" i="10"/>
  <c r="K36" i="2" s="1"/>
  <c r="J9" i="10"/>
  <c r="I36" i="2" s="1"/>
  <c r="E9" i="10"/>
  <c r="D36" i="2" s="1"/>
  <c r="H9" i="10"/>
  <c r="G36" i="2" s="1"/>
  <c r="F9" i="10"/>
  <c r="E36" i="2" s="1"/>
  <c r="M6" i="10"/>
  <c r="M7" i="10"/>
  <c r="M8" i="10"/>
  <c r="M5" i="10"/>
  <c r="M17" i="9"/>
  <c r="M18" i="9"/>
  <c r="M19" i="9"/>
  <c r="M20" i="9"/>
  <c r="M21" i="9"/>
  <c r="M23" i="9"/>
  <c r="M24" i="9"/>
  <c r="M22" i="9"/>
  <c r="M16" i="9"/>
  <c r="M15" i="9"/>
  <c r="M14" i="9"/>
  <c r="M13" i="9"/>
  <c r="M12" i="9"/>
  <c r="D27" i="9"/>
  <c r="E27" i="9"/>
  <c r="F27" i="9"/>
  <c r="G27" i="9"/>
  <c r="H27" i="9"/>
  <c r="I27" i="9"/>
  <c r="J27" i="9"/>
  <c r="K27" i="9"/>
  <c r="L27" i="9"/>
  <c r="C7" i="1"/>
  <c r="C27" i="9"/>
  <c r="C28" i="9" s="1"/>
  <c r="B37" i="2" s="1"/>
  <c r="D18" i="8"/>
  <c r="E18" i="8"/>
  <c r="F18" i="8"/>
  <c r="G18" i="8"/>
  <c r="H18" i="8"/>
  <c r="I18" i="8"/>
  <c r="J18" i="8"/>
  <c r="K18" i="8"/>
  <c r="L18" i="8"/>
  <c r="D14" i="8"/>
  <c r="E14" i="8"/>
  <c r="F14" i="8"/>
  <c r="G14" i="8"/>
  <c r="H14" i="8"/>
  <c r="I14" i="8"/>
  <c r="J14" i="8"/>
  <c r="K14" i="8"/>
  <c r="L14" i="8"/>
  <c r="M6" i="8"/>
  <c r="M7" i="8"/>
  <c r="M9" i="8"/>
  <c r="M10" i="8"/>
  <c r="M11" i="8"/>
  <c r="M12" i="8"/>
  <c r="M13" i="8"/>
  <c r="M15" i="8"/>
  <c r="M16" i="8"/>
  <c r="M17" i="8"/>
  <c r="M19" i="8"/>
  <c r="M5" i="8"/>
  <c r="D8" i="8"/>
  <c r="E8" i="8"/>
  <c r="F8" i="8"/>
  <c r="G8" i="8"/>
  <c r="G20" i="8" s="1"/>
  <c r="H8" i="8"/>
  <c r="I8" i="8"/>
  <c r="J8" i="8"/>
  <c r="K8" i="8"/>
  <c r="L8" i="8"/>
  <c r="M8" i="5"/>
  <c r="M9" i="5"/>
  <c r="M13" i="5"/>
  <c r="M14" i="5"/>
  <c r="M15" i="5"/>
  <c r="M16" i="5"/>
  <c r="M17" i="5"/>
  <c r="M18" i="5"/>
  <c r="M20" i="5"/>
  <c r="M23" i="5"/>
  <c r="M24" i="5"/>
  <c r="M26" i="5"/>
  <c r="M27" i="5"/>
  <c r="M28" i="5"/>
  <c r="M29" i="5"/>
  <c r="M30" i="5"/>
  <c r="M34" i="5"/>
  <c r="M35" i="5"/>
  <c r="M36" i="5"/>
  <c r="M40" i="5"/>
  <c r="M41" i="5"/>
  <c r="M42" i="5"/>
  <c r="M43" i="5"/>
  <c r="M44" i="5"/>
  <c r="M45" i="5"/>
  <c r="M47" i="5"/>
  <c r="M50" i="5"/>
  <c r="M51" i="5"/>
  <c r="M53" i="5"/>
  <c r="M54" i="5"/>
  <c r="M55" i="5"/>
  <c r="M56" i="5"/>
  <c r="M57" i="5"/>
  <c r="M61" i="5"/>
  <c r="M62" i="5"/>
  <c r="M63" i="5"/>
  <c r="M67" i="5"/>
  <c r="M68" i="5"/>
  <c r="M69" i="5"/>
  <c r="M70" i="5"/>
  <c r="M71" i="5"/>
  <c r="M72" i="5"/>
  <c r="M74" i="5"/>
  <c r="M77" i="5"/>
  <c r="M78" i="5"/>
  <c r="M80" i="5"/>
  <c r="M81" i="5"/>
  <c r="M82" i="5"/>
  <c r="M83" i="5"/>
  <c r="M84" i="5"/>
  <c r="M88" i="5"/>
  <c r="M89" i="5"/>
  <c r="M90" i="5"/>
  <c r="M94" i="5"/>
  <c r="M95" i="5"/>
  <c r="M96" i="5"/>
  <c r="M97" i="5"/>
  <c r="M98" i="5"/>
  <c r="M99" i="5"/>
  <c r="M101" i="5"/>
  <c r="M104" i="5"/>
  <c r="M105" i="5"/>
  <c r="M107" i="5"/>
  <c r="M108" i="5"/>
  <c r="M109" i="5"/>
  <c r="M110" i="5"/>
  <c r="M111" i="5"/>
  <c r="M115" i="5"/>
  <c r="M116" i="5"/>
  <c r="M117" i="5"/>
  <c r="M121" i="5"/>
  <c r="M122" i="5"/>
  <c r="M123" i="5"/>
  <c r="M124" i="5"/>
  <c r="M125" i="5"/>
  <c r="M126" i="5"/>
  <c r="M128" i="5"/>
  <c r="M131" i="5"/>
  <c r="M132" i="5"/>
  <c r="M134" i="5"/>
  <c r="M135" i="5"/>
  <c r="M136" i="5"/>
  <c r="M137" i="5"/>
  <c r="M138" i="5"/>
  <c r="C32" i="5"/>
  <c r="C230" i="1"/>
  <c r="C229" i="1"/>
  <c r="C228" i="1"/>
  <c r="C227" i="1"/>
  <c r="C226" i="1"/>
  <c r="C225" i="1"/>
  <c r="E127" i="5" l="1"/>
  <c r="E130" i="5" s="1"/>
  <c r="E141" i="5" s="1"/>
  <c r="I127" i="5"/>
  <c r="I130" i="5" s="1"/>
  <c r="I141" i="5" s="1"/>
  <c r="F100" i="5"/>
  <c r="F103" i="5" s="1"/>
  <c r="F114" i="5" s="1"/>
  <c r="J100" i="5"/>
  <c r="J103" i="5" s="1"/>
  <c r="J114" i="5" s="1"/>
  <c r="D73" i="5"/>
  <c r="D76" i="5" s="1"/>
  <c r="D87" i="5" s="1"/>
  <c r="H73" i="5"/>
  <c r="H76" i="5" s="1"/>
  <c r="H87" i="5" s="1"/>
  <c r="L73" i="5"/>
  <c r="L76" i="5" s="1"/>
  <c r="L87" i="5" s="1"/>
  <c r="C73" i="5"/>
  <c r="C76" i="5" s="1"/>
  <c r="C87" i="5" s="1"/>
  <c r="E46" i="5"/>
  <c r="E49" i="5" s="1"/>
  <c r="E60" i="5" s="1"/>
  <c r="I46" i="5"/>
  <c r="I49" i="5" s="1"/>
  <c r="I60" i="5" s="1"/>
  <c r="K127" i="5"/>
  <c r="K130" i="5" s="1"/>
  <c r="K141" i="5" s="1"/>
  <c r="H100" i="5"/>
  <c r="H103" i="5" s="1"/>
  <c r="H114" i="5" s="1"/>
  <c r="J73" i="5"/>
  <c r="J76" i="5" s="1"/>
  <c r="J87" i="5" s="1"/>
  <c r="G46" i="5"/>
  <c r="G49" i="5" s="1"/>
  <c r="G60" i="5" s="1"/>
  <c r="C46" i="5"/>
  <c r="C49" i="5" s="1"/>
  <c r="C60" i="5" s="1"/>
  <c r="D127" i="5"/>
  <c r="D130" i="5" s="1"/>
  <c r="D141" i="5" s="1"/>
  <c r="C127" i="5"/>
  <c r="C130" i="5" s="1"/>
  <c r="C141" i="5" s="1"/>
  <c r="K73" i="5"/>
  <c r="K76" i="5" s="1"/>
  <c r="K87" i="5" s="1"/>
  <c r="L46" i="5"/>
  <c r="L49" i="5" s="1"/>
  <c r="L60" i="5" s="1"/>
  <c r="F127" i="5"/>
  <c r="F130" i="5" s="1"/>
  <c r="F141" i="5" s="1"/>
  <c r="J127" i="5"/>
  <c r="J130" i="5" s="1"/>
  <c r="J141" i="5" s="1"/>
  <c r="G100" i="5"/>
  <c r="G103" i="5" s="1"/>
  <c r="G114" i="5" s="1"/>
  <c r="K100" i="5"/>
  <c r="K103" i="5" s="1"/>
  <c r="K114" i="5" s="1"/>
  <c r="C100" i="5"/>
  <c r="C103" i="5" s="1"/>
  <c r="C114" i="5" s="1"/>
  <c r="E73" i="5"/>
  <c r="E76" i="5" s="1"/>
  <c r="E87" i="5" s="1"/>
  <c r="I73" i="5"/>
  <c r="I76" i="5" s="1"/>
  <c r="I87" i="5" s="1"/>
  <c r="F46" i="5"/>
  <c r="F49" i="5" s="1"/>
  <c r="F60" i="5" s="1"/>
  <c r="J46" i="5"/>
  <c r="J49" i="5" s="1"/>
  <c r="J60" i="5" s="1"/>
  <c r="G127" i="5"/>
  <c r="G130" i="5" s="1"/>
  <c r="G141" i="5" s="1"/>
  <c r="D100" i="5"/>
  <c r="D103" i="5" s="1"/>
  <c r="D114" i="5" s="1"/>
  <c r="L100" i="5"/>
  <c r="L103" i="5" s="1"/>
  <c r="L114" i="5" s="1"/>
  <c r="F73" i="5"/>
  <c r="F76" i="5" s="1"/>
  <c r="F87" i="5" s="1"/>
  <c r="K46" i="5"/>
  <c r="K49" i="5" s="1"/>
  <c r="K60" i="5" s="1"/>
  <c r="L127" i="5"/>
  <c r="L130" i="5" s="1"/>
  <c r="L141" i="5" s="1"/>
  <c r="E100" i="5"/>
  <c r="E103" i="5" s="1"/>
  <c r="E114" i="5" s="1"/>
  <c r="G73" i="5"/>
  <c r="G76" i="5" s="1"/>
  <c r="G87" i="5" s="1"/>
  <c r="D46" i="5"/>
  <c r="D49" i="5" s="1"/>
  <c r="D60" i="5" s="1"/>
  <c r="H127" i="5"/>
  <c r="H130" i="5" s="1"/>
  <c r="H141" i="5" s="1"/>
  <c r="I100" i="5"/>
  <c r="I103" i="5" s="1"/>
  <c r="I114" i="5" s="1"/>
  <c r="H46" i="5"/>
  <c r="H49" i="5" s="1"/>
  <c r="H60" i="5" s="1"/>
  <c r="E19" i="5"/>
  <c r="E22" i="5" s="1"/>
  <c r="E33" i="5" s="1"/>
  <c r="I19" i="5"/>
  <c r="I22" i="5" s="1"/>
  <c r="I33" i="5" s="1"/>
  <c r="G19" i="5"/>
  <c r="G22" i="5" s="1"/>
  <c r="G33" i="5" s="1"/>
  <c r="C19" i="5"/>
  <c r="C22" i="5" s="1"/>
  <c r="D19" i="5"/>
  <c r="D22" i="5" s="1"/>
  <c r="D33" i="5" s="1"/>
  <c r="L19" i="5"/>
  <c r="L22" i="5" s="1"/>
  <c r="L33" i="5" s="1"/>
  <c r="F19" i="5"/>
  <c r="F22" i="5" s="1"/>
  <c r="F33" i="5" s="1"/>
  <c r="J19" i="5"/>
  <c r="J22" i="5" s="1"/>
  <c r="J33" i="5" s="1"/>
  <c r="K19" i="5"/>
  <c r="K22" i="5" s="1"/>
  <c r="K33" i="5" s="1"/>
  <c r="H19" i="5"/>
  <c r="H22" i="5" s="1"/>
  <c r="H33" i="5" s="1"/>
  <c r="L36" i="2"/>
  <c r="B38" i="2"/>
  <c r="F20" i="8"/>
  <c r="E20" i="8"/>
  <c r="K20" i="8"/>
  <c r="J20" i="8"/>
  <c r="M9" i="10"/>
  <c r="C10" i="6" s="1"/>
  <c r="C18" i="6" s="1"/>
  <c r="L20" i="8"/>
  <c r="I20" i="8"/>
  <c r="H20" i="8"/>
  <c r="D20" i="8"/>
  <c r="M14" i="8"/>
  <c r="F28" i="9"/>
  <c r="E37" i="2" s="1"/>
  <c r="E39" i="2" s="1"/>
  <c r="K28" i="9"/>
  <c r="J37" i="2" s="1"/>
  <c r="J38" i="2" s="1"/>
  <c r="M10" i="9"/>
  <c r="J28" i="9"/>
  <c r="I37" i="2" s="1"/>
  <c r="I39" i="2" s="1"/>
  <c r="H28" i="9"/>
  <c r="G37" i="2" s="1"/>
  <c r="G38" i="2" s="1"/>
  <c r="G28" i="9"/>
  <c r="F37" i="2" s="1"/>
  <c r="F39" i="2" s="1"/>
  <c r="I28" i="9"/>
  <c r="H37" i="2" s="1"/>
  <c r="H39" i="2" s="1"/>
  <c r="M11" i="9"/>
  <c r="M9" i="9"/>
  <c r="E28" i="9"/>
  <c r="D37" i="2" s="1"/>
  <c r="D39" i="2" s="1"/>
  <c r="M8" i="9"/>
  <c r="L28" i="9"/>
  <c r="K37" i="2" s="1"/>
  <c r="K38" i="2" s="1"/>
  <c r="M7" i="9"/>
  <c r="D28" i="9"/>
  <c r="C37" i="2" s="1"/>
  <c r="C38" i="2" s="1"/>
  <c r="M6" i="9"/>
  <c r="M5" i="9"/>
  <c r="M27" i="9"/>
  <c r="M118" i="5"/>
  <c r="M66" i="5"/>
  <c r="M139" i="5"/>
  <c r="M102" i="5"/>
  <c r="M129" i="5"/>
  <c r="M26" i="9"/>
  <c r="M85" i="5"/>
  <c r="M93" i="5"/>
  <c r="M39" i="5"/>
  <c r="M65" i="5"/>
  <c r="M112" i="5"/>
  <c r="M120" i="5"/>
  <c r="M38" i="5"/>
  <c r="M79" i="5"/>
  <c r="M92" i="5"/>
  <c r="M48" i="5"/>
  <c r="M37" i="5"/>
  <c r="M64" i="5"/>
  <c r="M106" i="5"/>
  <c r="M119" i="5"/>
  <c r="M75" i="5"/>
  <c r="M91" i="5"/>
  <c r="M58" i="5"/>
  <c r="M31" i="5"/>
  <c r="M133" i="5"/>
  <c r="M21" i="5"/>
  <c r="M52" i="5"/>
  <c r="M18" i="8"/>
  <c r="M8" i="8"/>
  <c r="M25" i="5"/>
  <c r="L37" i="2" l="1"/>
  <c r="B39" i="2"/>
  <c r="G39" i="2"/>
  <c r="E38" i="2"/>
  <c r="I38" i="2"/>
  <c r="F38" i="2"/>
  <c r="H38" i="2"/>
  <c r="D38" i="2"/>
  <c r="K39" i="2"/>
  <c r="J39" i="2"/>
  <c r="C39" i="2"/>
  <c r="M28" i="9"/>
  <c r="M100" i="5"/>
  <c r="M113" i="5"/>
  <c r="M59" i="5"/>
  <c r="M73" i="5"/>
  <c r="M140" i="5"/>
  <c r="M32" i="5"/>
  <c r="M19" i="5"/>
  <c r="M127" i="5"/>
  <c r="M49" i="5"/>
  <c r="M46" i="5"/>
  <c r="M103" i="5"/>
  <c r="M86" i="5"/>
  <c r="M76" i="5"/>
  <c r="M20" i="8"/>
  <c r="C8" i="6" s="1"/>
  <c r="C16" i="6" s="1"/>
  <c r="M22" i="5"/>
  <c r="C12" i="5"/>
  <c r="C11" i="5"/>
  <c r="M7" i="5"/>
  <c r="L38" i="2" l="1"/>
  <c r="C33" i="5"/>
  <c r="C142" i="5" s="1"/>
  <c r="C9" i="6"/>
  <c r="C17" i="6" s="1"/>
  <c r="C19" i="6" s="1"/>
  <c r="M130" i="5"/>
  <c r="M87" i="5"/>
  <c r="M141" i="5"/>
  <c r="M11" i="5"/>
  <c r="M60" i="5"/>
  <c r="M114" i="5"/>
  <c r="M10" i="5"/>
  <c r="M12" i="5"/>
  <c r="J142" i="5"/>
  <c r="H142" i="5"/>
  <c r="I142" i="5"/>
  <c r="I143" i="5" s="1"/>
  <c r="F142" i="5"/>
  <c r="E142" i="5"/>
  <c r="E143" i="5" s="1"/>
  <c r="G142" i="5"/>
  <c r="L142" i="5"/>
  <c r="L143" i="5" s="1"/>
  <c r="K142" i="5"/>
  <c r="K143" i="5" s="1"/>
  <c r="G7" i="4"/>
  <c r="H7" i="4"/>
  <c r="J7" i="4"/>
  <c r="J143" i="5" l="1"/>
  <c r="J144" i="5" s="1"/>
  <c r="G143" i="5"/>
  <c r="G144" i="5" s="1"/>
  <c r="H143" i="5"/>
  <c r="H144" i="5" s="1"/>
  <c r="F143" i="5"/>
  <c r="F144" i="5" s="1"/>
  <c r="C143" i="5"/>
  <c r="C144" i="5" s="1"/>
  <c r="K7" i="4"/>
  <c r="I7" i="4"/>
  <c r="K144" i="5"/>
  <c r="L144" i="5"/>
  <c r="E144" i="5"/>
  <c r="I144" i="5"/>
  <c r="E7" i="4"/>
  <c r="D7" i="4"/>
  <c r="F7" i="4"/>
  <c r="C7" i="4"/>
  <c r="L6" i="4"/>
  <c r="L5" i="4"/>
  <c r="M33" i="5"/>
  <c r="D142" i="5"/>
  <c r="D143" i="5" s="1"/>
  <c r="M5" i="5"/>
  <c r="D144" i="5" l="1"/>
  <c r="M144" i="5" s="1"/>
  <c r="L7" i="4"/>
  <c r="M142" i="5"/>
  <c r="C43" i="2"/>
  <c r="D43" i="2"/>
  <c r="E43" i="2"/>
  <c r="F43" i="2"/>
  <c r="G43" i="2"/>
  <c r="H43" i="2"/>
  <c r="I43" i="2"/>
  <c r="J43" i="2"/>
  <c r="K43" i="2"/>
  <c r="C7" i="6" l="1"/>
  <c r="C11" i="6" s="1"/>
  <c r="E27" i="2"/>
  <c r="F27" i="2"/>
  <c r="G27" i="2"/>
  <c r="H27" i="2"/>
  <c r="I27" i="2"/>
  <c r="J27" i="2"/>
  <c r="K27" i="2"/>
  <c r="K28" i="2" s="1"/>
  <c r="B43" i="2"/>
  <c r="C31" i="2"/>
  <c r="D31" i="2"/>
  <c r="E31" i="2"/>
  <c r="F31" i="2"/>
  <c r="G31" i="2"/>
  <c r="H31" i="2"/>
  <c r="I31" i="2"/>
  <c r="J31" i="2"/>
  <c r="K31" i="2"/>
  <c r="E28" i="2"/>
  <c r="F28" i="2"/>
  <c r="G28" i="2"/>
  <c r="H28" i="2"/>
  <c r="I28" i="2"/>
  <c r="J28" i="2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1" i="1"/>
  <c r="E102" i="1"/>
  <c r="D133" i="1"/>
  <c r="D132" i="1"/>
  <c r="D131" i="1"/>
  <c r="D130" i="1"/>
  <c r="D129" i="1"/>
  <c r="D128" i="1"/>
  <c r="D127" i="1"/>
  <c r="D126" i="1"/>
  <c r="D125" i="1"/>
  <c r="D124" i="1"/>
  <c r="D123" i="1"/>
  <c r="D122" i="1"/>
  <c r="D121" i="1"/>
  <c r="D120" i="1"/>
  <c r="D119" i="1"/>
  <c r="D118" i="1"/>
  <c r="D117" i="1"/>
  <c r="D116" i="1"/>
  <c r="D115" i="1"/>
  <c r="D114" i="1"/>
  <c r="D113" i="1"/>
  <c r="D112" i="1"/>
  <c r="D111" i="1"/>
  <c r="D110" i="1"/>
  <c r="D109" i="1"/>
  <c r="D108" i="1"/>
  <c r="D107" i="1"/>
  <c r="D106" i="1"/>
  <c r="D105" i="1"/>
  <c r="D104" i="1"/>
  <c r="D103" i="1"/>
  <c r="D102" i="1"/>
  <c r="D101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68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C15" i="6" l="1"/>
  <c r="C20" i="6" s="1"/>
  <c r="M25" i="9"/>
  <c r="E123" i="1"/>
  <c r="E130" i="1"/>
  <c r="E131" i="1"/>
  <c r="E124" i="1"/>
  <c r="E132" i="1"/>
  <c r="E125" i="1"/>
  <c r="E133" i="1"/>
  <c r="E127" i="1"/>
  <c r="E126" i="1"/>
  <c r="E128" i="1"/>
  <c r="E129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21" i="1"/>
  <c r="C26" i="2"/>
  <c r="C27" i="2" s="1"/>
  <c r="C28" i="2" s="1"/>
  <c r="D26" i="2"/>
  <c r="E26" i="2"/>
  <c r="F26" i="2"/>
  <c r="G26" i="2"/>
  <c r="H26" i="2"/>
  <c r="I26" i="2"/>
  <c r="J26" i="2"/>
  <c r="K26" i="2"/>
  <c r="B26" i="2"/>
  <c r="B27" i="2" s="1"/>
  <c r="B28" i="2" l="1"/>
  <c r="D27" i="2"/>
  <c r="D28" i="2" s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46" i="1"/>
  <c r="E90" i="1" l="1"/>
  <c r="E100" i="1"/>
  <c r="E97" i="1"/>
  <c r="E96" i="1"/>
  <c r="E93" i="1"/>
  <c r="E94" i="1"/>
  <c r="E98" i="1"/>
  <c r="E92" i="1"/>
  <c r="E91" i="1"/>
  <c r="E95" i="1"/>
  <c r="E99" i="1"/>
  <c r="D2" i="1" l="1"/>
  <c r="D3" i="1"/>
  <c r="D4" i="1"/>
  <c r="D5" i="1"/>
  <c r="D6" i="1"/>
  <c r="D7" i="1"/>
  <c r="D8" i="1"/>
  <c r="D9" i="1"/>
  <c r="D10" i="1"/>
  <c r="D12" i="1"/>
  <c r="D13" i="1"/>
  <c r="D14" i="1"/>
  <c r="D15" i="1"/>
  <c r="D16" i="1"/>
  <c r="D17" i="1"/>
  <c r="D11" i="1"/>
  <c r="E17" i="1"/>
  <c r="E16" i="1"/>
  <c r="E15" i="1"/>
  <c r="E14" i="1"/>
  <c r="E12" i="1"/>
  <c r="E11" i="1"/>
  <c r="E13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MYNARD Louise</author>
  </authors>
  <commentList>
    <comment ref="A215" authorId="0" shapeId="0" xr:uid="{00000000-0006-0000-0800-000001000000}">
      <text>
        <r>
          <rPr>
            <b/>
            <sz val="9"/>
            <color indexed="81"/>
            <rFont val="Tahoma"/>
            <family val="2"/>
          </rPr>
          <t xml:space="preserve">MYNARD Louise
</t>
        </r>
        <r>
          <rPr>
            <sz val="9"/>
            <color indexed="81"/>
            <rFont val="Tahoma"/>
            <family val="2"/>
          </rPr>
          <t>attente de la modif texte méthode pour préciser unités</t>
        </r>
      </text>
    </comment>
  </commentList>
</comments>
</file>

<file path=xl/sharedStrings.xml><?xml version="1.0" encoding="utf-8"?>
<sst xmlns="http://schemas.openxmlformats.org/spreadsheetml/2006/main" count="900" uniqueCount="352">
  <si>
    <t>Grandes cultures</t>
  </si>
  <si>
    <t>Prairies permanentes</t>
  </si>
  <si>
    <t>Viticulture</t>
  </si>
  <si>
    <t>Vergers</t>
  </si>
  <si>
    <t>Friche herbacée</t>
  </si>
  <si>
    <t>Climat Sec Mediterranéen</t>
  </si>
  <si>
    <t>Hors climat Mediterranéen</t>
  </si>
  <si>
    <t>Variation annuelle (tC/ha/an)</t>
  </si>
  <si>
    <t>Usage de référence</t>
  </si>
  <si>
    <t>Parcelle 1</t>
  </si>
  <si>
    <t>Parcelle 2</t>
  </si>
  <si>
    <t>Parcelle 3</t>
  </si>
  <si>
    <t>Parcelle 4</t>
  </si>
  <si>
    <t>Parcelle 5</t>
  </si>
  <si>
    <t>Parcelle 6</t>
  </si>
  <si>
    <t>Parcelle 7</t>
  </si>
  <si>
    <t>Parcelle 8</t>
  </si>
  <si>
    <t>Parcelle 9</t>
  </si>
  <si>
    <t>Parcelle 10</t>
  </si>
  <si>
    <t>% enherbement prévu</t>
  </si>
  <si>
    <t>Climat de la zone de plantation</t>
  </si>
  <si>
    <t>Stock C sol (tC/ha)</t>
  </si>
  <si>
    <t>Climat</t>
  </si>
  <si>
    <t>Variable</t>
  </si>
  <si>
    <t>Valeur</t>
  </si>
  <si>
    <t>Climat_Usage</t>
  </si>
  <si>
    <t>Climats</t>
  </si>
  <si>
    <t>Climat-Usage de référence</t>
  </si>
  <si>
    <t>Espèce fruitière</t>
  </si>
  <si>
    <t>Type de plantation</t>
  </si>
  <si>
    <t>Densité de plantation minimum admise (arbres/ha)</t>
  </si>
  <si>
    <t>Abricotier</t>
  </si>
  <si>
    <t>Gobelet</t>
  </si>
  <si>
    <t>Amandier</t>
  </si>
  <si>
    <t>Cerisier de table</t>
  </si>
  <si>
    <t>Axe</t>
  </si>
  <si>
    <t>Cerisier</t>
  </si>
  <si>
    <t>Châtaignier</t>
  </si>
  <si>
    <t>Plein vent</t>
  </si>
  <si>
    <t>Clémentinier</t>
  </si>
  <si>
    <t>Cognassier</t>
  </si>
  <si>
    <t>Figuier</t>
  </si>
  <si>
    <t>Kiwi</t>
  </si>
  <si>
    <t>T-Barre</t>
  </si>
  <si>
    <t>Noisetier</t>
  </si>
  <si>
    <t>Noyer</t>
  </si>
  <si>
    <t>Pêcher</t>
  </si>
  <si>
    <t>Upsilon</t>
  </si>
  <si>
    <t>Palmette</t>
  </si>
  <si>
    <t>Poirier</t>
  </si>
  <si>
    <t>Pommier</t>
  </si>
  <si>
    <t>Prunier de table</t>
  </si>
  <si>
    <t>Durée de vie de l'espèce fruitière</t>
  </si>
  <si>
    <t>REC ANT BIOM (tC/ha)</t>
  </si>
  <si>
    <t>Année du projet</t>
  </si>
  <si>
    <r>
      <t xml:space="preserve">Stock </t>
    </r>
    <r>
      <rPr>
        <b/>
        <vertAlign val="subscript"/>
        <sz val="12"/>
        <color rgb="FF000000"/>
        <rFont val="Calibri"/>
        <family val="2"/>
      </rPr>
      <t>biomasse_projet</t>
    </r>
  </si>
  <si>
    <r>
      <t xml:space="preserve">Stock </t>
    </r>
    <r>
      <rPr>
        <b/>
        <vertAlign val="subscript"/>
        <sz val="11"/>
        <color theme="1"/>
        <rFont val="Calibri"/>
        <family val="2"/>
        <scheme val="minor"/>
      </rPr>
      <t>biomasse_ref</t>
    </r>
    <r>
      <rPr>
        <b/>
        <sz val="11"/>
        <color theme="1"/>
        <rFont val="Calibri"/>
        <family val="2"/>
        <scheme val="minor"/>
      </rPr>
      <t xml:space="preserve"> (vigne)</t>
    </r>
  </si>
  <si>
    <r>
      <t xml:space="preserve">Stock </t>
    </r>
    <r>
      <rPr>
        <b/>
        <vertAlign val="subscript"/>
        <sz val="11"/>
        <color theme="1"/>
        <rFont val="Calibri"/>
        <family val="2"/>
        <scheme val="minor"/>
      </rPr>
      <t>biomasse_projet</t>
    </r>
    <r>
      <rPr>
        <b/>
        <sz val="11"/>
        <color theme="1"/>
        <rFont val="Calibri"/>
        <family val="2"/>
        <scheme val="minor"/>
      </rPr>
      <t xml:space="preserve"> - Stock </t>
    </r>
    <r>
      <rPr>
        <b/>
        <vertAlign val="subscript"/>
        <sz val="11"/>
        <color theme="1"/>
        <rFont val="Calibri"/>
        <family val="2"/>
        <scheme val="minor"/>
      </rPr>
      <t xml:space="preserve">biomasse_ref </t>
    </r>
    <r>
      <rPr>
        <b/>
        <sz val="11"/>
        <color theme="1"/>
        <rFont val="Calibri"/>
        <family val="2"/>
        <scheme val="minor"/>
      </rPr>
      <t>(vigne)</t>
    </r>
  </si>
  <si>
    <t>Durée - Usage ref</t>
  </si>
  <si>
    <t>Durée de vie</t>
  </si>
  <si>
    <t>Densité objectif minimale</t>
  </si>
  <si>
    <t xml:space="preserve">Validation critère </t>
  </si>
  <si>
    <t>Critère d'éligibilité 1 - Densité minimale de plants</t>
  </si>
  <si>
    <t>Critère d'éligibilité 3 - Augmentation du stock de carbone total</t>
  </si>
  <si>
    <t>Durée de vie - Usage de référence</t>
  </si>
  <si>
    <t>Surface parcelle (ha)</t>
  </si>
  <si>
    <t>Espèce - Type plantation</t>
  </si>
  <si>
    <t>Espèce - Plantation</t>
  </si>
  <si>
    <t>Critère d'éligibilité 4 - Enherbement du verger sur au moins 50% de sa surface</t>
  </si>
  <si>
    <t>Climat non mediterranéen</t>
  </si>
  <si>
    <t>Contexte climatique</t>
  </si>
  <si>
    <t>Culture</t>
  </si>
  <si>
    <t>Betterave sucrière, conventionnelle – Moyenne nationale (France)</t>
  </si>
  <si>
    <t>Blé dur, conventionnel – Moyenne nationale (France)</t>
  </si>
  <si>
    <t>Blé tendre biologique de féverole (cas type), région Centre</t>
  </si>
  <si>
    <t>Blé tendre biologique de luzerne (cas type), région Centre</t>
  </si>
  <si>
    <t>Blé tendre conventionnel, améliorant, 15% humidité</t>
  </si>
  <si>
    <t>Blé tendre conventionnel, panifiable, 15% humidité</t>
  </si>
  <si>
    <t>Blé tendre, conventionnel – Moyenne nationale (France)</t>
  </si>
  <si>
    <t>Carotte, biologique, premier et deuxième choix, Basse Normandie</t>
  </si>
  <si>
    <t>Carotte, conventionnelle, premier et deuxième choix – Moyenne nationale (France)</t>
  </si>
  <si>
    <t>Colza, conventionnel, 9% humidité – Moyenne nationale (France)</t>
  </si>
  <si>
    <t>Féverole, biologique en culture pure (cas type), région Centre</t>
  </si>
  <si>
    <t>Féverole, conventionnelle – Moyenne nationale (France)</t>
  </si>
  <si>
    <t>Féverole, de printemps, conventionnelle, en conduite allégée</t>
  </si>
  <si>
    <t>Herbe conservée, enrubannage, prairie permanente, avec trèfle, Nord-Ouest</t>
  </si>
  <si>
    <t>Herbe conservée, enrubannage, prairie permanente, sans trèfle, Auvergne</t>
  </si>
  <si>
    <t>Herbe conservée, enrubannage, prairie permanente, sans trèfle, Nord-Ouest</t>
  </si>
  <si>
    <t>Herbe conservée, enrubannage, prairie temporaire, avec trèfle, Nord-Ouest</t>
  </si>
  <si>
    <t>Herbe conservée, enrubannage, prairie temporaire, sans trèfle, Nord-Ouest</t>
  </si>
  <si>
    <t>Herbe conservée, ensilage, prairie permanente, sans trèfle, Auvergne</t>
  </si>
  <si>
    <t>Herbe conservée, ensilage, prairie temporaire, avec trèfle, Nord-Ouest</t>
  </si>
  <si>
    <t>Herbe conservée, foin, prairie permanente, avec trèfle, Nord-Ouest</t>
  </si>
  <si>
    <t>Herbe conservée, foin, prairie permanente, sans trèfle, Auvergne</t>
  </si>
  <si>
    <t>Herbe conservée, foin, prairie permanente, sans trèfle, Nord-Ouest</t>
  </si>
  <si>
    <t>Herbe conservée, foin, prairie temporaire, avec trèfle, Nord-Ouest</t>
  </si>
  <si>
    <t>Herbe conservée, foin, prairie temporaire, sans trèfle, Nord-Ouest</t>
  </si>
  <si>
    <t>Herbe pâturée, prairie permanente, avec trèfle, Nord-Ouest</t>
  </si>
  <si>
    <t>Herbe pâturée, prairie permanente, sans trèfle, Auvergne</t>
  </si>
  <si>
    <t>Herbe pâturée, prairie permanente, sans trèfle, Nord-Ouest</t>
  </si>
  <si>
    <t>Herbe pâturée, prairie temporaire, avec trèfle, Nord-Ouest</t>
  </si>
  <si>
    <t>Herbe pâturée, prairie temporaire, sans trèfle, Nord-Ouest</t>
  </si>
  <si>
    <t>Luzerne, conventionnelle – Moyenne nationale (France)</t>
  </si>
  <si>
    <t>Luzerne, conventionnelle, pour la déshydratation</t>
  </si>
  <si>
    <t>Luzerne, conventionnelle, pour l'alimentation animale (en exploitation avec élevage)</t>
  </si>
  <si>
    <t>Maïs ensilage, conventionnel – Moyenne nationale (France)</t>
  </si>
  <si>
    <t>Maïs grain humide, conventionnel, 28% humidité – Moyenne nationale (France)</t>
  </si>
  <si>
    <t>Orge de brasserie, conventionnelle – Moyenne nationale (France)</t>
  </si>
  <si>
    <t>Orge fourragère, conventionnelle – Moyenne nationale (France)</t>
  </si>
  <si>
    <t>Pois de printemps, conventionnel, 15% humidité</t>
  </si>
  <si>
    <t>Pois d'hiver, conventionnel, 15% humidité</t>
  </si>
  <si>
    <t>Pomme de terre de consommation destinée à l’industrie, conventionnelle</t>
  </si>
  <si>
    <t>Pomme de terre destinée au marché du frais, autres variétés, conventionnelle</t>
  </si>
  <si>
    <t>Pomme de terre destinée au marché du frais, chair ferme, conventionnelle</t>
  </si>
  <si>
    <t>Pomme de terre fécule, conventionnelle – Moyenne nationale (France)</t>
  </si>
  <si>
    <t>Pomme de terre, conventionnelle, mix de variétés – Moyenne nationale (France)</t>
  </si>
  <si>
    <t>Raisin vigne, biologique, Languedoc Roussillon, tous vins confondus</t>
  </si>
  <si>
    <t>Raisin vigne, biologique, Maconnais, vin appellation</t>
  </si>
  <si>
    <t>Raisin vigne, raisonnée Beaujolais Sud, vin appellation Beaujolais</t>
  </si>
  <si>
    <t>Raisin vigne, raisonnée, Languedoc Roussillon, tous vins confondus</t>
  </si>
  <si>
    <t>Tomate pour la consommation en frais, biologique, sous abri – Moyenne nationale (France)</t>
  </si>
  <si>
    <t>Tomate pour la consommation en frais, conventionnelle, sous abri – Moyenne nationale (France)</t>
  </si>
  <si>
    <t>Tomate pour la consommation en frais, conventionnelle, sous abri froid</t>
  </si>
  <si>
    <t>Tomate pour la consommation en frais, sous abri – Moyenne nationale (France)</t>
  </si>
  <si>
    <t>Tournesol, conventionnel, 9% humidité – Moyenne nationale (France)</t>
  </si>
  <si>
    <t>Triticale, biologique (cas type), région Centre</t>
  </si>
  <si>
    <t>Triticale, conventionnelle – Moyenne nationale (France)</t>
  </si>
  <si>
    <t>kg CO2 eq/ha</t>
  </si>
  <si>
    <t>Clémentine (Nour), qualité export, Souss</t>
  </si>
  <si>
    <t>Pêche, biologique – Moyenne nationale (France)</t>
  </si>
  <si>
    <t>Pêche, conventionnelle – Moyenne nationale (France)</t>
  </si>
  <si>
    <t>Pêche, mix de production (conventionnelle et biologique) – Moyenne nationale (France)</t>
  </si>
  <si>
    <t>Pomme à cidre, conventionnelle – Moyenne nationale (France)</t>
  </si>
  <si>
    <t>Pomme de table, biologique – Moyenne nationale (France)</t>
  </si>
  <si>
    <t>Pomme de table, conventionnelle – Moyenne nationale (France)</t>
  </si>
  <si>
    <t>Pomme de table, mix de production (conventionnelle et biologique) – Moyenne nationale (France), sortie verger</t>
  </si>
  <si>
    <t>Pomme non tolérante à la tavelure, conventionnelle – Moyenne nationale (France)</t>
  </si>
  <si>
    <t>Pomme tolérante à la tavelure, conventionnelle – Moyenne nationale (France)</t>
  </si>
  <si>
    <t>EGES ref (en teqCO2/ha/an)</t>
  </si>
  <si>
    <t>EGES projet (en teqCO2/ha/an)</t>
  </si>
  <si>
    <r>
      <t xml:space="preserve">SAU en cultures fruitières de l'exploitation avant-projet </t>
    </r>
    <r>
      <rPr>
        <b/>
        <i/>
        <sz val="10"/>
        <color theme="1"/>
        <rFont val="Calibri"/>
        <family val="2"/>
        <scheme val="minor"/>
      </rPr>
      <t>(moyenne des 3 dernières années)</t>
    </r>
  </si>
  <si>
    <r>
      <t>SAU en culture fruitières à l'échelle de l'exploitation en phase de projet</t>
    </r>
    <r>
      <rPr>
        <b/>
        <i/>
        <sz val="10"/>
        <color theme="1"/>
        <rFont val="Calibri"/>
        <family val="2"/>
        <scheme val="minor"/>
      </rPr>
      <t xml:space="preserve"> (moyenne des 5 années de projet)</t>
    </r>
  </si>
  <si>
    <t>Avant rabais</t>
  </si>
  <si>
    <t>Option 2</t>
  </si>
  <si>
    <t>EGESprojet (en teqCO2/ha/an)</t>
  </si>
  <si>
    <t>EGESref (en teqCO2/ha/an)</t>
  </si>
  <si>
    <t>Année 1</t>
  </si>
  <si>
    <t>Année 2</t>
  </si>
  <si>
    <t>Année 3</t>
  </si>
  <si>
    <t>Année 4</t>
  </si>
  <si>
    <t>Année 5</t>
  </si>
  <si>
    <t>Somme des parcelles</t>
  </si>
  <si>
    <t>EF1org (kg N2O-N/kg N)</t>
  </si>
  <si>
    <t>EF1min (en kgN2O-N/kg N)</t>
  </si>
  <si>
    <t xml:space="preserve">Frac GASF (en kg NH3-N + NOx-N /kg N apporté) (valeur IPCC 2019 par défaut) </t>
  </si>
  <si>
    <t xml:space="preserve">Frac GASM (en kg NH3-N + NOx-N /kg N apporté) (valeur IPCC 2019 par défaut) </t>
  </si>
  <si>
    <t>EF4 (en kg N2O-N/kg NH3-N + NOx-N)</t>
  </si>
  <si>
    <t>Frac LESS (en kg N /kg N apporté) (valeur IPCC 2019 par défaut)</t>
  </si>
  <si>
    <t>EF5 (en kg N2O-N/kg N lessivé)</t>
  </si>
  <si>
    <t>Combustible</t>
  </si>
  <si>
    <t>Unité</t>
  </si>
  <si>
    <t>FE (kg eqCO2/unité)</t>
  </si>
  <si>
    <t>FE directes (kg eq CO2/unité)</t>
  </si>
  <si>
    <t>FE indirectes (kg eq CO2/unité)</t>
  </si>
  <si>
    <t>Fioul domestique</t>
  </si>
  <si>
    <t>Litres</t>
  </si>
  <si>
    <t>Gazole</t>
  </si>
  <si>
    <t>Essence</t>
  </si>
  <si>
    <t>Gaz naturel</t>
  </si>
  <si>
    <t>kg</t>
  </si>
  <si>
    <t>kWh</t>
  </si>
  <si>
    <t>Butane/Propane</t>
  </si>
  <si>
    <t>Facteurs d'émissions (unité)</t>
  </si>
  <si>
    <t>ECO2e engins (en teqCO2/ha/an)</t>
  </si>
  <si>
    <t>FE indirect électricité (en kg CO2 eq/kWh)</t>
  </si>
  <si>
    <t>ECO2plants</t>
  </si>
  <si>
    <t>FE azote (en kg CO2 eq/kg N) (source : engrais azoté moyen, Ges’tim+)</t>
  </si>
  <si>
    <t>FE phosp (en kg CO2 eq/kg P2O5) (source: engrais phosphaté moyen</t>
  </si>
  <si>
    <t>FE potasse (en kg CO2 eq/kg K2O) (source: engrais potassique moyen, Ges’tim+)</t>
  </si>
  <si>
    <t>attente modif texte méthode</t>
  </si>
  <si>
    <t>FE fongicides</t>
  </si>
  <si>
    <t>FE herbicides</t>
  </si>
  <si>
    <t>FE insecticides</t>
  </si>
  <si>
    <t>FE autres</t>
  </si>
  <si>
    <t>ECO2e irrigation (en teqCO2/ha/an)</t>
  </si>
  <si>
    <t>ECO2e energie (en teqCO2/ha/an)</t>
  </si>
  <si>
    <t>ECO2e intrants (en teqCO2/ha/an)</t>
  </si>
  <si>
    <t>PRG N2O (IPCC 2013)</t>
  </si>
  <si>
    <t>EGESprojet sur les 5 ans (en teqCO2)</t>
  </si>
  <si>
    <t>EGESprojet sur les 5 ans (en teqCO2/ha)</t>
  </si>
  <si>
    <t>EGES transport les émissions associées au transport du coproduit de son lieu de fabrication jusqu’au site énergétique (en teq CO2/tonne)</t>
  </si>
  <si>
    <t>Projet</t>
  </si>
  <si>
    <t>Référence</t>
  </si>
  <si>
    <t>Flux_CP ref, quantité de coproduits valorisées en énergie dans le scénario de référence (en tonnes)</t>
  </si>
  <si>
    <t>Flux_CP projet, quantité de coproduits valorisées en énergie issue de la SAU plantation du projet (en tonnes/an)</t>
  </si>
  <si>
    <t>Flux_CP projet, quantité de coproduits valorisées en énergie issue de la SAU plantation du projet (en tonnes)</t>
  </si>
  <si>
    <t>FE de l’énergie fossile substituée (en teq CO2/kWh PCI)</t>
  </si>
  <si>
    <t>Pouvoir Calorifique Inférieur (PCI) du coproduit valorisé (en kWh PCI/ tonne)</t>
  </si>
  <si>
    <t>Coefficient de substitution du coproduit du verger valorisé en phase de projet (en teq CO2/tonne)</t>
  </si>
  <si>
    <t>REIaval (teq CO2)</t>
  </si>
  <si>
    <t>Durée de vie de l’espèce fruitière + 1 an</t>
  </si>
  <si>
    <t>Stock_biomasse (en tC/ha)</t>
  </si>
  <si>
    <t>Verger hors climat sec méditerranéen</t>
  </si>
  <si>
    <t xml:space="preserve">Verger en climat Sec Méditerranéen </t>
  </si>
  <si>
    <t xml:space="preserve">Usage de référence </t>
  </si>
  <si>
    <t>Sources</t>
  </si>
  <si>
    <t>OMINEA, 2020</t>
  </si>
  <si>
    <t>IFN/FCBA/SOLAGRO, 2009</t>
  </si>
  <si>
    <t>Chiti et al., 2018</t>
  </si>
  <si>
    <t>Verger</t>
  </si>
  <si>
    <t>Stock_biomasse_projet (en tC/ha)</t>
  </si>
  <si>
    <t>Stock_biomasse_référence (en tC/ha)</t>
  </si>
  <si>
    <t>Age</t>
  </si>
  <si>
    <r>
      <t xml:space="preserve">Stock </t>
    </r>
    <r>
      <rPr>
        <vertAlign val="subscript"/>
        <sz val="12"/>
        <color theme="1"/>
        <rFont val="Calibri"/>
        <family val="2"/>
      </rPr>
      <t xml:space="preserve">biomasse_projet </t>
    </r>
    <r>
      <rPr>
        <sz val="12"/>
        <color theme="1"/>
        <rFont val="Calibri"/>
        <family val="2"/>
      </rPr>
      <t>en tC/ha</t>
    </r>
  </si>
  <si>
    <r>
      <t xml:space="preserve">Stock </t>
    </r>
    <r>
      <rPr>
        <b/>
        <vertAlign val="subscript"/>
        <sz val="11"/>
        <color theme="1"/>
        <rFont val="Calibri"/>
        <family val="2"/>
      </rPr>
      <t>biomasse (en tC/ha)</t>
    </r>
  </si>
  <si>
    <t>Année</t>
  </si>
  <si>
    <t>Source</t>
  </si>
  <si>
    <t>MediNet</t>
  </si>
  <si>
    <t>GIS Fruits (RMQS)</t>
  </si>
  <si>
    <t xml:space="preserve">Verger en climat Sec Méditerranéen (en tC/ha) </t>
  </si>
  <si>
    <t>Verger hors climat sec méditerranéen (en tC/ha)</t>
  </si>
  <si>
    <t>Verger en climat Sec Méditerranéen (en tC/ha)</t>
  </si>
  <si>
    <t>RE sur 5 ans (en teqCO2/ha)</t>
  </si>
  <si>
    <t>RE (en teqCO2)</t>
  </si>
  <si>
    <t>Référence pour une des 3 années précédant le projet</t>
  </si>
  <si>
    <t>Effenherb (en tC/ha/an)</t>
  </si>
  <si>
    <t>Estimation REC ANT_SOL + REC ANT_BIOM (en teq CO2)</t>
  </si>
  <si>
    <t>Si vous ne trouvez pas le FE correspondant, vous pouvez les retrouver dans le guide GESTIM+ ou la Base Carbone de l'Ademe.</t>
  </si>
  <si>
    <t>Facteur de conversion GJ en kWh</t>
  </si>
  <si>
    <t>Butane - inclus maritime</t>
  </si>
  <si>
    <t>Anthracite</t>
  </si>
  <si>
    <t>Bitumes</t>
  </si>
  <si>
    <t>Bois bûche - 20% d'humidité</t>
  </si>
  <si>
    <t>Broyars de cagettes et de pallettes - 20% d'humidité</t>
  </si>
  <si>
    <t>Carbureacteur - jet B et essence aviation</t>
  </si>
  <si>
    <t>Charbon à coke</t>
  </si>
  <si>
    <t>Coke de houille</t>
  </si>
  <si>
    <t>Coke de lignite</t>
  </si>
  <si>
    <t>Essence - SP 95 - SP 98</t>
  </si>
  <si>
    <t>Fioul lourd</t>
  </si>
  <si>
    <t>Gaz de cokerie</t>
  </si>
  <si>
    <t>Gaz de haut fourneau</t>
  </si>
  <si>
    <t>GNL, Gaz Naturel Liquéfié</t>
  </si>
  <si>
    <t>GPL pour véhicule routier</t>
  </si>
  <si>
    <t>Granulés bois - 8% d'humidité</t>
  </si>
  <si>
    <t>Houille</t>
  </si>
  <si>
    <t>Huiles de schistes</t>
  </si>
  <si>
    <t>Kérosène</t>
  </si>
  <si>
    <t>Lignite - PCS inférieur à 17435</t>
  </si>
  <si>
    <t>Naphta</t>
  </si>
  <si>
    <t>Pétrole brut</t>
  </si>
  <si>
    <t>Plaquettes forestières - 25% d'humidité</t>
  </si>
  <si>
    <t>Propane</t>
  </si>
  <si>
    <t>Sciures et chutes de scieries - 50% d'humidité</t>
  </si>
  <si>
    <t>Tourbe</t>
  </si>
  <si>
    <t>Combustible haute viscosité</t>
  </si>
  <si>
    <t>Fioul à base de carbone recyclé - VALORTEC - Basse teneur en soufre</t>
  </si>
  <si>
    <t>Combustibles fossiles liquides usage source fixe</t>
  </si>
  <si>
    <t>FE (en teq CO2/kWh PCI)</t>
  </si>
  <si>
    <t xml:space="preserve">Energie fossile substituée </t>
  </si>
  <si>
    <t>Combustibles fossiles liquides Usage sources mobiles Usage routier</t>
  </si>
  <si>
    <t xml:space="preserve">Essence - Supercarburant sans plomb (95, 95-E10, 98) </t>
  </si>
  <si>
    <t>Gazole routier</t>
  </si>
  <si>
    <t>Gazole routier - B7</t>
  </si>
  <si>
    <t>Essence - E10</t>
  </si>
  <si>
    <t>Essence - E85</t>
  </si>
  <si>
    <t>Gazole - B30</t>
  </si>
  <si>
    <t xml:space="preserve">Gazole routier - B10 </t>
  </si>
  <si>
    <t>Gazole routier - B100</t>
  </si>
  <si>
    <t>GNL, Gaz Naturel Liquéfié - (inclus routier, maritime et fluvial)</t>
  </si>
  <si>
    <t xml:space="preserve">GNC, Gaz Naturel Comprimé pour véhicule routier </t>
  </si>
  <si>
    <t>Combustibles fossiles liquides Usage sources mobiles Usage maritime et fluvial</t>
  </si>
  <si>
    <t>HFO (Heavy Fuel Oil) - ISO 8217 classes RME à RMK</t>
  </si>
  <si>
    <t xml:space="preserve">LFO (Light Fuel Oil) - ISO 8217 classes RMA à RMD (maritime) </t>
  </si>
  <si>
    <t xml:space="preserve">MDO (Marine Diesel Oil) - ISO 8217 classes DMX à DMC </t>
  </si>
  <si>
    <t xml:space="preserve">Carbureacteur - large coupe (jet B) </t>
  </si>
  <si>
    <t>Combustibles fossiles liquides Usage sources mobiles Usage aérien</t>
  </si>
  <si>
    <t xml:space="preserve">Essence aviation (AvGas) </t>
  </si>
  <si>
    <t xml:space="preserve">Kérosène - jet A1 ou A </t>
  </si>
  <si>
    <t xml:space="preserve">Gazole non routier </t>
  </si>
  <si>
    <t>Combustibles fossiles liquides Usage sources mobiles autres usages</t>
  </si>
  <si>
    <t>Combustibles fossiles gazeux gaz naturel</t>
  </si>
  <si>
    <t>Gaz naturel - 2015 - mix moyen - consommation</t>
  </si>
  <si>
    <t xml:space="preserve">Gaz naturel </t>
  </si>
  <si>
    <t>Combustibles fossiles gazeux propane et butane</t>
  </si>
  <si>
    <t xml:space="preserve">Butane - inclus maritime </t>
  </si>
  <si>
    <t>Espèce selon référentiel Agribalyse (à compléter si vous souhaitez planter des pommiers/pêchers/clémentiniers)</t>
  </si>
  <si>
    <t xml:space="preserve">Prairies </t>
  </si>
  <si>
    <t xml:space="preserve">Commune </t>
  </si>
  <si>
    <r>
      <rPr>
        <b/>
        <sz val="11"/>
        <color theme="1"/>
        <rFont val="Calibri"/>
        <family val="2"/>
        <scheme val="minor"/>
      </rPr>
      <t>Validation critère</t>
    </r>
    <r>
      <rPr>
        <sz val="11"/>
        <color theme="1"/>
        <rFont val="Calibri"/>
        <family val="2"/>
        <scheme val="minor"/>
      </rPr>
      <t xml:space="preserve"> (si le tableur affiche #N/A, la validatation de ce critèrte sera déteminée par le service instructeur)</t>
    </r>
  </si>
  <si>
    <t>Densité objectif de plantation (plants/ha)</t>
  </si>
  <si>
    <t>Durée de vie prévue du verger (années)</t>
  </si>
  <si>
    <t>ECO2engrais (en teqCO2/ha/an)</t>
  </si>
  <si>
    <t>MA = Matière Active</t>
  </si>
  <si>
    <t>ECO2phyto (en teqCO2/ha/an)</t>
  </si>
  <si>
    <t>Critère d'éligibilité 2 - Augmentation de la surface nette en culture fruitière</t>
  </si>
  <si>
    <t>RECant_biom (teqCO2)</t>
  </si>
  <si>
    <t>Durée de vie de l'espèce fruitière (années)</t>
  </si>
  <si>
    <t>RECant_sol (teq CO2)</t>
  </si>
  <si>
    <t>RECeff + REIamont (teq CO2)</t>
  </si>
  <si>
    <t>RECant_biom (teq CO2)</t>
  </si>
  <si>
    <t>RE (teq CO2)</t>
  </si>
  <si>
    <t>Estimation REC ANT_SOL (en teqCO2)</t>
  </si>
  <si>
    <t>Estimation REC ANT_BIOM (en teqCO2)</t>
  </si>
  <si>
    <t>Option 1 (si non choisie, ne pas tenir compte du calcul)</t>
  </si>
  <si>
    <t>Part enherbée (%)</t>
  </si>
  <si>
    <t>Stock sol ref (teq CO2/ha)</t>
  </si>
  <si>
    <t>Stock sol projet (teq CO2/ha)</t>
  </si>
  <si>
    <t>CRITERE D'ELIGIBILITE</t>
  </si>
  <si>
    <t>Espèce plantée</t>
  </si>
  <si>
    <t>Ce calculateur a été élaboré par le Minitère de la Transition Ecologique et permet notamment de calculer les réductions d'émissions associés aux projets suivant la méthode "Plantation de vergers".</t>
  </si>
  <si>
    <t>Les cellules à remplir sont indiquées en jaune (si vous ne parvenez pas à supprimer une donnée, tappez sur Suppr)</t>
  </si>
  <si>
    <t>QNmin (en kgN/ha/an)</t>
  </si>
  <si>
    <t>QNorg (en kgN/ha/an)</t>
  </si>
  <si>
    <t>QNres (en kgN/ha/an)</t>
  </si>
  <si>
    <t>Fioul domestique (en L/ha/an)</t>
  </si>
  <si>
    <t>Gazole (en L/ha/an)</t>
  </si>
  <si>
    <t>Essence (en L/ha/an)</t>
  </si>
  <si>
    <t>Gaz naturel (kg/ha/an)</t>
  </si>
  <si>
    <t>Gaz naturel (en kWh/ha/an)</t>
  </si>
  <si>
    <t>Butane/Propane (en kg/ha/an)</t>
  </si>
  <si>
    <t>Consommation électricité pour l'irrigation (en kWh/ha/an)</t>
  </si>
  <si>
    <t>QP (en kgP2O5/ha/an)</t>
  </si>
  <si>
    <t>QK (en kgK2O/ha/an)</t>
  </si>
  <si>
    <t>Quantité MA Fongicides (kg/ha/an)</t>
  </si>
  <si>
    <t>Quantité MA Herbicides (kg/ha/an)</t>
  </si>
  <si>
    <t>Quantité MA Insecticides (kg/ha/an)</t>
  </si>
  <si>
    <t>Quantité MA Autres (kg/ha/an)</t>
  </si>
  <si>
    <t>EN2O dir (kg N20-N/ha)</t>
  </si>
  <si>
    <t>EN2O vol (kg N20-N/ha)</t>
  </si>
  <si>
    <t>EN2O less (kg N20-N/ha)</t>
  </si>
  <si>
    <t>INFORMATIONS (une seule espèce/parcelle)</t>
  </si>
  <si>
    <t>Rien n'est à compléter</t>
  </si>
  <si>
    <t>Rien n'est à compléter mais certaines valeurs doivent être reprises dans le Document Description de Projet (DDP)</t>
  </si>
  <si>
    <t>Cet onglet est facultatif et n'est à remplir que si le porteur de projet fait le choix de valoriser des coproduits de son verger en énergie.</t>
  </si>
  <si>
    <r>
      <t xml:space="preserve">Tout projet demandant le label bas-carbone au titre de la méthode "Plantation de vergers" devra utiliser ce calculateur. Il se compose de 7 onglets.
</t>
    </r>
    <r>
      <rPr>
        <sz val="14"/>
        <color theme="1"/>
        <rFont val="Symbol"/>
        <family val="1"/>
        <charset val="2"/>
      </rPr>
      <t>®</t>
    </r>
    <r>
      <rPr>
        <sz val="14"/>
        <color theme="1"/>
        <rFont val="Calibri"/>
        <family val="2"/>
      </rPr>
      <t xml:space="preserve">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 xml:space="preserve">Eligibilité_projet </t>
    </r>
    <r>
      <rPr>
        <sz val="14"/>
        <color theme="1"/>
        <rFont val="Calibri"/>
        <family val="2"/>
        <scheme val="minor"/>
      </rPr>
      <t xml:space="preserve">où le porteur de projet </t>
    </r>
    <r>
      <rPr>
        <u/>
        <sz val="14"/>
        <color theme="1"/>
        <rFont val="Calibri"/>
        <family val="2"/>
        <scheme val="minor"/>
      </rPr>
      <t>doit renseigner</t>
    </r>
    <r>
      <rPr>
        <sz val="14"/>
        <color theme="1"/>
        <rFont val="Calibri"/>
        <family val="2"/>
        <scheme val="minor"/>
      </rPr>
      <t xml:space="preserve"> les principales informations du projet afin s'il est éligible ou non.</t>
    </r>
    <r>
      <rPr>
        <sz val="14"/>
        <color theme="1"/>
        <rFont val="Calibri"/>
        <family val="2"/>
      </rPr>
      <t xml:space="preserve">
</t>
    </r>
    <r>
      <rPr>
        <sz val="14"/>
        <color theme="1"/>
        <rFont val="Symbol"/>
        <family val="1"/>
        <charset val="2"/>
      </rPr>
      <t xml:space="preserve">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RECeff + REIamont (1)</t>
    </r>
    <r>
      <rPr>
        <sz val="12"/>
        <color theme="1"/>
        <rFont val="Calibri"/>
        <family val="2"/>
        <scheme val="minor"/>
      </rPr>
      <t xml:space="preserve"> </t>
    </r>
    <r>
      <rPr>
        <sz val="14"/>
        <color theme="1"/>
        <rFont val="Calibri"/>
        <family val="2"/>
        <scheme val="minor"/>
      </rPr>
      <t xml:space="preserve">que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. Cet onglet permet d'utiliser le facteur d’émissions de la culture fruitière implantée grace au référentiel Agribalyse. Il permet de simplifier les calculs dans trois cas particuliers : si le porteur de projet souhaite planter des pommiers et/ou des pêchers et/ou des clémentiniers. </t>
    </r>
    <r>
      <rPr>
        <u/>
        <sz val="14"/>
        <color theme="1"/>
        <rFont val="Calibri"/>
        <family val="2"/>
        <scheme val="minor"/>
      </rPr>
      <t xml:space="preserve">S'il choisit cette option, l'onglet suivant, </t>
    </r>
    <r>
      <rPr>
        <b/>
        <u/>
        <sz val="14"/>
        <color theme="1"/>
        <rFont val="Calibri"/>
        <family val="2"/>
        <scheme val="minor"/>
      </rPr>
      <t>RECeff + REIamont (2)</t>
    </r>
    <r>
      <rPr>
        <u/>
        <sz val="14"/>
        <color theme="1"/>
        <rFont val="Calibri"/>
        <family val="2"/>
        <scheme val="minor"/>
      </rPr>
      <t xml:space="preserve"> n'est pas à compléter</t>
    </r>
    <r>
      <rPr>
        <sz val="14"/>
        <color theme="1"/>
        <rFont val="Calibri"/>
        <family val="2"/>
        <scheme val="minor"/>
      </rPr>
      <t xml:space="preserve">. 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RECeff + REIamont (2)</t>
    </r>
    <r>
      <rPr>
        <sz val="14"/>
        <color theme="1"/>
        <rFont val="Calibri"/>
        <family val="2"/>
        <scheme val="minor"/>
      </rPr>
      <t xml:space="preserve"> dans lequel le porteur de projet </t>
    </r>
    <r>
      <rPr>
        <u/>
        <sz val="14"/>
        <color theme="1"/>
        <rFont val="Calibri"/>
        <family val="2"/>
        <scheme val="minor"/>
      </rPr>
      <t>doit renseigner</t>
    </r>
    <r>
      <rPr>
        <sz val="14"/>
        <color theme="1"/>
        <rFont val="Calibri"/>
        <family val="2"/>
        <scheme val="minor"/>
      </rPr>
      <t xml:space="preserve"> son plan d'action en matière de fertilisation, de traitement phytosanitaire, d'énergie et d'eau durant les 5 premières annéees. Cet onglet correspond au calcul des réductions d’émissions de  gaz  à  effet  de  serre classiques effectuées et aux réductions d’émissions indirectes  amont. Attention à bien remplir les cases jusqu'à la 5ème année.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REIaval</t>
    </r>
    <r>
      <rPr>
        <sz val="14"/>
        <color theme="1"/>
        <rFont val="Calibri"/>
        <family val="2"/>
        <scheme val="minor"/>
      </rPr>
      <t xml:space="preserve"> que le porteur de projet </t>
    </r>
    <r>
      <rPr>
        <u/>
        <sz val="14"/>
        <color theme="1"/>
        <rFont val="Calibri"/>
        <family val="2"/>
        <scheme val="minor"/>
      </rPr>
      <t>peut choisir de remplir ou non</t>
    </r>
    <r>
      <rPr>
        <sz val="14"/>
        <color theme="1"/>
        <rFont val="Calibri"/>
        <family val="2"/>
        <scheme val="minor"/>
      </rPr>
      <t xml:space="preserve"> s'il fait le choix de valoriser des coproduits du verger en énergie.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RECant_biom</t>
    </r>
    <r>
      <rPr>
        <sz val="14"/>
        <color theme="1"/>
        <rFont val="Calibri"/>
        <family val="2"/>
        <scheme val="minor"/>
      </rPr>
      <t xml:space="preserve"> qui permet de calculter les réductions d’émissions anticipées liées au stockage du carbone dans la biomasse.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 cet onglet, le calcul est automatisé. 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>un onglet</t>
    </r>
    <r>
      <rPr>
        <b/>
        <sz val="14"/>
        <color theme="1"/>
        <rFont val="Calibri"/>
        <family val="2"/>
        <scheme val="minor"/>
      </rPr>
      <t xml:space="preserve"> RECant_sol</t>
    </r>
    <r>
      <rPr>
        <sz val="14"/>
        <color theme="1"/>
        <rFont val="Calibri"/>
        <family val="2"/>
        <scheme val="minor"/>
      </rPr>
      <t xml:space="preserve"> qui permet de calculter les réductions d’émissions liées au stockage du carbone dans le sol.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 cet onglet, le calcul est automatisé.</t>
    </r>
    <r>
      <rPr>
        <sz val="14"/>
        <color theme="1"/>
        <rFont val="Symbol"/>
        <family val="1"/>
        <charset val="2"/>
      </rPr>
      <t xml:space="preserve">
®</t>
    </r>
    <r>
      <rPr>
        <sz val="14"/>
        <color theme="1"/>
        <rFont val="Calibri"/>
        <family val="2"/>
      </rPr>
      <t xml:space="preserve"> un onglet </t>
    </r>
    <r>
      <rPr>
        <b/>
        <sz val="14"/>
        <color theme="1"/>
        <rFont val="Calibri"/>
        <family val="2"/>
      </rPr>
      <t>RE</t>
    </r>
    <r>
      <rPr>
        <sz val="14"/>
        <color theme="1"/>
        <rFont val="Calibri"/>
        <family val="2"/>
      </rPr>
      <t xml:space="preserve"> permet de faire la somme des réductions d'émissions du projet et d'affecter les rabais. Le porteur de projet </t>
    </r>
    <r>
      <rPr>
        <u/>
        <sz val="14"/>
        <color theme="1"/>
        <rFont val="Calibri"/>
        <family val="2"/>
      </rPr>
      <t>n'a pas à remplir</t>
    </r>
    <r>
      <rPr>
        <sz val="14"/>
        <color theme="1"/>
        <rFont val="Calibri"/>
        <family val="2"/>
      </rPr>
      <t xml:space="preserve"> cet onglet, le calcul est automatisé. Les valeurs finales qui y sont inscrites doivent être retranscrites dans le Document Descriptif de Projet.</t>
    </r>
  </si>
  <si>
    <t>Cet onglet doit être complété si vous n'avez pas choisi l'option de simplication du calcul des RECeff + REIamont (cas des pommiers et/ou pêchers et/ou clémentiniers). 
N'oubliez pas de compléter les éléments relatifs aux 5 premières années du projet.</t>
  </si>
  <si>
    <t>NON</t>
  </si>
  <si>
    <t>OUI</t>
  </si>
  <si>
    <r>
      <t xml:space="preserve">Si vous plantez des </t>
    </r>
    <r>
      <rPr>
        <b/>
        <sz val="12"/>
        <color theme="1"/>
        <rFont val="Calibri"/>
        <family val="2"/>
        <scheme val="minor"/>
      </rPr>
      <t>pommiers et/ou des pêchers et/ou des clémentiniers</t>
    </r>
    <r>
      <rPr>
        <sz val="12"/>
        <color theme="1"/>
        <rFont val="Calibri"/>
        <family val="2"/>
        <scheme val="minor"/>
      </rPr>
      <t xml:space="preserve"> (espèces du référentiel Agribalyse), souhaitez vous utiliser l'option simplifiée pour le calcul des RECeff + REIamont ? NB: si vous plantez d'autres espèces, vous ne pouvez pas prendre cette option.
Si oui, les résultats seront indiqués dans l'onglet </t>
    </r>
    <r>
      <rPr>
        <sz val="12"/>
        <color theme="4" tint="-0.249977111117893"/>
        <rFont val="Calibri"/>
        <family val="2"/>
        <scheme val="minor"/>
      </rPr>
      <t>RECeff + REIamont (1)</t>
    </r>
    <r>
      <rPr>
        <sz val="12"/>
        <color theme="1"/>
        <rFont val="Calibri"/>
        <family val="2"/>
        <scheme val="minor"/>
      </rPr>
      <t xml:space="preserve"> et vous n'avez pas à remplir l'onglet </t>
    </r>
    <r>
      <rPr>
        <sz val="12"/>
        <color theme="4" tint="-0.249977111117893"/>
        <rFont val="Calibri"/>
        <family val="2"/>
        <scheme val="minor"/>
      </rPr>
      <t>RECeff + REIamont (2)</t>
    </r>
    <r>
      <rPr>
        <sz val="12"/>
        <color theme="1"/>
        <rFont val="Calibri"/>
        <family val="2"/>
        <scheme val="minor"/>
      </rPr>
      <t xml:space="preserve">
Si non, vous devez remplir l'onflet </t>
    </r>
    <r>
      <rPr>
        <sz val="12"/>
        <color theme="4" tint="-0.249977111117893"/>
        <rFont val="Calibri"/>
        <family val="2"/>
        <scheme val="minor"/>
      </rPr>
      <t>RECeff + REIamont (2)</t>
    </r>
  </si>
  <si>
    <r>
      <t>Pour que le tableur fonctionne correctement, vous devez</t>
    </r>
    <r>
      <rPr>
        <b/>
        <sz val="14"/>
        <color theme="1"/>
        <rFont val="Calibri"/>
        <family val="2"/>
        <scheme val="minor"/>
      </rPr>
      <t xml:space="preserve"> l'enregistrer </t>
    </r>
    <r>
      <rPr>
        <sz val="14"/>
        <color theme="1"/>
        <rFont val="Calibri"/>
        <family val="2"/>
        <scheme val="minor"/>
      </rPr>
      <t>sur votre ordinateur. 
Si vous effectuez des modifications et que vous ne les voyez pas apparaître, tentez de</t>
    </r>
    <r>
      <rPr>
        <b/>
        <sz val="14"/>
        <color theme="1"/>
        <rFont val="Calibri"/>
        <family val="2"/>
        <scheme val="minor"/>
      </rPr>
      <t xml:space="preserve"> l'enregistrer de nouveau</t>
    </r>
    <r>
      <rPr>
        <sz val="14"/>
        <color theme="1"/>
        <rFont val="Calibri"/>
        <family val="2"/>
        <scheme val="minor"/>
      </rPr>
      <t xml:space="preserve"> (CTRL + S).</t>
    </r>
  </si>
  <si>
    <t>TOTAL</t>
  </si>
  <si>
    <t>Critère d'éligibilité 5 - Plantation sur prairies selon la zone</t>
  </si>
  <si>
    <r>
      <t xml:space="preserve">Culture en place année n-1 </t>
    </r>
    <r>
      <rPr>
        <sz val="10"/>
        <color theme="1"/>
        <rFont val="Calibri"/>
        <family val="2"/>
        <scheme val="minor"/>
      </rPr>
      <t>(ou culture qui s'en rapproche le plus si elle n'est pas dans la liste, sauf cas extreme, et contacter le service instructeur)</t>
    </r>
  </si>
  <si>
    <r>
      <t xml:space="preserve">Culture en place année n-2 </t>
    </r>
    <r>
      <rPr>
        <sz val="10"/>
        <color theme="1"/>
        <rFont val="Calibri"/>
        <family val="2"/>
        <scheme val="minor"/>
      </rPr>
      <t>(ou culture qui s'en rapproche le plus si elle n'est pas dans la liste, sauf cas extreme, et contacter le service instructeur)</t>
    </r>
  </si>
  <si>
    <r>
      <t xml:space="preserve">Culture en place année n-3  </t>
    </r>
    <r>
      <rPr>
        <sz val="10"/>
        <color theme="1"/>
        <rFont val="Calibri"/>
        <family val="2"/>
        <scheme val="minor"/>
      </rPr>
      <t>(ou culture qui s'en rapproche le plus si elle n'est pas dans la liste, sauf cas extreme, et contacter le service instructeur)</t>
    </r>
  </si>
  <si>
    <t>NB : pour le maraichage,
saisir Grandes cultures</t>
  </si>
  <si>
    <t>Melon conventionnel - Moyenne nationale (France)</t>
  </si>
  <si>
    <t>V. 27/02/2023</t>
  </si>
  <si>
    <t>RECant_biom (teq CO2) + RECant_sol (teq CO2)</t>
  </si>
  <si>
    <t>Après rabais</t>
  </si>
  <si>
    <t>Bernadets-Debat 65220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</si>
</sst>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€_-;\-* #,##0.00\ _€_-;_-* &quot;-&quot;??\ _€_-;_-@_-"/>
    <numFmt numFmtId="165" formatCode="_-* #,##0\ _€_-;\-* #,##0\ _€_-;_-* &quot;-&quot;??\ _€_-;_-@_-"/>
    <numFmt numFmtId="166" formatCode="0.000"/>
    <numFmt numFmtId="167" formatCode="0.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00000"/>
      <name val="Calibri"/>
      <family val="2"/>
    </font>
    <font>
      <b/>
      <vertAlign val="subscript"/>
      <sz val="12"/>
      <color rgb="FF000000"/>
      <name val="Calibri"/>
      <family val="2"/>
    </font>
    <font>
      <b/>
      <vertAlign val="subscript"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sz val="8"/>
      <color rgb="FF00000A"/>
      <name val="Calibri"/>
      <family val="2"/>
      <scheme val="minor"/>
    </font>
    <font>
      <b/>
      <vertAlign val="subscript"/>
      <sz val="11"/>
      <color theme="1"/>
      <name val="Calibri"/>
      <family val="2"/>
    </font>
    <font>
      <sz val="12"/>
      <color theme="1"/>
      <name val="Calibri"/>
      <family val="2"/>
    </font>
    <font>
      <vertAlign val="subscript"/>
      <sz val="12"/>
      <color theme="1"/>
      <name val="Calibri"/>
      <family val="2"/>
    </font>
    <font>
      <sz val="14"/>
      <color theme="1"/>
      <name val="Calibri"/>
      <family val="2"/>
      <scheme val="minor"/>
    </font>
    <font>
      <sz val="14"/>
      <color theme="1"/>
      <name val="Symbol"/>
      <family val="1"/>
      <charset val="2"/>
    </font>
    <font>
      <sz val="14"/>
      <color theme="1"/>
      <name val="Calibri"/>
      <family val="2"/>
    </font>
    <font>
      <b/>
      <sz val="14"/>
      <color theme="1"/>
      <name val="Calibri"/>
      <family val="2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u/>
      <sz val="14"/>
      <color theme="1"/>
      <name val="Calibri"/>
      <family val="2"/>
    </font>
    <font>
      <sz val="12"/>
      <color theme="4" tint="-0.249977111117893"/>
      <name val="Calibri"/>
      <family val="2"/>
      <scheme val="minor"/>
    </font>
    <font>
      <b/>
      <sz val="11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1"/>
        <bgColor indexed="64"/>
      </patternFill>
    </fill>
  </fills>
  <borders count="24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/>
      <right style="thin">
        <color theme="1" tint="0.499984740745262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1" tint="0.499984740745262"/>
      </left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19">
    <xf numFmtId="0" fontId="0" fillId="0" borderId="0" xfId="0"/>
    <xf numFmtId="0" fontId="0" fillId="8" borderId="1" xfId="0" applyFill="1" applyBorder="1" applyProtection="1">
      <protection locked="0"/>
    </xf>
    <xf numFmtId="0" fontId="0" fillId="0" borderId="0" xfId="0" applyProtection="1">
      <protection locked="0"/>
    </xf>
    <xf numFmtId="0" fontId="2" fillId="6" borderId="1" xfId="0" applyFont="1" applyFill="1" applyBorder="1" applyAlignment="1">
      <alignment vertical="center" wrapText="1"/>
    </xf>
    <xf numFmtId="0" fontId="8" fillId="6" borderId="1" xfId="0" applyFont="1" applyFill="1" applyBorder="1" applyAlignment="1">
      <alignment horizontal="left" vertical="center" wrapText="1" indent="1"/>
    </xf>
    <xf numFmtId="0" fontId="0" fillId="4" borderId="0" xfId="0" applyFill="1" applyAlignment="1">
      <alignment vertical="center" wrapText="1"/>
    </xf>
    <xf numFmtId="0" fontId="2" fillId="6" borderId="2" xfId="0" applyFont="1" applyFill="1" applyBorder="1" applyAlignment="1">
      <alignment vertical="center" wrapText="1"/>
    </xf>
    <xf numFmtId="0" fontId="0" fillId="6" borderId="1" xfId="0" applyFill="1" applyBorder="1" applyAlignment="1">
      <alignment vertical="center" wrapText="1"/>
    </xf>
    <xf numFmtId="0" fontId="2" fillId="11" borderId="2" xfId="0" applyFont="1" applyFill="1" applyBorder="1" applyAlignment="1">
      <alignment vertical="center" wrapText="1"/>
    </xf>
    <xf numFmtId="9" fontId="0" fillId="4" borderId="0" xfId="1" applyFont="1" applyFill="1" applyBorder="1" applyProtection="1"/>
    <xf numFmtId="9" fontId="0" fillId="3" borderId="1" xfId="1" applyFont="1" applyFill="1" applyBorder="1" applyProtection="1"/>
    <xf numFmtId="165" fontId="0" fillId="3" borderId="1" xfId="2" applyNumberFormat="1" applyFont="1" applyFill="1" applyBorder="1" applyProtection="1"/>
    <xf numFmtId="9" fontId="0" fillId="3" borderId="1" xfId="1" applyFont="1" applyFill="1" applyBorder="1" applyAlignment="1" applyProtection="1">
      <alignment horizontal="center"/>
    </xf>
    <xf numFmtId="0" fontId="2" fillId="6" borderId="1" xfId="0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center" vertical="center" wrapText="1"/>
    </xf>
    <xf numFmtId="2" fontId="0" fillId="5" borderId="1" xfId="2" applyNumberFormat="1" applyFont="1" applyFill="1" applyBorder="1" applyAlignment="1" applyProtection="1">
      <alignment horizontal="right"/>
    </xf>
    <xf numFmtId="0" fontId="2" fillId="0" borderId="0" xfId="0" applyFont="1" applyProtection="1">
      <protection locked="0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7" borderId="1" xfId="0" applyFont="1" applyFill="1" applyBorder="1" applyAlignment="1">
      <alignment vertical="center" wrapText="1"/>
    </xf>
    <xf numFmtId="0" fontId="9" fillId="9" borderId="1" xfId="0" applyFont="1" applyFill="1" applyBorder="1" applyAlignment="1">
      <alignment vertical="center" wrapText="1"/>
    </xf>
    <xf numFmtId="0" fontId="9" fillId="10" borderId="1" xfId="0" applyFont="1" applyFill="1" applyBorder="1" applyAlignment="1">
      <alignment vertical="center" wrapText="1"/>
    </xf>
    <xf numFmtId="164" fontId="0" fillId="5" borderId="1" xfId="2" applyFont="1" applyFill="1" applyBorder="1" applyAlignment="1" applyProtection="1"/>
    <xf numFmtId="0" fontId="2" fillId="0" borderId="0" xfId="0" applyFont="1"/>
    <xf numFmtId="164" fontId="9" fillId="10" borderId="1" xfId="0" applyNumberFormat="1" applyFont="1" applyFill="1" applyBorder="1" applyAlignment="1">
      <alignment vertical="center" wrapText="1"/>
    </xf>
    <xf numFmtId="2" fontId="0" fillId="8" borderId="1" xfId="0" applyNumberFormat="1" applyFill="1" applyBorder="1" applyProtection="1">
      <protection locked="0"/>
    </xf>
    <xf numFmtId="0" fontId="0" fillId="8" borderId="1" xfId="0" applyFill="1" applyBorder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9" fontId="0" fillId="8" borderId="1" xfId="1" applyFont="1" applyFill="1" applyBorder="1" applyProtection="1">
      <protection locked="0"/>
    </xf>
    <xf numFmtId="164" fontId="0" fillId="8" borderId="1" xfId="2" applyFont="1" applyFill="1" applyBorder="1" applyProtection="1">
      <protection locked="0"/>
    </xf>
    <xf numFmtId="164" fontId="0" fillId="8" borderId="1" xfId="2" applyFont="1" applyFill="1" applyBorder="1" applyAlignment="1" applyProtection="1">
      <alignment horizontal="center"/>
      <protection locked="0"/>
    </xf>
    <xf numFmtId="0" fontId="0" fillId="8" borderId="0" xfId="0" applyFill="1" applyAlignment="1" applyProtection="1">
      <alignment horizontal="right"/>
      <protection locked="0"/>
    </xf>
    <xf numFmtId="164" fontId="0" fillId="8" borderId="1" xfId="2" applyFont="1" applyFill="1" applyBorder="1" applyAlignment="1" applyProtection="1">
      <protection locked="0"/>
    </xf>
    <xf numFmtId="167" fontId="0" fillId="0" borderId="4" xfId="0" applyNumberFormat="1" applyBorder="1" applyProtection="1">
      <protection locked="0"/>
    </xf>
    <xf numFmtId="0" fontId="0" fillId="0" borderId="0" xfId="0" applyAlignment="1">
      <alignment wrapText="1"/>
    </xf>
    <xf numFmtId="0" fontId="2" fillId="7" borderId="1" xfId="0" applyFont="1" applyFill="1" applyBorder="1" applyAlignment="1">
      <alignment horizontal="center" vertical="center" wrapText="1"/>
    </xf>
    <xf numFmtId="0" fontId="0" fillId="0" borderId="4" xfId="0" applyBorder="1" applyAlignment="1">
      <alignment wrapText="1"/>
    </xf>
    <xf numFmtId="0" fontId="9" fillId="10" borderId="10" xfId="0" applyFont="1" applyFill="1" applyBorder="1" applyAlignment="1">
      <alignment vertical="center" wrapText="1"/>
    </xf>
    <xf numFmtId="0" fontId="0" fillId="0" borderId="4" xfId="0" applyBorder="1"/>
    <xf numFmtId="0" fontId="0" fillId="5" borderId="1" xfId="2" applyNumberFormat="1" applyFont="1" applyFill="1" applyBorder="1" applyAlignment="1" applyProtection="1"/>
    <xf numFmtId="165" fontId="0" fillId="5" borderId="1" xfId="2" applyNumberFormat="1" applyFont="1" applyFill="1" applyBorder="1" applyAlignment="1" applyProtection="1"/>
    <xf numFmtId="0" fontId="2" fillId="0" borderId="0" xfId="0" applyFont="1" applyAlignment="1">
      <alignment horizontal="right"/>
    </xf>
    <xf numFmtId="2" fontId="2" fillId="7" borderId="1" xfId="0" applyNumberFormat="1" applyFont="1" applyFill="1" applyBorder="1" applyAlignment="1">
      <alignment vertical="center" wrapText="1"/>
    </xf>
    <xf numFmtId="0" fontId="0" fillId="3" borderId="1" xfId="0" applyFill="1" applyBorder="1" applyAlignment="1">
      <alignment wrapText="1"/>
    </xf>
    <xf numFmtId="0" fontId="0" fillId="3" borderId="1" xfId="0" applyFill="1" applyBorder="1"/>
    <xf numFmtId="2" fontId="0" fillId="3" borderId="1" xfId="0" applyNumberFormat="1" applyFill="1" applyBorder="1"/>
    <xf numFmtId="0" fontId="0" fillId="6" borderId="3" xfId="0" applyFill="1" applyBorder="1" applyAlignment="1">
      <alignment vertical="center" wrapText="1"/>
    </xf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 applyAlignment="1">
      <alignment vertical="center"/>
    </xf>
    <xf numFmtId="0" fontId="2" fillId="2" borderId="4" xfId="0" applyFont="1" applyFill="1" applyBorder="1" applyAlignment="1">
      <alignment wrapText="1"/>
    </xf>
    <xf numFmtId="0" fontId="0" fillId="0" borderId="0" xfId="0" applyAlignment="1">
      <alignment vertical="center" wrapText="1"/>
    </xf>
    <xf numFmtId="0" fontId="0" fillId="0" borderId="4" xfId="0" applyBorder="1" applyAlignment="1">
      <alignment vertical="center" wrapText="1"/>
    </xf>
    <xf numFmtId="2" fontId="0" fillId="0" borderId="0" xfId="0" applyNumberFormat="1"/>
    <xf numFmtId="0" fontId="2" fillId="2" borderId="4" xfId="0" applyFont="1" applyFill="1" applyBorder="1"/>
    <xf numFmtId="0" fontId="3" fillId="2" borderId="4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6" fillId="2" borderId="4" xfId="0" applyFont="1" applyFill="1" applyBorder="1" applyAlignment="1">
      <alignment vertical="center" wrapText="1"/>
    </xf>
    <xf numFmtId="0" fontId="0" fillId="0" borderId="4" xfId="0" applyBorder="1" applyAlignment="1">
      <alignment horizontal="left"/>
    </xf>
    <xf numFmtId="2" fontId="0" fillId="0" borderId="4" xfId="0" applyNumberFormat="1" applyBorder="1"/>
    <xf numFmtId="0" fontId="0" fillId="0" borderId="0" xfId="0" applyAlignment="1">
      <alignment horizontal="left"/>
    </xf>
    <xf numFmtId="1" fontId="0" fillId="0" borderId="4" xfId="0" applyNumberFormat="1" applyBorder="1" applyAlignment="1">
      <alignment horizontal="right"/>
    </xf>
    <xf numFmtId="165" fontId="2" fillId="0" borderId="0" xfId="0" applyNumberFormat="1" applyFont="1"/>
    <xf numFmtId="165" fontId="0" fillId="0" borderId="0" xfId="2" applyNumberFormat="1" applyFont="1" applyProtection="1"/>
    <xf numFmtId="166" fontId="0" fillId="0" borderId="0" xfId="0" applyNumberFormat="1"/>
    <xf numFmtId="0" fontId="13" fillId="0" borderId="0" xfId="0" applyFont="1" applyAlignment="1">
      <alignment vertical="center"/>
    </xf>
    <xf numFmtId="0" fontId="14" fillId="0" borderId="0" xfId="0" applyFont="1"/>
    <xf numFmtId="0" fontId="15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0" fillId="0" borderId="1" xfId="0" applyBorder="1" applyProtection="1">
      <protection locked="0"/>
    </xf>
    <xf numFmtId="0" fontId="0" fillId="0" borderId="0" xfId="0" applyAlignment="1">
      <alignment horizontal="center" vertical="center" wrapText="1"/>
    </xf>
    <xf numFmtId="0" fontId="9" fillId="12" borderId="1" xfId="0" applyFont="1" applyFill="1" applyBorder="1" applyAlignment="1">
      <alignment vertical="center" wrapText="1"/>
    </xf>
    <xf numFmtId="9" fontId="0" fillId="0" borderId="0" xfId="1" applyFont="1" applyFill="1" applyBorder="1" applyAlignment="1" applyProtection="1">
      <alignment horizontal="center"/>
    </xf>
    <xf numFmtId="0" fontId="2" fillId="0" borderId="0" xfId="0" applyFont="1" applyAlignment="1">
      <alignment horizontal="right" wrapText="1"/>
    </xf>
    <xf numFmtId="0" fontId="0" fillId="0" borderId="11" xfId="0" applyBorder="1" applyAlignment="1">
      <alignment vertical="center" wrapText="1"/>
    </xf>
    <xf numFmtId="0" fontId="0" fillId="0" borderId="2" xfId="0" applyBorder="1"/>
    <xf numFmtId="0" fontId="2" fillId="6" borderId="2" xfId="0" applyFont="1" applyFill="1" applyBorder="1" applyAlignment="1">
      <alignment horizontal="center" vertical="center" wrapText="1"/>
    </xf>
    <xf numFmtId="0" fontId="0" fillId="4" borderId="0" xfId="0" applyFill="1" applyProtection="1">
      <protection locked="0"/>
    </xf>
    <xf numFmtId="164" fontId="0" fillId="0" borderId="0" xfId="0" applyNumberFormat="1" applyAlignment="1" applyProtection="1">
      <alignment wrapText="1"/>
      <protection locked="0"/>
    </xf>
    <xf numFmtId="0" fontId="0" fillId="0" borderId="0" xfId="0" applyAlignment="1" applyProtection="1">
      <alignment vertical="center" wrapText="1"/>
      <protection locked="0"/>
    </xf>
    <xf numFmtId="0" fontId="0" fillId="8" borderId="1" xfId="2" applyNumberFormat="1" applyFont="1" applyFill="1" applyBorder="1" applyAlignment="1" applyProtection="1">
      <protection locked="0"/>
    </xf>
    <xf numFmtId="0" fontId="2" fillId="5" borderId="1" xfId="2" applyNumberFormat="1" applyFont="1" applyFill="1" applyBorder="1" applyAlignment="1" applyProtection="1"/>
    <xf numFmtId="0" fontId="0" fillId="5" borderId="1" xfId="2" applyNumberFormat="1" applyFont="1" applyFill="1" applyBorder="1" applyAlignment="1" applyProtection="1">
      <protection locked="0"/>
    </xf>
    <xf numFmtId="0" fontId="0" fillId="0" borderId="0" xfId="0" applyAlignment="1">
      <alignment horizontal="center"/>
    </xf>
    <xf numFmtId="0" fontId="9" fillId="16" borderId="0" xfId="0" applyFont="1" applyFill="1" applyAlignment="1" applyProtection="1">
      <alignment horizontal="center"/>
      <protection locked="0"/>
    </xf>
    <xf numFmtId="0" fontId="9" fillId="16" borderId="0" xfId="0" applyFont="1" applyFill="1" applyAlignment="1">
      <alignment horizontal="center"/>
    </xf>
    <xf numFmtId="0" fontId="0" fillId="15" borderId="0" xfId="0" applyFill="1"/>
    <xf numFmtId="2" fontId="0" fillId="15" borderId="0" xfId="0" applyNumberFormat="1" applyFill="1"/>
    <xf numFmtId="2" fontId="29" fillId="15" borderId="0" xfId="0" applyNumberFormat="1" applyFont="1" applyFill="1"/>
    <xf numFmtId="0" fontId="24" fillId="11" borderId="23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2" fontId="0" fillId="17" borderId="1" xfId="2" applyNumberFormat="1" applyFont="1" applyFill="1" applyBorder="1" applyAlignment="1" applyProtection="1">
      <alignment horizontal="right"/>
    </xf>
    <xf numFmtId="2" fontId="2" fillId="17" borderId="1" xfId="0" applyNumberFormat="1" applyFont="1" applyFill="1" applyBorder="1" applyAlignment="1">
      <alignment vertical="center" wrapText="1"/>
    </xf>
    <xf numFmtId="0" fontId="0" fillId="8" borderId="0" xfId="0" applyFill="1" applyAlignment="1">
      <alignment horizontal="center" vertical="center" wrapText="1"/>
    </xf>
    <xf numFmtId="0" fontId="19" fillId="14" borderId="0" xfId="0" applyFont="1" applyFill="1" applyAlignment="1">
      <alignment horizontal="left" vertical="center" wrapText="1"/>
    </xf>
    <xf numFmtId="0" fontId="19" fillId="14" borderId="15" xfId="0" applyFont="1" applyFill="1" applyBorder="1" applyAlignment="1">
      <alignment horizontal="left" vertical="center" wrapText="1"/>
    </xf>
    <xf numFmtId="0" fontId="19" fillId="14" borderId="16" xfId="0" applyFont="1" applyFill="1" applyBorder="1" applyAlignment="1">
      <alignment horizontal="left" vertical="center" wrapText="1"/>
    </xf>
    <xf numFmtId="0" fontId="19" fillId="14" borderId="17" xfId="0" applyFont="1" applyFill="1" applyBorder="1" applyAlignment="1">
      <alignment horizontal="left" vertical="center" wrapText="1"/>
    </xf>
    <xf numFmtId="0" fontId="19" fillId="14" borderId="18" xfId="0" applyFont="1" applyFill="1" applyBorder="1" applyAlignment="1">
      <alignment horizontal="left" vertical="center" wrapText="1"/>
    </xf>
    <xf numFmtId="0" fontId="19" fillId="14" borderId="19" xfId="0" applyFont="1" applyFill="1" applyBorder="1" applyAlignment="1">
      <alignment horizontal="left" vertical="center" wrapText="1"/>
    </xf>
    <xf numFmtId="0" fontId="19" fillId="14" borderId="20" xfId="0" applyFont="1" applyFill="1" applyBorder="1" applyAlignment="1">
      <alignment horizontal="left" vertical="center" wrapText="1"/>
    </xf>
    <xf numFmtId="0" fontId="19" fillId="14" borderId="21" xfId="0" applyFont="1" applyFill="1" applyBorder="1" applyAlignment="1">
      <alignment horizontal="left" vertical="center" wrapText="1"/>
    </xf>
    <xf numFmtId="0" fontId="19" fillId="14" borderId="22" xfId="0" applyFont="1" applyFill="1" applyBorder="1" applyAlignment="1">
      <alignment horizontal="left" vertical="center" wrapText="1"/>
    </xf>
    <xf numFmtId="0" fontId="2" fillId="13" borderId="12" xfId="0" applyFont="1" applyFill="1" applyBorder="1" applyAlignment="1">
      <alignment horizontal="center" vertical="center" wrapText="1"/>
    </xf>
    <xf numFmtId="0" fontId="2" fillId="13" borderId="13" xfId="0" applyFont="1" applyFill="1" applyBorder="1" applyAlignment="1">
      <alignment horizontal="center" vertical="center" wrapText="1"/>
    </xf>
    <xf numFmtId="0" fontId="2" fillId="13" borderId="14" xfId="0" applyFont="1" applyFill="1" applyBorder="1" applyAlignment="1">
      <alignment horizontal="center" vertical="center" wrapText="1"/>
    </xf>
    <xf numFmtId="0" fontId="24" fillId="11" borderId="23" xfId="0" applyFont="1" applyFill="1" applyBorder="1" applyAlignment="1">
      <alignment horizontal="center" vertical="center" wrapText="1"/>
    </xf>
    <xf numFmtId="0" fontId="24" fillId="11" borderId="0" xfId="0" applyFont="1" applyFill="1" applyAlignment="1">
      <alignment horizontal="center" vertical="center" wrapText="1"/>
    </xf>
    <xf numFmtId="0" fontId="0" fillId="13" borderId="5" xfId="0" applyFill="1" applyBorder="1" applyAlignment="1">
      <alignment horizontal="center"/>
    </xf>
    <xf numFmtId="0" fontId="0" fillId="13" borderId="6" xfId="0" applyFill="1" applyBorder="1" applyAlignment="1">
      <alignment horizontal="center"/>
    </xf>
    <xf numFmtId="0" fontId="0" fillId="13" borderId="7" xfId="0" applyFill="1" applyBorder="1" applyAlignment="1">
      <alignment horizontal="center"/>
    </xf>
    <xf numFmtId="0" fontId="0" fillId="5" borderId="5" xfId="0" applyFill="1" applyBorder="1" applyAlignment="1">
      <alignment horizontal="center" vertical="center" wrapText="1"/>
    </xf>
    <xf numFmtId="0" fontId="0" fillId="5" borderId="6" xfId="0" applyFill="1" applyBorder="1" applyAlignment="1">
      <alignment horizontal="center" vertical="center" wrapText="1"/>
    </xf>
    <xf numFmtId="0" fontId="0" fillId="5" borderId="7" xfId="0" applyFill="1" applyBorder="1" applyAlignment="1">
      <alignment horizontal="center" vertical="center" wrapText="1"/>
    </xf>
    <xf numFmtId="0" fontId="2" fillId="6" borderId="8" xfId="0" applyFont="1" applyFill="1" applyBorder="1" applyAlignment="1">
      <alignment horizontal="center" vertical="center" wrapText="1"/>
    </xf>
    <xf numFmtId="0" fontId="2" fillId="6" borderId="9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/>
    </xf>
  </cellXfs>
  <cellStyles count="3">
    <cellStyle name="Milliers" xfId="2" builtinId="3"/>
    <cellStyle name="Normal" xfId="0" builtinId="0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396268</xdr:colOff>
      <xdr:row>0</xdr:row>
      <xdr:rowOff>114301</xdr:rowOff>
    </xdr:from>
    <xdr:to>
      <xdr:col>9</xdr:col>
      <xdr:colOff>250031</xdr:colOff>
      <xdr:row>5</xdr:row>
      <xdr:rowOff>42307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82518" y="114301"/>
          <a:ext cx="2225488" cy="842406"/>
        </a:xfrm>
        <a:prstGeom prst="rect">
          <a:avLst/>
        </a:prstGeom>
        <a:ln>
          <a:solidFill>
            <a:srgbClr val="0070C0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P34"/>
  <sheetViews>
    <sheetView showGridLines="0" zoomScale="60" zoomScaleNormal="60" workbookViewId="0">
      <selection activeCell="B11" sqref="B11:P30"/>
    </sheetView>
  </sheetViews>
  <sheetFormatPr baseColWidth="10" defaultRowHeight="14.4" x14ac:dyDescent="0.3"/>
  <cols>
    <col min="1" max="1" width="4.88671875" customWidth="1"/>
    <col min="15" max="15" width="11.44140625" customWidth="1"/>
  </cols>
  <sheetData>
    <row r="2" spans="2:16" x14ac:dyDescent="0.3">
      <c r="K2" t="s">
        <v>348</v>
      </c>
    </row>
    <row r="3" spans="2:16" ht="15" customHeight="1" x14ac:dyDescent="0.3">
      <c r="K3" s="93" t="s">
        <v>311</v>
      </c>
      <c r="L3" s="93"/>
      <c r="M3" s="93"/>
      <c r="N3" s="93"/>
      <c r="O3" s="93"/>
      <c r="P3" s="93"/>
    </row>
    <row r="4" spans="2:16" x14ac:dyDescent="0.3">
      <c r="K4" s="93"/>
      <c r="L4" s="93"/>
      <c r="M4" s="93"/>
      <c r="N4" s="93"/>
      <c r="O4" s="93"/>
      <c r="P4" s="93"/>
    </row>
    <row r="5" spans="2:16" x14ac:dyDescent="0.3">
      <c r="K5" s="93"/>
      <c r="L5" s="93"/>
      <c r="M5" s="93"/>
      <c r="N5" s="93"/>
      <c r="O5" s="93"/>
      <c r="P5" s="93"/>
    </row>
    <row r="7" spans="2:16" ht="15" customHeight="1" x14ac:dyDescent="0.3">
      <c r="B7" s="94" t="s">
        <v>310</v>
      </c>
      <c r="C7" s="94"/>
      <c r="D7" s="94"/>
      <c r="E7" s="94"/>
      <c r="F7" s="94"/>
      <c r="G7" s="94"/>
      <c r="H7" s="94"/>
      <c r="I7" s="94"/>
      <c r="J7" s="94"/>
      <c r="K7" s="94"/>
      <c r="L7" s="94"/>
      <c r="M7" s="94"/>
      <c r="N7" s="94"/>
      <c r="O7" s="94"/>
      <c r="P7" s="94"/>
    </row>
    <row r="8" spans="2:16" ht="15" customHeight="1" x14ac:dyDescent="0.3">
      <c r="B8" s="94"/>
      <c r="C8" s="94"/>
      <c r="D8" s="94"/>
      <c r="E8" s="94"/>
      <c r="F8" s="94"/>
      <c r="G8" s="94"/>
      <c r="H8" s="94"/>
      <c r="I8" s="94"/>
      <c r="J8" s="94"/>
      <c r="K8" s="94"/>
      <c r="L8" s="94"/>
      <c r="M8" s="94"/>
      <c r="N8" s="94"/>
      <c r="O8" s="94"/>
      <c r="P8" s="94"/>
    </row>
    <row r="9" spans="2:16" ht="15" customHeight="1" x14ac:dyDescent="0.3">
      <c r="B9" s="94"/>
      <c r="C9" s="94"/>
      <c r="D9" s="94"/>
      <c r="E9" s="94"/>
      <c r="F9" s="94"/>
      <c r="G9" s="94"/>
      <c r="H9" s="94"/>
      <c r="I9" s="94"/>
      <c r="J9" s="94"/>
      <c r="K9" s="94"/>
      <c r="L9" s="94"/>
      <c r="M9" s="94"/>
      <c r="N9" s="94"/>
      <c r="O9" s="94"/>
      <c r="P9" s="94"/>
    </row>
    <row r="11" spans="2:16" ht="15" customHeight="1" x14ac:dyDescent="0.3">
      <c r="B11" s="95" t="s">
        <v>335</v>
      </c>
      <c r="C11" s="96"/>
      <c r="D11" s="96"/>
      <c r="E11" s="96"/>
      <c r="F11" s="96"/>
      <c r="G11" s="96"/>
      <c r="H11" s="96"/>
      <c r="I11" s="96"/>
      <c r="J11" s="96"/>
      <c r="K11" s="96"/>
      <c r="L11" s="96"/>
      <c r="M11" s="96"/>
      <c r="N11" s="96"/>
      <c r="O11" s="96"/>
      <c r="P11" s="97"/>
    </row>
    <row r="12" spans="2:16" ht="15" customHeight="1" x14ac:dyDescent="0.3">
      <c r="B12" s="98"/>
      <c r="C12" s="94"/>
      <c r="D12" s="94"/>
      <c r="E12" s="94"/>
      <c r="F12" s="94"/>
      <c r="G12" s="94"/>
      <c r="H12" s="94"/>
      <c r="I12" s="94"/>
      <c r="J12" s="94"/>
      <c r="K12" s="94"/>
      <c r="L12" s="94"/>
      <c r="M12" s="94"/>
      <c r="N12" s="94"/>
      <c r="O12" s="94"/>
      <c r="P12" s="99"/>
    </row>
    <row r="13" spans="2:16" ht="15" customHeight="1" x14ac:dyDescent="0.3">
      <c r="B13" s="98"/>
      <c r="C13" s="94"/>
      <c r="D13" s="94"/>
      <c r="E13" s="94"/>
      <c r="F13" s="94"/>
      <c r="G13" s="94"/>
      <c r="H13" s="94"/>
      <c r="I13" s="94"/>
      <c r="J13" s="94"/>
      <c r="K13" s="94"/>
      <c r="L13" s="94"/>
      <c r="M13" s="94"/>
      <c r="N13" s="94"/>
      <c r="O13" s="94"/>
      <c r="P13" s="99"/>
    </row>
    <row r="14" spans="2:16" ht="15" customHeight="1" x14ac:dyDescent="0.3">
      <c r="B14" s="98"/>
      <c r="C14" s="94"/>
      <c r="D14" s="94"/>
      <c r="E14" s="94"/>
      <c r="F14" s="94"/>
      <c r="G14" s="94"/>
      <c r="H14" s="94"/>
      <c r="I14" s="94"/>
      <c r="J14" s="94"/>
      <c r="K14" s="94"/>
      <c r="L14" s="94"/>
      <c r="M14" s="94"/>
      <c r="N14" s="94"/>
      <c r="O14" s="94"/>
      <c r="P14" s="99"/>
    </row>
    <row r="15" spans="2:16" ht="15" customHeight="1" x14ac:dyDescent="0.3">
      <c r="B15" s="98"/>
      <c r="C15" s="94"/>
      <c r="D15" s="94"/>
      <c r="E15" s="94"/>
      <c r="F15" s="94"/>
      <c r="G15" s="94"/>
      <c r="H15" s="94"/>
      <c r="I15" s="94"/>
      <c r="J15" s="94"/>
      <c r="K15" s="94"/>
      <c r="L15" s="94"/>
      <c r="M15" s="94"/>
      <c r="N15" s="94"/>
      <c r="O15" s="94"/>
      <c r="P15" s="99"/>
    </row>
    <row r="16" spans="2:16" ht="15" customHeight="1" x14ac:dyDescent="0.3">
      <c r="B16" s="98"/>
      <c r="C16" s="94"/>
      <c r="D16" s="94"/>
      <c r="E16" s="94"/>
      <c r="F16" s="94"/>
      <c r="G16" s="94"/>
      <c r="H16" s="94"/>
      <c r="I16" s="94"/>
      <c r="J16" s="94"/>
      <c r="K16" s="94"/>
      <c r="L16" s="94"/>
      <c r="M16" s="94"/>
      <c r="N16" s="94"/>
      <c r="O16" s="94"/>
      <c r="P16" s="99"/>
    </row>
    <row r="17" spans="2:16" ht="15" customHeight="1" x14ac:dyDescent="0.3">
      <c r="B17" s="98"/>
      <c r="C17" s="94"/>
      <c r="D17" s="94"/>
      <c r="E17" s="94"/>
      <c r="F17" s="94"/>
      <c r="G17" s="94"/>
      <c r="H17" s="94"/>
      <c r="I17" s="94"/>
      <c r="J17" s="94"/>
      <c r="K17" s="94"/>
      <c r="L17" s="94"/>
      <c r="M17" s="94"/>
      <c r="N17" s="94"/>
      <c r="O17" s="94"/>
      <c r="P17" s="99"/>
    </row>
    <row r="18" spans="2:16" ht="15" customHeight="1" x14ac:dyDescent="0.3">
      <c r="B18" s="98"/>
      <c r="C18" s="94"/>
      <c r="D18" s="94"/>
      <c r="E18" s="94"/>
      <c r="F18" s="94"/>
      <c r="G18" s="94"/>
      <c r="H18" s="94"/>
      <c r="I18" s="94"/>
      <c r="J18" s="94"/>
      <c r="K18" s="94"/>
      <c r="L18" s="94"/>
      <c r="M18" s="94"/>
      <c r="N18" s="94"/>
      <c r="O18" s="94"/>
      <c r="P18" s="99"/>
    </row>
    <row r="19" spans="2:16" ht="15" customHeight="1" x14ac:dyDescent="0.3">
      <c r="B19" s="98"/>
      <c r="C19" s="94"/>
      <c r="D19" s="94"/>
      <c r="E19" s="94"/>
      <c r="F19" s="94"/>
      <c r="G19" s="94"/>
      <c r="H19" s="94"/>
      <c r="I19" s="94"/>
      <c r="J19" s="94"/>
      <c r="K19" s="94"/>
      <c r="L19" s="94"/>
      <c r="M19" s="94"/>
      <c r="N19" s="94"/>
      <c r="O19" s="94"/>
      <c r="P19" s="99"/>
    </row>
    <row r="20" spans="2:16" ht="15" customHeight="1" x14ac:dyDescent="0.3">
      <c r="B20" s="98"/>
      <c r="C20" s="94"/>
      <c r="D20" s="94"/>
      <c r="E20" s="94"/>
      <c r="F20" s="94"/>
      <c r="G20" s="94"/>
      <c r="H20" s="94"/>
      <c r="I20" s="94"/>
      <c r="J20" s="94"/>
      <c r="K20" s="94"/>
      <c r="L20" s="94"/>
      <c r="M20" s="94"/>
      <c r="N20" s="94"/>
      <c r="O20" s="94"/>
      <c r="P20" s="99"/>
    </row>
    <row r="21" spans="2:16" ht="15" customHeight="1" x14ac:dyDescent="0.3">
      <c r="B21" s="98"/>
      <c r="C21" s="94"/>
      <c r="D21" s="94"/>
      <c r="E21" s="94"/>
      <c r="F21" s="94"/>
      <c r="G21" s="94"/>
      <c r="H21" s="94"/>
      <c r="I21" s="94"/>
      <c r="J21" s="94"/>
      <c r="K21" s="94"/>
      <c r="L21" s="94"/>
      <c r="M21" s="94"/>
      <c r="N21" s="94"/>
      <c r="O21" s="94"/>
      <c r="P21" s="99"/>
    </row>
    <row r="22" spans="2:16" ht="15" customHeight="1" x14ac:dyDescent="0.3">
      <c r="B22" s="98"/>
      <c r="C22" s="94"/>
      <c r="D22" s="94"/>
      <c r="E22" s="94"/>
      <c r="F22" s="94"/>
      <c r="G22" s="94"/>
      <c r="H22" s="94"/>
      <c r="I22" s="94"/>
      <c r="J22" s="94"/>
      <c r="K22" s="94"/>
      <c r="L22" s="94"/>
      <c r="M22" s="94"/>
      <c r="N22" s="94"/>
      <c r="O22" s="94"/>
      <c r="P22" s="99"/>
    </row>
    <row r="23" spans="2:16" ht="15" customHeight="1" x14ac:dyDescent="0.3">
      <c r="B23" s="98"/>
      <c r="C23" s="94"/>
      <c r="D23" s="94"/>
      <c r="E23" s="94"/>
      <c r="F23" s="94"/>
      <c r="G23" s="94"/>
      <c r="H23" s="94"/>
      <c r="I23" s="94"/>
      <c r="J23" s="94"/>
      <c r="K23" s="94"/>
      <c r="L23" s="94"/>
      <c r="M23" s="94"/>
      <c r="N23" s="94"/>
      <c r="O23" s="94"/>
      <c r="P23" s="99"/>
    </row>
    <row r="24" spans="2:16" ht="15" customHeight="1" x14ac:dyDescent="0.3">
      <c r="B24" s="98"/>
      <c r="C24" s="94"/>
      <c r="D24" s="94"/>
      <c r="E24" s="94"/>
      <c r="F24" s="94"/>
      <c r="G24" s="94"/>
      <c r="H24" s="94"/>
      <c r="I24" s="94"/>
      <c r="J24" s="94"/>
      <c r="K24" s="94"/>
      <c r="L24" s="94"/>
      <c r="M24" s="94"/>
      <c r="N24" s="94"/>
      <c r="O24" s="94"/>
      <c r="P24" s="99"/>
    </row>
    <row r="25" spans="2:16" ht="15.75" customHeight="1" x14ac:dyDescent="0.3">
      <c r="B25" s="98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9"/>
    </row>
    <row r="26" spans="2:16" ht="15.75" customHeight="1" x14ac:dyDescent="0.3">
      <c r="B26" s="98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9"/>
    </row>
    <row r="27" spans="2:16" ht="15.75" customHeight="1" x14ac:dyDescent="0.3">
      <c r="B27" s="98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9"/>
    </row>
    <row r="28" spans="2:16" ht="15.75" customHeight="1" x14ac:dyDescent="0.3">
      <c r="B28" s="98"/>
      <c r="C28" s="94"/>
      <c r="D28" s="94"/>
      <c r="E28" s="94"/>
      <c r="F28" s="94"/>
      <c r="G28" s="94"/>
      <c r="H28" s="94"/>
      <c r="I28" s="94"/>
      <c r="J28" s="94"/>
      <c r="K28" s="94"/>
      <c r="L28" s="94"/>
      <c r="M28" s="94"/>
      <c r="N28" s="94"/>
      <c r="O28" s="94"/>
      <c r="P28" s="99"/>
    </row>
    <row r="29" spans="2:16" ht="15.75" customHeight="1" x14ac:dyDescent="0.3">
      <c r="B29" s="98"/>
      <c r="C29" s="94"/>
      <c r="D29" s="94"/>
      <c r="E29" s="94"/>
      <c r="F29" s="94"/>
      <c r="G29" s="94"/>
      <c r="H29" s="94"/>
      <c r="I29" s="94"/>
      <c r="J29" s="94"/>
      <c r="K29" s="94"/>
      <c r="L29" s="94"/>
      <c r="M29" s="94"/>
      <c r="N29" s="94"/>
      <c r="O29" s="94"/>
      <c r="P29" s="99"/>
    </row>
    <row r="30" spans="2:16" ht="15.75" customHeight="1" x14ac:dyDescent="0.3">
      <c r="B30" s="100"/>
      <c r="C30" s="101"/>
      <c r="D30" s="101"/>
      <c r="E30" s="101"/>
      <c r="F30" s="101"/>
      <c r="G30" s="101"/>
      <c r="H30" s="101"/>
      <c r="I30" s="101"/>
      <c r="J30" s="101"/>
      <c r="K30" s="101"/>
      <c r="L30" s="101"/>
      <c r="M30" s="101"/>
      <c r="N30" s="101"/>
      <c r="O30" s="101"/>
      <c r="P30" s="102"/>
    </row>
    <row r="32" spans="2:16" ht="22.5" customHeight="1" x14ac:dyDescent="0.3">
      <c r="B32" s="94" t="s">
        <v>340</v>
      </c>
      <c r="C32" s="94"/>
      <c r="D32" s="94"/>
      <c r="E32" s="94"/>
      <c r="F32" s="94"/>
      <c r="G32" s="94"/>
      <c r="H32" s="94"/>
      <c r="I32" s="94"/>
      <c r="J32" s="94"/>
      <c r="K32" s="94"/>
      <c r="L32" s="94"/>
      <c r="M32" s="94"/>
      <c r="N32" s="94"/>
      <c r="O32" s="94"/>
      <c r="P32" s="94"/>
    </row>
    <row r="33" spans="2:16" x14ac:dyDescent="0.3">
      <c r="B33" s="94"/>
      <c r="C33" s="94"/>
      <c r="D33" s="94"/>
      <c r="E33" s="94"/>
      <c r="F33" s="94"/>
      <c r="G33" s="94"/>
      <c r="H33" s="94"/>
      <c r="I33" s="94"/>
      <c r="J33" s="94"/>
      <c r="K33" s="94"/>
      <c r="L33" s="94"/>
      <c r="M33" s="94"/>
      <c r="N33" s="94"/>
      <c r="O33" s="94"/>
      <c r="P33" s="94"/>
    </row>
    <row r="34" spans="2:16" x14ac:dyDescent="0.3">
      <c r="B34" s="94"/>
      <c r="C34" s="94"/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94"/>
      <c r="O34" s="94"/>
      <c r="P34" s="94"/>
    </row>
  </sheetData>
  <sheetProtection algorithmName="SHA-512" hashValue="ehwkFhDydWdkgcVaWTOBWLkjf2SjwMp5geY+7gWkEeA8ld5i5TDprBgvCAfd2+GBHyItXxkvyiUTuc/dNIhM9Q==" saltValue="2GF9D9ij+3sGCLAx6fZIQw==" spinCount="100000" sheet="1" objects="1" scenarios="1"/>
  <mergeCells count="4">
    <mergeCell ref="K3:P5"/>
    <mergeCell ref="B7:P9"/>
    <mergeCell ref="B11:P30"/>
    <mergeCell ref="B32:P34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57"/>
  <sheetViews>
    <sheetView topLeftCell="A37" workbookViewId="0">
      <selection activeCell="F37" sqref="F37"/>
    </sheetView>
  </sheetViews>
  <sheetFormatPr baseColWidth="10" defaultColWidth="11.44140625" defaultRowHeight="14.4" x14ac:dyDescent="0.3"/>
  <cols>
    <col min="1" max="1" width="25" bestFit="1" customWidth="1"/>
    <col min="2" max="2" width="20.109375" bestFit="1" customWidth="1"/>
    <col min="3" max="3" width="15.5546875" bestFit="1" customWidth="1"/>
  </cols>
  <sheetData>
    <row r="1" spans="1:6" x14ac:dyDescent="0.3">
      <c r="A1" s="23" t="s">
        <v>26</v>
      </c>
      <c r="B1" s="23" t="s">
        <v>8</v>
      </c>
      <c r="C1" s="23" t="s">
        <v>28</v>
      </c>
      <c r="D1" s="23" t="s">
        <v>29</v>
      </c>
      <c r="E1" s="23" t="s">
        <v>59</v>
      </c>
      <c r="F1" t="s">
        <v>71</v>
      </c>
    </row>
    <row r="2" spans="1:6" x14ac:dyDescent="0.3">
      <c r="A2" t="s">
        <v>6</v>
      </c>
      <c r="B2" t="s">
        <v>0</v>
      </c>
      <c r="C2" t="s">
        <v>31</v>
      </c>
      <c r="D2" t="s">
        <v>35</v>
      </c>
      <c r="E2" s="60">
        <v>10</v>
      </c>
      <c r="F2" t="s">
        <v>72</v>
      </c>
    </row>
    <row r="3" spans="1:6" x14ac:dyDescent="0.3">
      <c r="A3" t="s">
        <v>5</v>
      </c>
      <c r="B3" t="s">
        <v>287</v>
      </c>
      <c r="C3" t="s">
        <v>33</v>
      </c>
      <c r="D3" t="s">
        <v>32</v>
      </c>
      <c r="E3" s="60">
        <v>11</v>
      </c>
      <c r="F3" t="s">
        <v>73</v>
      </c>
    </row>
    <row r="4" spans="1:6" x14ac:dyDescent="0.3">
      <c r="B4" t="s">
        <v>2</v>
      </c>
      <c r="C4" t="s">
        <v>34</v>
      </c>
      <c r="D4" t="s">
        <v>48</v>
      </c>
      <c r="E4" s="60">
        <v>12</v>
      </c>
      <c r="F4" t="s">
        <v>74</v>
      </c>
    </row>
    <row r="5" spans="1:6" x14ac:dyDescent="0.3">
      <c r="C5" t="s">
        <v>36</v>
      </c>
      <c r="D5" t="s">
        <v>38</v>
      </c>
      <c r="E5" s="60">
        <v>13</v>
      </c>
      <c r="F5" t="s">
        <v>75</v>
      </c>
    </row>
    <row r="6" spans="1:6" x14ac:dyDescent="0.3">
      <c r="C6" t="s">
        <v>37</v>
      </c>
      <c r="D6" t="s">
        <v>43</v>
      </c>
      <c r="E6" s="60">
        <v>14</v>
      </c>
      <c r="F6" t="s">
        <v>76</v>
      </c>
    </row>
    <row r="7" spans="1:6" x14ac:dyDescent="0.3">
      <c r="C7" t="s">
        <v>39</v>
      </c>
      <c r="D7" t="s">
        <v>47</v>
      </c>
      <c r="E7" s="60">
        <v>15</v>
      </c>
      <c r="F7" t="s">
        <v>77</v>
      </c>
    </row>
    <row r="8" spans="1:6" x14ac:dyDescent="0.3">
      <c r="C8" t="s">
        <v>40</v>
      </c>
      <c r="E8" s="60">
        <v>16</v>
      </c>
      <c r="F8" t="s">
        <v>78</v>
      </c>
    </row>
    <row r="9" spans="1:6" x14ac:dyDescent="0.3">
      <c r="C9" t="s">
        <v>41</v>
      </c>
      <c r="E9" s="60">
        <v>17</v>
      </c>
      <c r="F9" t="s">
        <v>79</v>
      </c>
    </row>
    <row r="10" spans="1:6" x14ac:dyDescent="0.3">
      <c r="C10" t="s">
        <v>42</v>
      </c>
      <c r="E10" s="60">
        <v>18</v>
      </c>
      <c r="F10" t="s">
        <v>80</v>
      </c>
    </row>
    <row r="11" spans="1:6" x14ac:dyDescent="0.3">
      <c r="C11" t="s">
        <v>44</v>
      </c>
      <c r="E11" s="60">
        <v>19</v>
      </c>
      <c r="F11" t="s">
        <v>81</v>
      </c>
    </row>
    <row r="12" spans="1:6" x14ac:dyDescent="0.3">
      <c r="C12" t="s">
        <v>45</v>
      </c>
      <c r="E12" s="60">
        <v>20</v>
      </c>
      <c r="F12" t="s">
        <v>82</v>
      </c>
    </row>
    <row r="13" spans="1:6" x14ac:dyDescent="0.3">
      <c r="C13" t="s">
        <v>46</v>
      </c>
      <c r="F13" t="s">
        <v>83</v>
      </c>
    </row>
    <row r="14" spans="1:6" x14ac:dyDescent="0.3">
      <c r="C14" t="s">
        <v>49</v>
      </c>
      <c r="F14" t="s">
        <v>84</v>
      </c>
    </row>
    <row r="15" spans="1:6" x14ac:dyDescent="0.3">
      <c r="C15" t="s">
        <v>50</v>
      </c>
      <c r="F15" t="s">
        <v>85</v>
      </c>
    </row>
    <row r="16" spans="1:6" x14ac:dyDescent="0.3">
      <c r="C16" t="s">
        <v>51</v>
      </c>
      <c r="F16" t="s">
        <v>86</v>
      </c>
    </row>
    <row r="17" spans="6:6" x14ac:dyDescent="0.3">
      <c r="F17" t="s">
        <v>87</v>
      </c>
    </row>
    <row r="18" spans="6:6" x14ac:dyDescent="0.3">
      <c r="F18" t="s">
        <v>88</v>
      </c>
    </row>
    <row r="19" spans="6:6" x14ac:dyDescent="0.3">
      <c r="F19" t="s">
        <v>89</v>
      </c>
    </row>
    <row r="20" spans="6:6" x14ac:dyDescent="0.3">
      <c r="F20" t="s">
        <v>90</v>
      </c>
    </row>
    <row r="21" spans="6:6" x14ac:dyDescent="0.3">
      <c r="F21" t="s">
        <v>91</v>
      </c>
    </row>
    <row r="22" spans="6:6" x14ac:dyDescent="0.3">
      <c r="F22" t="s">
        <v>92</v>
      </c>
    </row>
    <row r="23" spans="6:6" x14ac:dyDescent="0.3">
      <c r="F23" t="s">
        <v>93</v>
      </c>
    </row>
    <row r="24" spans="6:6" x14ac:dyDescent="0.3">
      <c r="F24" t="s">
        <v>94</v>
      </c>
    </row>
    <row r="25" spans="6:6" x14ac:dyDescent="0.3">
      <c r="F25" t="s">
        <v>95</v>
      </c>
    </row>
    <row r="26" spans="6:6" x14ac:dyDescent="0.3">
      <c r="F26" t="s">
        <v>96</v>
      </c>
    </row>
    <row r="27" spans="6:6" x14ac:dyDescent="0.3">
      <c r="F27" t="s">
        <v>97</v>
      </c>
    </row>
    <row r="28" spans="6:6" x14ac:dyDescent="0.3">
      <c r="F28" t="s">
        <v>98</v>
      </c>
    </row>
    <row r="29" spans="6:6" x14ac:dyDescent="0.3">
      <c r="F29" t="s">
        <v>99</v>
      </c>
    </row>
    <row r="30" spans="6:6" x14ac:dyDescent="0.3">
      <c r="F30" t="s">
        <v>100</v>
      </c>
    </row>
    <row r="31" spans="6:6" x14ac:dyDescent="0.3">
      <c r="F31" t="s">
        <v>101</v>
      </c>
    </row>
    <row r="32" spans="6:6" x14ac:dyDescent="0.3">
      <c r="F32" t="s">
        <v>102</v>
      </c>
    </row>
    <row r="33" spans="6:6" x14ac:dyDescent="0.3">
      <c r="F33" t="s">
        <v>103</v>
      </c>
    </row>
    <row r="34" spans="6:6" x14ac:dyDescent="0.3">
      <c r="F34" t="s">
        <v>104</v>
      </c>
    </row>
    <row r="35" spans="6:6" x14ac:dyDescent="0.3">
      <c r="F35" t="s">
        <v>105</v>
      </c>
    </row>
    <row r="36" spans="6:6" x14ac:dyDescent="0.3">
      <c r="F36" t="s">
        <v>106</v>
      </c>
    </row>
    <row r="37" spans="6:6" x14ac:dyDescent="0.3">
      <c r="F37" t="s">
        <v>347</v>
      </c>
    </row>
    <row r="38" spans="6:6" x14ac:dyDescent="0.3">
      <c r="F38" t="s">
        <v>107</v>
      </c>
    </row>
    <row r="39" spans="6:6" x14ac:dyDescent="0.3">
      <c r="F39" t="s">
        <v>108</v>
      </c>
    </row>
    <row r="40" spans="6:6" x14ac:dyDescent="0.3">
      <c r="F40" t="s">
        <v>109</v>
      </c>
    </row>
    <row r="41" spans="6:6" x14ac:dyDescent="0.3">
      <c r="F41" t="s">
        <v>110</v>
      </c>
    </row>
    <row r="42" spans="6:6" x14ac:dyDescent="0.3">
      <c r="F42" t="s">
        <v>111</v>
      </c>
    </row>
    <row r="43" spans="6:6" x14ac:dyDescent="0.3">
      <c r="F43" t="s">
        <v>112</v>
      </c>
    </row>
    <row r="44" spans="6:6" x14ac:dyDescent="0.3">
      <c r="F44" t="s">
        <v>113</v>
      </c>
    </row>
    <row r="45" spans="6:6" x14ac:dyDescent="0.3">
      <c r="F45" t="s">
        <v>114</v>
      </c>
    </row>
    <row r="46" spans="6:6" x14ac:dyDescent="0.3">
      <c r="F46" t="s">
        <v>115</v>
      </c>
    </row>
    <row r="47" spans="6:6" x14ac:dyDescent="0.3">
      <c r="F47" t="s">
        <v>116</v>
      </c>
    </row>
    <row r="48" spans="6:6" x14ac:dyDescent="0.3">
      <c r="F48" t="s">
        <v>117</v>
      </c>
    </row>
    <row r="49" spans="6:6" x14ac:dyDescent="0.3">
      <c r="F49" t="s">
        <v>118</v>
      </c>
    </row>
    <row r="50" spans="6:6" x14ac:dyDescent="0.3">
      <c r="F50" t="s">
        <v>119</v>
      </c>
    </row>
    <row r="51" spans="6:6" x14ac:dyDescent="0.3">
      <c r="F51" t="s">
        <v>120</v>
      </c>
    </row>
    <row r="52" spans="6:6" x14ac:dyDescent="0.3">
      <c r="F52" t="s">
        <v>121</v>
      </c>
    </row>
    <row r="53" spans="6:6" x14ac:dyDescent="0.3">
      <c r="F53" t="s">
        <v>122</v>
      </c>
    </row>
    <row r="54" spans="6:6" x14ac:dyDescent="0.3">
      <c r="F54" t="s">
        <v>123</v>
      </c>
    </row>
    <row r="55" spans="6:6" x14ac:dyDescent="0.3">
      <c r="F55" t="s">
        <v>124</v>
      </c>
    </row>
    <row r="56" spans="6:6" x14ac:dyDescent="0.3">
      <c r="F56" t="s">
        <v>125</v>
      </c>
    </row>
    <row r="57" spans="6:6" x14ac:dyDescent="0.3">
      <c r="F57" t="s">
        <v>126</v>
      </c>
    </row>
  </sheetData>
  <sheetProtection algorithmName="SHA-512" hashValue="yX5i9ejh/vesq25qJTzHjWyBhQgEV9C4a3u06OM4lQH1X+s4ijckh45ouHsGyCbdaZq8bFAqaXzGP8UgBUn77A==" saltValue="DdCf0QLMubgPEAKLBJN4Qw==" spinCount="100000" sheet="1" objects="1" scenarios="1"/>
  <sortState xmlns:xlrd2="http://schemas.microsoft.com/office/spreadsheetml/2017/richdata2" ref="D2:D7">
    <sortCondition ref="D2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Z64"/>
  <sheetViews>
    <sheetView topLeftCell="A2" zoomScale="80" zoomScaleNormal="80" workbookViewId="0">
      <selection activeCell="D16" sqref="D16"/>
    </sheetView>
  </sheetViews>
  <sheetFormatPr baseColWidth="10" defaultColWidth="11.44140625" defaultRowHeight="14.4" x14ac:dyDescent="0.3"/>
  <cols>
    <col min="1" max="1" width="71.33203125" customWidth="1"/>
    <col min="2" max="2" width="16.44140625" style="2" customWidth="1"/>
    <col min="3" max="3" width="14.6640625" style="2" customWidth="1"/>
    <col min="4" max="4" width="17" style="2" customWidth="1"/>
    <col min="5" max="5" width="15" style="2" customWidth="1"/>
    <col min="6" max="6" width="16.109375" style="2" customWidth="1"/>
    <col min="7" max="7" width="16.33203125" style="2" customWidth="1"/>
    <col min="8" max="8" width="18" style="2" customWidth="1"/>
    <col min="9" max="10" width="15.6640625" style="2" customWidth="1"/>
    <col min="11" max="11" width="16" style="2" customWidth="1"/>
    <col min="12" max="12" width="24.5546875" style="2" customWidth="1"/>
    <col min="13" max="16384" width="11.44140625" style="2"/>
  </cols>
  <sheetData>
    <row r="1" spans="1:52" ht="12" customHeight="1" x14ac:dyDescent="0.3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52" ht="115.2" customHeight="1" x14ac:dyDescent="0.3">
      <c r="A2" s="106" t="s">
        <v>339</v>
      </c>
      <c r="B2" s="107"/>
      <c r="C2" s="31" t="s">
        <v>337</v>
      </c>
      <c r="D2"/>
      <c r="E2"/>
      <c r="F2"/>
      <c r="G2"/>
      <c r="H2"/>
      <c r="I2"/>
      <c r="J2"/>
      <c r="K2"/>
      <c r="AG2" s="2" t="s">
        <v>338</v>
      </c>
    </row>
    <row r="3" spans="1:52" x14ac:dyDescent="0.3">
      <c r="A3" s="2"/>
      <c r="AG3" s="2" t="s">
        <v>337</v>
      </c>
    </row>
    <row r="4" spans="1:52" customFormat="1" ht="15" thickBot="1" x14ac:dyDescent="0.35">
      <c r="L4" s="2"/>
      <c r="M4" s="2"/>
      <c r="N4" s="2"/>
      <c r="O4" s="2"/>
      <c r="P4" s="2"/>
      <c r="Q4" s="2"/>
      <c r="R4" s="2"/>
      <c r="S4" s="2"/>
      <c r="T4" s="2"/>
      <c r="U4" s="2"/>
    </row>
    <row r="5" spans="1:52" customFormat="1" ht="22.5" customHeight="1" thickBot="1" x14ac:dyDescent="0.35">
      <c r="A5" s="103" t="s">
        <v>331</v>
      </c>
      <c r="B5" s="104"/>
      <c r="C5" s="104"/>
      <c r="D5" s="104"/>
      <c r="E5" s="104"/>
      <c r="F5" s="104"/>
      <c r="G5" s="104"/>
      <c r="H5" s="104"/>
      <c r="I5" s="104"/>
      <c r="J5" s="104"/>
      <c r="K5" s="105"/>
      <c r="L5" s="2"/>
      <c r="M5" s="2"/>
      <c r="N5" s="2"/>
      <c r="O5" s="2"/>
      <c r="P5" s="2"/>
      <c r="Q5" s="2"/>
      <c r="R5" s="2"/>
      <c r="S5" s="2"/>
      <c r="T5" s="2"/>
      <c r="U5" s="2"/>
    </row>
    <row r="6" spans="1:52" s="23" customFormat="1" x14ac:dyDescent="0.3">
      <c r="A6" s="75"/>
      <c r="B6" s="76" t="s">
        <v>9</v>
      </c>
      <c r="C6" s="76" t="s">
        <v>10</v>
      </c>
      <c r="D6" s="76" t="s">
        <v>11</v>
      </c>
      <c r="E6" s="76" t="s">
        <v>12</v>
      </c>
      <c r="F6" s="76" t="s">
        <v>13</v>
      </c>
      <c r="G6" s="76" t="s">
        <v>14</v>
      </c>
      <c r="H6" s="76" t="s">
        <v>15</v>
      </c>
      <c r="I6" s="76" t="s">
        <v>16</v>
      </c>
      <c r="J6" s="76" t="s">
        <v>17</v>
      </c>
      <c r="K6" s="76" t="s">
        <v>18</v>
      </c>
      <c r="L6" s="84" t="s">
        <v>341</v>
      </c>
      <c r="M6" s="16"/>
      <c r="N6" s="16"/>
      <c r="O6" s="16"/>
      <c r="P6" s="16"/>
      <c r="Q6" s="16"/>
      <c r="R6" s="16"/>
      <c r="S6" s="16"/>
      <c r="T6" s="16"/>
      <c r="U6" s="1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</row>
    <row r="7" spans="1:52" s="16" customFormat="1" x14ac:dyDescent="0.3">
      <c r="A7" s="3" t="s">
        <v>288</v>
      </c>
      <c r="B7" s="1" t="s">
        <v>351</v>
      </c>
      <c r="C7" s="1" t="s">
        <v>351</v>
      </c>
      <c r="D7" s="1"/>
      <c r="E7" s="1"/>
      <c r="F7" s="1"/>
      <c r="G7" s="1"/>
      <c r="H7" s="1"/>
      <c r="I7" s="1"/>
      <c r="J7" s="1"/>
      <c r="K7" s="1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</row>
    <row r="8" spans="1:52" x14ac:dyDescent="0.3">
      <c r="A8" s="3" t="s">
        <v>65</v>
      </c>
      <c r="B8" s="25">
        <f>4.35-0.95</f>
        <v>3.3999999999999995</v>
      </c>
      <c r="C8" s="25">
        <v>0.95</v>
      </c>
      <c r="D8" s="25"/>
      <c r="E8" s="25"/>
      <c r="F8" s="25"/>
      <c r="G8" s="25"/>
      <c r="H8" s="25"/>
      <c r="I8" s="25"/>
      <c r="J8" s="25"/>
      <c r="K8" s="25"/>
      <c r="L8" s="88">
        <f>SUM(B8:K8)</f>
        <v>4.3499999999999996</v>
      </c>
      <c r="M8" s="16"/>
      <c r="N8" s="16"/>
      <c r="O8" s="16"/>
      <c r="P8" s="16"/>
      <c r="Q8" s="16"/>
      <c r="R8" s="16"/>
      <c r="S8" s="16"/>
      <c r="T8" s="16"/>
      <c r="U8" s="16"/>
      <c r="V8" s="16"/>
    </row>
    <row r="9" spans="1:52" x14ac:dyDescent="0.3">
      <c r="A9" s="3" t="s">
        <v>309</v>
      </c>
      <c r="B9" s="1" t="s">
        <v>44</v>
      </c>
      <c r="C9" s="1" t="s">
        <v>44</v>
      </c>
      <c r="D9" s="1"/>
      <c r="E9" s="1"/>
      <c r="F9" s="1"/>
      <c r="G9" s="1"/>
      <c r="H9" s="1"/>
      <c r="I9" s="1"/>
      <c r="J9" s="1"/>
      <c r="K9" s="1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</row>
    <row r="10" spans="1:52" ht="28.8" x14ac:dyDescent="0.3">
      <c r="A10" s="3" t="s">
        <v>286</v>
      </c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</row>
    <row r="11" spans="1:52" x14ac:dyDescent="0.3">
      <c r="A11" s="3" t="s">
        <v>29</v>
      </c>
      <c r="B11" s="1" t="s">
        <v>32</v>
      </c>
      <c r="C11" s="1" t="s">
        <v>32</v>
      </c>
      <c r="D11" s="1"/>
      <c r="E11" s="1"/>
      <c r="F11" s="1"/>
      <c r="G11" s="1"/>
      <c r="H11" s="1"/>
      <c r="I11" s="1"/>
      <c r="J11" s="1"/>
      <c r="K11" s="1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</row>
    <row r="12" spans="1:52" x14ac:dyDescent="0.3">
      <c r="A12" s="3" t="s">
        <v>290</v>
      </c>
      <c r="B12" s="1">
        <v>667</v>
      </c>
      <c r="C12" s="1">
        <v>667</v>
      </c>
      <c r="D12" s="1"/>
      <c r="E12" s="1"/>
      <c r="F12" s="1"/>
      <c r="G12" s="1"/>
      <c r="H12" s="1"/>
      <c r="I12" s="1"/>
      <c r="J12" s="1"/>
      <c r="K12" s="1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</row>
    <row r="13" spans="1:52" s="27" customFormat="1" ht="30.75" customHeight="1" x14ac:dyDescent="0.3">
      <c r="A13" s="3" t="s">
        <v>20</v>
      </c>
      <c r="B13" s="26" t="s">
        <v>6</v>
      </c>
      <c r="C13" s="26" t="s">
        <v>6</v>
      </c>
      <c r="D13" s="26"/>
      <c r="E13" s="26"/>
      <c r="F13" s="26"/>
      <c r="G13" s="26"/>
      <c r="H13" s="26"/>
      <c r="I13" s="26"/>
      <c r="J13" s="26"/>
      <c r="K13" s="2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</row>
    <row r="14" spans="1:52" x14ac:dyDescent="0.3">
      <c r="A14" s="3" t="s">
        <v>291</v>
      </c>
      <c r="B14" s="1">
        <v>20</v>
      </c>
      <c r="C14" s="1">
        <v>20</v>
      </c>
      <c r="D14" s="1"/>
      <c r="E14" s="1"/>
      <c r="F14" s="1"/>
      <c r="G14" s="1"/>
      <c r="H14" s="1"/>
      <c r="I14" s="1"/>
      <c r="J14" s="1"/>
      <c r="K14" s="1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</row>
    <row r="15" spans="1:52" x14ac:dyDescent="0.3">
      <c r="A15" s="3" t="s">
        <v>19</v>
      </c>
      <c r="B15" s="28">
        <v>0.8</v>
      </c>
      <c r="C15" s="28">
        <v>0.8</v>
      </c>
      <c r="D15" s="28"/>
      <c r="E15" s="28"/>
      <c r="F15" s="28"/>
      <c r="G15" s="28"/>
      <c r="H15" s="28"/>
      <c r="I15" s="28"/>
      <c r="J15" s="28"/>
      <c r="K15" s="28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</row>
    <row r="16" spans="1:52" ht="31.2" x14ac:dyDescent="0.3">
      <c r="A16" s="3" t="s">
        <v>8</v>
      </c>
      <c r="B16" s="1" t="s">
        <v>0</v>
      </c>
      <c r="C16" s="1" t="s">
        <v>0</v>
      </c>
      <c r="D16" s="1"/>
      <c r="E16" s="1"/>
      <c r="F16" s="1"/>
      <c r="G16" s="1"/>
      <c r="H16" s="1"/>
      <c r="I16" s="1"/>
      <c r="J16" s="1"/>
      <c r="K16" s="1"/>
      <c r="L16" s="89" t="s">
        <v>346</v>
      </c>
      <c r="M16" s="16"/>
      <c r="N16" s="16"/>
      <c r="O16" s="16"/>
      <c r="P16" s="16"/>
      <c r="Q16" s="16"/>
      <c r="R16" s="16"/>
      <c r="S16" s="16"/>
      <c r="T16" s="16"/>
      <c r="U16" s="16"/>
      <c r="V16" s="16"/>
    </row>
    <row r="17" spans="1:27" ht="27.6" x14ac:dyDescent="0.3">
      <c r="A17" s="4" t="s">
        <v>343</v>
      </c>
      <c r="B17" s="1" t="s">
        <v>78</v>
      </c>
      <c r="C17" s="1" t="s">
        <v>78</v>
      </c>
      <c r="D17" s="1"/>
      <c r="E17" s="1"/>
      <c r="F17" s="1"/>
      <c r="G17" s="1"/>
      <c r="H17" s="1"/>
      <c r="I17" s="1"/>
      <c r="J17" s="1"/>
      <c r="K17" s="1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</row>
    <row r="18" spans="1:27" ht="27.6" x14ac:dyDescent="0.3">
      <c r="A18" s="4" t="s">
        <v>344</v>
      </c>
      <c r="B18" s="1" t="s">
        <v>124</v>
      </c>
      <c r="C18" s="1" t="s">
        <v>124</v>
      </c>
      <c r="D18" s="1"/>
      <c r="E18" s="1"/>
      <c r="F18" s="1"/>
      <c r="G18" s="1"/>
      <c r="H18" s="1"/>
      <c r="I18" s="1"/>
      <c r="J18" s="1"/>
      <c r="K18" s="1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</row>
    <row r="19" spans="1:27" ht="27.6" x14ac:dyDescent="0.3">
      <c r="A19" s="4" t="s">
        <v>345</v>
      </c>
      <c r="B19" s="1" t="s">
        <v>126</v>
      </c>
      <c r="C19" s="1" t="s">
        <v>106</v>
      </c>
      <c r="D19" s="1"/>
      <c r="E19" s="1"/>
      <c r="F19" s="1"/>
      <c r="G19" s="1"/>
      <c r="H19" s="1"/>
      <c r="I19" s="1"/>
      <c r="J19" s="1"/>
      <c r="K19" s="1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</row>
    <row r="20" spans="1:27" ht="28.2" x14ac:dyDescent="0.3">
      <c r="A20" s="3" t="s">
        <v>140</v>
      </c>
      <c r="B20" s="29">
        <f>(2.85+7.35+12.92)/3</f>
        <v>7.7066666666666661</v>
      </c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</row>
    <row r="21" spans="1:27" ht="28.2" x14ac:dyDescent="0.3">
      <c r="A21" s="3" t="s">
        <v>141</v>
      </c>
      <c r="B21" s="30">
        <f>12.92+4.35</f>
        <v>17.27</v>
      </c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</row>
    <row r="22" spans="1:27" x14ac:dyDescent="0.3">
      <c r="A22" s="23" t="str">
        <f>IF(OR(AND($B$8&gt;0,$B9=""),AND($C$8&gt;0,$C9=""),AND($D$8&gt;0,$D9=""),AND($E$8&gt;0,$E9=""),AND($F$8&gt;0,$F9=""),AND($G$8&gt;0,$G9=""),AND($H$8&gt;0,$H9=""),AND($I$8&gt;0,$I9=""),AND($J$8&gt;0,$J9=""),AND($K$8&gt;0,$K9="")),"Il manque des données ligne 9","")</f>
        <v/>
      </c>
      <c r="B22" s="23" t="str">
        <f>IF(OR(AND($B$8&gt;0,$B10=""),AND($C$8&gt;0,$C10=""),AND($D$8&gt;0,$D10=""),AND($E$8&gt;0,$E10=""),AND($F$8&gt;0,$F10=""),AND($G$8&gt;0,G10=""),AND($H$8&gt;0,$H10=""),AND($I$8&gt;0,$I10=""),AND($J$8&gt;0,$J10=""),AND($K$8&gt;0,$K10="")),"Il manque des données ligne 10","")</f>
        <v>Il manque des données ligne 10</v>
      </c>
      <c r="C22" s="23" t="str">
        <f>IF(OR(AND($B$8&gt;0,$B11=""),AND($C$8&gt;0,$C11=""),AND($D$8&gt;0,$D11=""),AND($E$8&gt;0,$E11=""),AND($F$8&gt;0,$F11=""),AND($G$8&gt;0,$G11=""),AND($H$8&gt;0,$H11=""),AND($I$8&gt;0,$I11=""),AND($J$8&gt;0,$J11=""),AND($K$8&gt;0,$K11="")),"Il manque des données ligne 11","")</f>
        <v/>
      </c>
      <c r="D22" s="23" t="str">
        <f>IF(OR(AND($B$8&gt;0,$B12=""),AND($C$8&gt;0,$C12=""),AND($D$8&gt;0,$D12=""),AND($E$8&gt;0,$E12=""),AND($F$8&gt;0,$F12=""),AND($G$8&gt;0,$G12=""),AND($H$8&gt;0,$H12=""),AND($I$8&gt;0,$I12=""),AND($J$8&gt;0,$J12=""),AND($K$8&gt;0,$K12="")),"Il manque des données ligne 12","")</f>
        <v/>
      </c>
      <c r="E22" s="23" t="str">
        <f>IF(OR(AND($B$8&gt;0,$B13=""),AND($C$8&gt;0,$C13=""),AND($D$8&gt;0,$D13=""),AND($E$8&gt;0,$E13=""),AND($F$8&gt;0,$F13=""),AND($G$8&gt;0,$G13=""),AND($H$8&gt;0,$H13=""),AND($I$8&gt;0,$I13=""),AND($J$8&gt;0,$J13=""),AND($K$8&gt;0,$K13="")),"Il manque des données ligne 13","")</f>
        <v/>
      </c>
      <c r="F22" s="23" t="str">
        <f>IF(OR(AND($B$8&gt;0,$B14=""),AND($C$8&gt;0,$C14=""),AND($D$8&gt;0,$D14=""),AND($E$8&gt;0,$E14=""),AND($F$8&gt;0,$F14=""),AND($G$8&gt;0,$G14=""),AND($H$8&gt;0,$H14=""),AND($I$8&gt;0,$I14=""),AND($J$8&gt;0,$J14=""),AND($K$8&gt;0,$K14="")),"Il manque des données ligne 14","")</f>
        <v/>
      </c>
      <c r="G22" s="23" t="str">
        <f>IF(OR(AND($B$8&gt;0,$B15=""),AND($C$8&gt;0,$C15=""),AND($D$8&gt;0,$D15=""),AND($E$8&gt;0,$E15=""),AND($F$8&gt;0,$F15=""),AND($G$8&gt;0,$G15=""),AND($H$8&gt;0,$H15=""),AND($I$8&gt;0,$I15=""),AND($J$8&gt;0,$J15=""),AND($K$8&gt;0,$K15="")),"Il manque des données ligne 15","")</f>
        <v/>
      </c>
      <c r="H22" s="23" t="str">
        <f>IF(OR(AND($B$8&gt;0,$B16=""),AND($C$8&gt;0,$C16=""),AND($D$8&gt;0,$D16=""),AND($E$8&gt;0,$E16=""),AND($F$8&gt;0,$F16=""),AND($G$8&gt;0,$G16=""),AND($H$8&gt;0,$H16=""),AND($I$8&gt;0,$I16=""),AND($J$8&gt;0,$J16=""),AND($K$8&gt;0,$K16="")),"Il manque des données ligne 16","")</f>
        <v/>
      </c>
      <c r="I22" s="23" t="str">
        <f>IF(OR(AND($B$8&gt;0,$B17=""),AND($C$8&gt;0,$C17=""),AND($D$8&gt;0,$D17=""),AND($E$8&gt;0,$E17=""),AND($F$8&gt;0,$F17=""),AND($G$8&gt;0,$G17=""),AND($H$8&gt;0,$H17=""),AND($I$8&gt;0,$I17=""),AND($J$8&gt;0,$J17=""),AND($K$8&gt;0,$K17="")),"Il manque des données ligne 17","")</f>
        <v/>
      </c>
      <c r="J22" s="23" t="str">
        <f>IF(OR(AND($B$8&gt;0,$B18=""),AND($C$8&gt;0,$C18=""),AND($D$8&gt;0,$D18=""),AND($E$8&gt;0,$E18=""),AND($F$8&gt;0,$F18=""),AND($G$8&gt;0,$G18=""),AND($H$8&gt;0,$H18=""),AND($I$8&gt;0,$I18=""),AND($J$8&gt;0,$J18=""),AND($K$8&gt;0,$K18="")),"Il manque des données ligne 18","")</f>
        <v/>
      </c>
      <c r="K22" s="23" t="str">
        <f>IF(OR(AND($B$8&gt;0,$B19=""),AND($C$8&gt;0,$C19=""),AND($D$8&gt;0,$D19=""),AND($E$8&gt;0,$E19=""),AND($F$8&gt;0,$F19=""),AND($G$8&gt;0,$G19=""),AND($H$8&gt;0,$H19=""),AND($I$8&gt;0,$I19=""),AND($J$8&gt;0,$J19=""),AND($K$8&gt;0,$K19="")),"Il manque des données ligne 19","")</f>
        <v/>
      </c>
      <c r="L22" s="23" t="str">
        <f>IF(AND($B$8&gt;0,$B20=""),"Il manque des données ligne 20","")</f>
        <v/>
      </c>
      <c r="M22" s="23" t="str">
        <f>IF(AND($B$8&gt;0,$B21=""),"Il manque des données ligne 21","")</f>
        <v/>
      </c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</row>
    <row r="23" spans="1:27" ht="15" thickBot="1" x14ac:dyDescent="0.35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</row>
    <row r="24" spans="1:27" customFormat="1" ht="15" thickBot="1" x14ac:dyDescent="0.35">
      <c r="A24" s="103" t="s">
        <v>308</v>
      </c>
      <c r="B24" s="104"/>
      <c r="C24" s="104"/>
      <c r="D24" s="104"/>
      <c r="E24" s="104"/>
      <c r="F24" s="104"/>
      <c r="G24" s="104"/>
      <c r="H24" s="104"/>
      <c r="I24" s="104"/>
      <c r="J24" s="104"/>
      <c r="K24" s="105"/>
      <c r="L24" s="77"/>
      <c r="M24" s="2"/>
      <c r="N24" s="2"/>
      <c r="O24" s="2"/>
      <c r="P24" s="2"/>
      <c r="Q24" s="2"/>
      <c r="R24" s="2"/>
      <c r="S24" s="2"/>
      <c r="T24" s="2"/>
      <c r="U24" s="2"/>
    </row>
    <row r="25" spans="1:27" customFormat="1" x14ac:dyDescent="0.3">
      <c r="A25" s="6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2"/>
      <c r="M25" s="2"/>
      <c r="N25" s="2"/>
      <c r="O25" s="2"/>
      <c r="P25" s="2"/>
      <c r="Q25" s="2"/>
      <c r="R25" s="2"/>
      <c r="S25" s="2"/>
      <c r="T25" s="2"/>
      <c r="U25" s="2"/>
    </row>
    <row r="26" spans="1:27" customFormat="1" hidden="1" x14ac:dyDescent="0.3">
      <c r="A26" s="6" t="s">
        <v>66</v>
      </c>
      <c r="B26" s="10" t="str">
        <f t="shared" ref="B26:K26" si="0">CONCATENATE(B9," - ",B11)</f>
        <v>Noisetier - Gobelet</v>
      </c>
      <c r="C26" s="10" t="str">
        <f t="shared" si="0"/>
        <v>Noisetier - Gobelet</v>
      </c>
      <c r="D26" s="10" t="str">
        <f t="shared" si="0"/>
        <v xml:space="preserve"> - </v>
      </c>
      <c r="E26" s="10" t="str">
        <f t="shared" si="0"/>
        <v xml:space="preserve"> - </v>
      </c>
      <c r="F26" s="10" t="str">
        <f t="shared" si="0"/>
        <v xml:space="preserve"> - </v>
      </c>
      <c r="G26" s="10" t="str">
        <f t="shared" si="0"/>
        <v xml:space="preserve"> - </v>
      </c>
      <c r="H26" s="10" t="str">
        <f t="shared" si="0"/>
        <v xml:space="preserve"> - </v>
      </c>
      <c r="I26" s="10" t="str">
        <f t="shared" si="0"/>
        <v xml:space="preserve"> - </v>
      </c>
      <c r="J26" s="10" t="str">
        <f t="shared" si="0"/>
        <v xml:space="preserve"> - </v>
      </c>
      <c r="K26" s="10" t="str">
        <f t="shared" si="0"/>
        <v xml:space="preserve"> - </v>
      </c>
      <c r="L26" s="2"/>
      <c r="M26" s="2"/>
      <c r="N26" s="2"/>
      <c r="O26" s="2"/>
      <c r="P26" s="2"/>
      <c r="Q26" s="2"/>
      <c r="R26" s="2"/>
      <c r="S26" s="2"/>
      <c r="T26" s="2"/>
      <c r="U26" s="2"/>
    </row>
    <row r="27" spans="1:27" customFormat="1" x14ac:dyDescent="0.3">
      <c r="A27" s="7" t="s">
        <v>60</v>
      </c>
      <c r="B27" s="11">
        <f>IF(B12="","",VLOOKUP(B26,'(ne pas modifier) BDD_REF'!$C$21:$D$42,2,FALSE))</f>
        <v>250</v>
      </c>
      <c r="C27" s="11">
        <f>IF(C12="","",VLOOKUP(C26,'(ne pas modifier) BDD_REF'!$C$21:$D$42,2,FALSE))</f>
        <v>250</v>
      </c>
      <c r="D27" s="11" t="str">
        <f>IF(D12="","",VLOOKUP(D26,'(ne pas modifier) BDD_REF'!$C$21:$D$42,2,FALSE))</f>
        <v/>
      </c>
      <c r="E27" s="11" t="str">
        <f>IF(E12="","",VLOOKUP(E26,'(ne pas modifier) BDD_REF'!$C$21:$D$42,2,FALSE))</f>
        <v/>
      </c>
      <c r="F27" s="11" t="str">
        <f>IF(F12="","",VLOOKUP(F26,'(ne pas modifier) BDD_REF'!$C$21:$D$42,2,FALSE))</f>
        <v/>
      </c>
      <c r="G27" s="11" t="str">
        <f>IF(G12="","",VLOOKUP(G26,'(ne pas modifier) BDD_REF'!$C$21:$D$42,2,FALSE))</f>
        <v/>
      </c>
      <c r="H27" s="11" t="str">
        <f>IF(H12="","",VLOOKUP(H26,'(ne pas modifier) BDD_REF'!$C$21:$D$42,2,FALSE))</f>
        <v/>
      </c>
      <c r="I27" s="11" t="str">
        <f>IF(I12="","",VLOOKUP(I26,'(ne pas modifier) BDD_REF'!$C$21:$D$42,2,FALSE))</f>
        <v/>
      </c>
      <c r="J27" s="11" t="str">
        <f>IF(J12="","",VLOOKUP(J26,'(ne pas modifier) BDD_REF'!$C$21:$D$42,2,FALSE))</f>
        <v/>
      </c>
      <c r="K27" s="11" t="str">
        <f>IF(K12="","",VLOOKUP(K26,'(ne pas modifier) BDD_REF'!$C$21:$D$42,2,FALSE))</f>
        <v/>
      </c>
      <c r="L27" s="2"/>
      <c r="M27" s="2"/>
      <c r="N27" s="2"/>
      <c r="O27" s="2"/>
      <c r="P27" s="2"/>
      <c r="Q27" s="2"/>
      <c r="R27" s="2"/>
      <c r="S27" s="2"/>
      <c r="T27" s="2"/>
      <c r="U27" s="2"/>
    </row>
    <row r="28" spans="1:27" customFormat="1" ht="28.8" x14ac:dyDescent="0.3">
      <c r="A28" s="7" t="s">
        <v>289</v>
      </c>
      <c r="B28" s="12" t="str">
        <f t="shared" ref="B28:K28" si="1">IF(B12="","",IF(B12&gt;=B27,"OUI","NON"))</f>
        <v>OUI</v>
      </c>
      <c r="C28" s="12" t="str">
        <f t="shared" si="1"/>
        <v>OUI</v>
      </c>
      <c r="D28" s="12" t="str">
        <f t="shared" si="1"/>
        <v/>
      </c>
      <c r="E28" s="12" t="str">
        <f t="shared" si="1"/>
        <v/>
      </c>
      <c r="F28" s="12" t="str">
        <f t="shared" si="1"/>
        <v/>
      </c>
      <c r="G28" s="12" t="str">
        <f t="shared" si="1"/>
        <v/>
      </c>
      <c r="H28" s="12" t="str">
        <f t="shared" si="1"/>
        <v/>
      </c>
      <c r="I28" s="12" t="str">
        <f t="shared" si="1"/>
        <v/>
      </c>
      <c r="J28" s="12" t="str">
        <f t="shared" si="1"/>
        <v/>
      </c>
      <c r="K28" s="12" t="str">
        <f t="shared" si="1"/>
        <v/>
      </c>
      <c r="L28" s="2"/>
      <c r="M28" s="2"/>
      <c r="N28" s="2"/>
      <c r="O28" s="2"/>
      <c r="P28" s="2"/>
      <c r="Q28" s="2"/>
      <c r="R28" s="2"/>
      <c r="S28" s="2"/>
      <c r="T28" s="2"/>
      <c r="U28" s="2"/>
    </row>
    <row r="29" spans="1:27" customFormat="1" x14ac:dyDescent="0.3">
      <c r="A29" s="5"/>
      <c r="B29" s="9"/>
      <c r="C29" s="9"/>
      <c r="D29" s="9"/>
      <c r="E29" s="9"/>
      <c r="F29" s="9"/>
      <c r="G29" s="9"/>
      <c r="H29" s="9"/>
      <c r="I29" s="9"/>
      <c r="J29" s="9"/>
      <c r="K29" s="9"/>
      <c r="L29" s="2"/>
      <c r="M29" s="2"/>
      <c r="N29" s="2"/>
      <c r="O29" s="2"/>
      <c r="P29" s="2"/>
      <c r="Q29" s="2"/>
      <c r="R29" s="2"/>
      <c r="S29" s="2"/>
      <c r="T29" s="2"/>
      <c r="U29" s="2"/>
    </row>
    <row r="30" spans="1:27" customFormat="1" x14ac:dyDescent="0.3">
      <c r="A30" s="6" t="s">
        <v>295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2"/>
      <c r="M30" s="2"/>
      <c r="N30" s="2"/>
      <c r="O30" s="2"/>
      <c r="P30" s="2"/>
      <c r="Q30" s="2"/>
      <c r="R30" s="2"/>
      <c r="S30" s="2"/>
      <c r="T30" s="2"/>
      <c r="U30" s="2"/>
    </row>
    <row r="31" spans="1:27" customFormat="1" ht="15" customHeight="1" x14ac:dyDescent="0.3">
      <c r="A31" s="7" t="s">
        <v>61</v>
      </c>
      <c r="B31" s="12" t="str">
        <f t="shared" ref="B31:K31" si="2">IF(B21="","",IF(B21&gt;=B20,"OUI","NON"))</f>
        <v>OUI</v>
      </c>
      <c r="C31" s="72" t="str">
        <f t="shared" si="2"/>
        <v/>
      </c>
      <c r="D31" s="72" t="str">
        <f t="shared" si="2"/>
        <v/>
      </c>
      <c r="E31" s="72" t="str">
        <f t="shared" si="2"/>
        <v/>
      </c>
      <c r="F31" s="72" t="str">
        <f t="shared" si="2"/>
        <v/>
      </c>
      <c r="G31" s="72" t="str">
        <f t="shared" si="2"/>
        <v/>
      </c>
      <c r="H31" s="72" t="str">
        <f t="shared" si="2"/>
        <v/>
      </c>
      <c r="I31" s="72" t="str">
        <f t="shared" si="2"/>
        <v/>
      </c>
      <c r="J31" s="72" t="str">
        <f t="shared" si="2"/>
        <v/>
      </c>
      <c r="K31" s="72" t="str">
        <f t="shared" si="2"/>
        <v/>
      </c>
      <c r="L31" s="2"/>
      <c r="M31" s="2"/>
      <c r="N31" s="2"/>
      <c r="O31" s="2"/>
      <c r="P31" s="2"/>
      <c r="Q31" s="2"/>
      <c r="R31" s="2"/>
      <c r="S31" s="2"/>
      <c r="T31" s="2"/>
      <c r="U31" s="2"/>
    </row>
    <row r="32" spans="1:27" customFormat="1" x14ac:dyDescent="0.3">
      <c r="L32" s="2"/>
      <c r="M32" s="2"/>
      <c r="N32" s="2"/>
      <c r="O32" s="2"/>
      <c r="P32" s="2"/>
      <c r="Q32" s="2"/>
      <c r="R32" s="2"/>
      <c r="S32" s="2"/>
      <c r="T32" s="2"/>
      <c r="U32" s="2"/>
    </row>
    <row r="33" spans="1:21" customFormat="1" x14ac:dyDescent="0.3">
      <c r="A33" s="6" t="s">
        <v>63</v>
      </c>
      <c r="L33" s="85" t="s">
        <v>341</v>
      </c>
      <c r="M33" s="2"/>
      <c r="N33" s="2"/>
      <c r="O33" s="2"/>
      <c r="P33" s="2"/>
      <c r="Q33" s="2"/>
      <c r="R33" s="2"/>
      <c r="S33" s="2"/>
      <c r="T33" s="2"/>
      <c r="U33" s="2"/>
    </row>
    <row r="34" spans="1:21" customFormat="1" ht="43.2" hidden="1" x14ac:dyDescent="0.3">
      <c r="A34" s="7" t="s">
        <v>27</v>
      </c>
      <c r="B34" s="43" t="str">
        <f>CONCATENATE(Eligibilité_projet!B13," - ",Eligibilité_projet!B16)</f>
        <v>Hors climat Mediterranéen - Grandes cultures</v>
      </c>
      <c r="C34" s="43" t="str">
        <f>CONCATENATE(Eligibilité_projet!C13," - ",Eligibilité_projet!C16)</f>
        <v>Hors climat Mediterranéen - Grandes cultures</v>
      </c>
      <c r="D34" s="43" t="str">
        <f>CONCATENATE(Eligibilité_projet!D13," - ",Eligibilité_projet!D16)</f>
        <v xml:space="preserve"> - </v>
      </c>
      <c r="E34" s="43" t="str">
        <f>CONCATENATE(Eligibilité_projet!E13," - ",Eligibilité_projet!E16)</f>
        <v xml:space="preserve"> - </v>
      </c>
      <c r="F34" s="43" t="str">
        <f>CONCATENATE(Eligibilité_projet!F13," - ",Eligibilité_projet!F16)</f>
        <v xml:space="preserve"> - </v>
      </c>
      <c r="G34" s="43" t="str">
        <f>CONCATENATE(Eligibilité_projet!G13," - ",Eligibilité_projet!G16)</f>
        <v xml:space="preserve"> - </v>
      </c>
      <c r="H34" s="43" t="str">
        <f>CONCATENATE(Eligibilité_projet!H13," - ",Eligibilité_projet!H16)</f>
        <v xml:space="preserve"> - </v>
      </c>
      <c r="I34" s="43" t="str">
        <f>CONCATENATE(Eligibilité_projet!I13," - ",Eligibilité_projet!I16)</f>
        <v xml:space="preserve"> - </v>
      </c>
      <c r="J34" s="43" t="str">
        <f>CONCATENATE(Eligibilité_projet!J13," - ",Eligibilité_projet!J16)</f>
        <v xml:space="preserve"> - </v>
      </c>
      <c r="K34" s="43" t="str">
        <f>CONCATENATE(Eligibilité_projet!K13," - ",Eligibilité_projet!K16)</f>
        <v xml:space="preserve"> - </v>
      </c>
      <c r="M34" s="2"/>
      <c r="N34" s="2"/>
      <c r="O34" s="2"/>
      <c r="P34" s="2"/>
      <c r="Q34" s="2"/>
      <c r="R34" s="2"/>
      <c r="S34" s="2"/>
      <c r="T34" s="2"/>
      <c r="U34" s="2"/>
    </row>
    <row r="35" spans="1:21" customFormat="1" ht="57.6" hidden="1" x14ac:dyDescent="0.3">
      <c r="A35" s="7" t="s">
        <v>64</v>
      </c>
      <c r="B35" s="43" t="str">
        <f>CONCATENATE(Eligibilité_projet!B14," - ",Eligibilité_projet!B16,"-",Eligibilité_projet!B13)</f>
        <v>20 - Grandes cultures-Hors climat Mediterranéen</v>
      </c>
      <c r="C35" s="43" t="str">
        <f>CONCATENATE(Eligibilité_projet!C14," - ",Eligibilité_projet!C16,"-",Eligibilité_projet!C13)</f>
        <v>20 - Grandes cultures-Hors climat Mediterranéen</v>
      </c>
      <c r="D35" s="43" t="str">
        <f>CONCATENATE(Eligibilité_projet!D14," - ",Eligibilité_projet!D16,"-",Eligibilité_projet!D13)</f>
        <v xml:space="preserve"> - -</v>
      </c>
      <c r="E35" s="43" t="str">
        <f>CONCATENATE(Eligibilité_projet!E14," - ",Eligibilité_projet!E16,"-",Eligibilité_projet!E13)</f>
        <v xml:space="preserve"> - -</v>
      </c>
      <c r="F35" s="43" t="str">
        <f>CONCATENATE(Eligibilité_projet!F14," - ",Eligibilité_projet!F16,"-",Eligibilité_projet!F13)</f>
        <v xml:space="preserve"> - -</v>
      </c>
      <c r="G35" s="43" t="str">
        <f>CONCATENATE(Eligibilité_projet!G14," - ",Eligibilité_projet!G16,"-",Eligibilité_projet!G13)</f>
        <v xml:space="preserve"> - -</v>
      </c>
      <c r="H35" s="43" t="str">
        <f>CONCATENATE(Eligibilité_projet!H14," - ",Eligibilité_projet!H16,"-",Eligibilité_projet!H13)</f>
        <v xml:space="preserve"> - -</v>
      </c>
      <c r="I35" s="43" t="str">
        <f>CONCATENATE(Eligibilité_projet!I14," - ",Eligibilité_projet!I16,"-",Eligibilité_projet!I13)</f>
        <v xml:space="preserve"> - -</v>
      </c>
      <c r="J35" s="43" t="str">
        <f>CONCATENATE(Eligibilité_projet!J14," - ",Eligibilité_projet!J16,"-",Eligibilité_projet!J13)</f>
        <v xml:space="preserve"> - -</v>
      </c>
      <c r="K35" s="43" t="str">
        <f>CONCATENATE(Eligibilité_projet!K14," - ",Eligibilité_projet!K16,"-",Eligibilité_projet!K13)</f>
        <v xml:space="preserve"> - -</v>
      </c>
      <c r="M35" s="2"/>
      <c r="N35" s="2"/>
      <c r="O35" s="2"/>
      <c r="P35" s="2"/>
      <c r="Q35" s="2"/>
      <c r="R35" s="2"/>
      <c r="S35" s="2"/>
      <c r="T35" s="2"/>
      <c r="U35" s="2"/>
    </row>
    <row r="36" spans="1:21" customFormat="1" x14ac:dyDescent="0.3">
      <c r="A36" s="7" t="s">
        <v>302</v>
      </c>
      <c r="B36" s="44">
        <f>RECant_sol!C9</f>
        <v>35.405333333333324</v>
      </c>
      <c r="C36" s="44">
        <f>RECant_sol!D9</f>
        <v>9.8926666666666669</v>
      </c>
      <c r="D36" s="44">
        <f>RECant_sol!E9</f>
        <v>0</v>
      </c>
      <c r="E36" s="44">
        <f>RECant_sol!F9</f>
        <v>0</v>
      </c>
      <c r="F36" s="44">
        <f>RECant_sol!G9</f>
        <v>0</v>
      </c>
      <c r="G36" s="44">
        <f>RECant_sol!H9</f>
        <v>0</v>
      </c>
      <c r="H36" s="44">
        <f>RECant_sol!I9</f>
        <v>0</v>
      </c>
      <c r="I36" s="44">
        <f>RECant_sol!J9</f>
        <v>0</v>
      </c>
      <c r="J36" s="44">
        <f>RECant_sol!K9</f>
        <v>0</v>
      </c>
      <c r="K36" s="44">
        <f>RECant_sol!L9</f>
        <v>0</v>
      </c>
      <c r="L36" s="86">
        <f>SUM(B36:K36)</f>
        <v>45.297999999999988</v>
      </c>
      <c r="M36" s="2"/>
      <c r="N36" s="2"/>
      <c r="O36" s="2"/>
      <c r="P36" s="2"/>
      <c r="Q36" s="2"/>
      <c r="R36" s="2"/>
      <c r="S36" s="2"/>
      <c r="T36" s="2"/>
      <c r="U36" s="2"/>
    </row>
    <row r="37" spans="1:21" customFormat="1" x14ac:dyDescent="0.3">
      <c r="A37" s="7" t="s">
        <v>303</v>
      </c>
      <c r="B37" s="45">
        <f>RECant_biom!C28</f>
        <v>139.44857142857143</v>
      </c>
      <c r="C37" s="45">
        <f>RECant_biom!D28</f>
        <v>38.963571428571434</v>
      </c>
      <c r="D37" s="44">
        <f>RECant_biom!E28</f>
        <v>0</v>
      </c>
      <c r="E37" s="44">
        <f>RECant_biom!F28</f>
        <v>0</v>
      </c>
      <c r="F37" s="44">
        <f>RECant_biom!G28</f>
        <v>0</v>
      </c>
      <c r="G37" s="44">
        <f>RECant_biom!H28</f>
        <v>0</v>
      </c>
      <c r="H37" s="44">
        <f>RECant_biom!I28</f>
        <v>0</v>
      </c>
      <c r="I37" s="44">
        <f>RECant_biom!J28</f>
        <v>0</v>
      </c>
      <c r="J37" s="44">
        <f>RECant_biom!K28</f>
        <v>0</v>
      </c>
      <c r="K37" s="44">
        <f>RECant_biom!L28</f>
        <v>0</v>
      </c>
      <c r="L37" s="87">
        <f>SUM(B37:K37)</f>
        <v>178.41214285714287</v>
      </c>
      <c r="M37" s="2"/>
      <c r="N37" s="2"/>
      <c r="O37" s="2"/>
      <c r="P37" s="2"/>
      <c r="Q37" s="2"/>
      <c r="R37" s="2"/>
      <c r="S37" s="2"/>
      <c r="T37" s="2"/>
      <c r="U37" s="2"/>
    </row>
    <row r="38" spans="1:21" customFormat="1" x14ac:dyDescent="0.3">
      <c r="A38" s="46" t="s">
        <v>226</v>
      </c>
      <c r="B38" s="45">
        <f t="shared" ref="B38:K38" si="3">IF(B36="","",B36+B37)</f>
        <v>174.85390476190474</v>
      </c>
      <c r="C38" s="45">
        <f t="shared" si="3"/>
        <v>48.856238095238098</v>
      </c>
      <c r="D38" s="44">
        <f t="shared" si="3"/>
        <v>0</v>
      </c>
      <c r="E38" s="44">
        <f t="shared" si="3"/>
        <v>0</v>
      </c>
      <c r="F38" s="44">
        <f t="shared" si="3"/>
        <v>0</v>
      </c>
      <c r="G38" s="44">
        <f t="shared" si="3"/>
        <v>0</v>
      </c>
      <c r="H38" s="44">
        <f t="shared" si="3"/>
        <v>0</v>
      </c>
      <c r="I38" s="44">
        <f t="shared" si="3"/>
        <v>0</v>
      </c>
      <c r="J38" s="44">
        <f t="shared" si="3"/>
        <v>0</v>
      </c>
      <c r="K38" s="44">
        <f t="shared" si="3"/>
        <v>0</v>
      </c>
      <c r="L38" s="87">
        <f>SUM(B38:K38)</f>
        <v>223.71014285714284</v>
      </c>
      <c r="M38" s="2"/>
      <c r="N38" s="2"/>
      <c r="O38" s="2"/>
      <c r="P38" s="2"/>
      <c r="Q38" s="2"/>
      <c r="R38" s="2"/>
      <c r="S38" s="2"/>
      <c r="T38" s="2"/>
      <c r="U38" s="2"/>
    </row>
    <row r="39" spans="1:21" customFormat="1" x14ac:dyDescent="0.3">
      <c r="A39" s="7" t="s">
        <v>61</v>
      </c>
      <c r="B39" s="12" t="str">
        <f t="shared" ref="B39:K39" si="4">IF(AND(B36=0,B37=0),"",IF(B38&gt;0,"OUI","NON"))</f>
        <v>OUI</v>
      </c>
      <c r="C39" s="12" t="str">
        <f t="shared" si="4"/>
        <v>OUI</v>
      </c>
      <c r="D39" s="12" t="str">
        <f t="shared" si="4"/>
        <v/>
      </c>
      <c r="E39" s="12" t="str">
        <f t="shared" si="4"/>
        <v/>
      </c>
      <c r="F39" s="12" t="str">
        <f t="shared" si="4"/>
        <v/>
      </c>
      <c r="G39" s="12" t="str">
        <f t="shared" si="4"/>
        <v/>
      </c>
      <c r="H39" s="12" t="str">
        <f t="shared" si="4"/>
        <v/>
      </c>
      <c r="I39" s="12" t="str">
        <f t="shared" si="4"/>
        <v/>
      </c>
      <c r="J39" s="12" t="str">
        <f t="shared" si="4"/>
        <v/>
      </c>
      <c r="K39" s="12" t="str">
        <f t="shared" si="4"/>
        <v/>
      </c>
      <c r="M39" s="2"/>
      <c r="N39" s="2"/>
      <c r="O39" s="2"/>
      <c r="P39" s="2"/>
      <c r="Q39" s="2"/>
      <c r="R39" s="2"/>
      <c r="S39" s="2"/>
      <c r="T39" s="2"/>
      <c r="U39" s="2"/>
    </row>
    <row r="40" spans="1:21" customFormat="1" x14ac:dyDescent="0.3">
      <c r="A40" s="74"/>
      <c r="M40" s="2"/>
      <c r="N40" s="2"/>
      <c r="O40" s="2"/>
      <c r="P40" s="2"/>
      <c r="Q40" s="2"/>
      <c r="R40" s="2"/>
      <c r="S40" s="2"/>
      <c r="T40" s="2"/>
      <c r="U40" s="2"/>
    </row>
    <row r="41" spans="1:21" customFormat="1" x14ac:dyDescent="0.3">
      <c r="M41" s="2"/>
      <c r="N41" s="2"/>
      <c r="O41" s="2"/>
      <c r="P41" s="2"/>
      <c r="Q41" s="2"/>
      <c r="R41" s="2"/>
      <c r="S41" s="2"/>
      <c r="T41" s="2"/>
      <c r="U41" s="2"/>
    </row>
    <row r="42" spans="1:21" customFormat="1" x14ac:dyDescent="0.3">
      <c r="A42" s="6" t="s">
        <v>68</v>
      </c>
      <c r="B42" s="9"/>
      <c r="C42" s="9"/>
      <c r="D42" s="9"/>
      <c r="E42" s="9"/>
      <c r="F42" s="9"/>
      <c r="G42" s="9"/>
      <c r="H42" s="9"/>
      <c r="I42" s="9"/>
      <c r="J42" s="9"/>
      <c r="K42" s="9"/>
      <c r="M42" s="2"/>
      <c r="N42" s="2"/>
      <c r="O42" s="2"/>
      <c r="P42" s="2"/>
      <c r="Q42" s="2"/>
      <c r="R42" s="2"/>
      <c r="S42" s="2"/>
      <c r="T42" s="2"/>
      <c r="U42" s="2"/>
    </row>
    <row r="43" spans="1:21" customFormat="1" x14ac:dyDescent="0.3">
      <c r="A43" s="7" t="s">
        <v>61</v>
      </c>
      <c r="B43" s="12" t="str">
        <f>IF(B15="","",IF(B15&gt;=0.5,"OUI","NON"))</f>
        <v>OUI</v>
      </c>
      <c r="C43" s="12" t="str">
        <f t="shared" ref="C43:K43" si="5">IF(C15="","",IF(C15&gt;=0.5,"OUI","NON"))</f>
        <v>OUI</v>
      </c>
      <c r="D43" s="12" t="str">
        <f t="shared" si="5"/>
        <v/>
      </c>
      <c r="E43" s="12" t="str">
        <f t="shared" si="5"/>
        <v/>
      </c>
      <c r="F43" s="12" t="str">
        <f t="shared" si="5"/>
        <v/>
      </c>
      <c r="G43" s="12" t="str">
        <f t="shared" si="5"/>
        <v/>
      </c>
      <c r="H43" s="12" t="str">
        <f t="shared" si="5"/>
        <v/>
      </c>
      <c r="I43" s="12" t="str">
        <f t="shared" si="5"/>
        <v/>
      </c>
      <c r="J43" s="12" t="str">
        <f t="shared" si="5"/>
        <v/>
      </c>
      <c r="K43" s="12" t="str">
        <f t="shared" si="5"/>
        <v/>
      </c>
      <c r="M43" s="2"/>
      <c r="N43" s="2"/>
      <c r="O43" s="2"/>
      <c r="P43" s="2"/>
      <c r="Q43" s="2"/>
      <c r="R43" s="2"/>
      <c r="S43" s="2"/>
      <c r="T43" s="2"/>
      <c r="U43" s="2"/>
    </row>
    <row r="44" spans="1:21" customFormat="1" x14ac:dyDescent="0.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</row>
    <row r="45" spans="1:21" customFormat="1" x14ac:dyDescent="0.3">
      <c r="A45" s="6" t="s">
        <v>342</v>
      </c>
      <c r="B45" s="2"/>
      <c r="C45" s="2"/>
      <c r="D45" s="2"/>
      <c r="E45" s="2"/>
      <c r="F45" s="2"/>
      <c r="G45" s="2"/>
      <c r="H45" s="2"/>
      <c r="I45" s="2"/>
      <c r="J45" s="2"/>
      <c r="K45" s="2"/>
    </row>
    <row r="46" spans="1:21" customFormat="1" x14ac:dyDescent="0.3">
      <c r="A46" s="7" t="s">
        <v>61</v>
      </c>
      <c r="B46" s="12" t="str">
        <f>IF(B13="","",IF(AND(B13="Hors climat Mediterranéen",B16="Prairies "),"Parcelle non éligible", "OUI"))</f>
        <v>OUI</v>
      </c>
      <c r="C46" s="12" t="str">
        <f t="shared" ref="C46:K46" si="6">IF(C13="","",IF(AND(C13="Hors climat Mediterranéen",C16="Prairies "),"Parcelle non éligible", "OUI"))</f>
        <v>OUI</v>
      </c>
      <c r="D46" s="12" t="str">
        <f t="shared" si="6"/>
        <v/>
      </c>
      <c r="E46" s="12" t="str">
        <f t="shared" si="6"/>
        <v/>
      </c>
      <c r="F46" s="12" t="str">
        <f t="shared" si="6"/>
        <v/>
      </c>
      <c r="G46" s="12" t="str">
        <f t="shared" si="6"/>
        <v/>
      </c>
      <c r="H46" s="12" t="str">
        <f t="shared" si="6"/>
        <v/>
      </c>
      <c r="I46" s="12" t="str">
        <f t="shared" si="6"/>
        <v/>
      </c>
      <c r="J46" s="12" t="str">
        <f t="shared" si="6"/>
        <v/>
      </c>
      <c r="K46" s="12" t="str">
        <f t="shared" si="6"/>
        <v/>
      </c>
    </row>
    <row r="47" spans="1:21" customFormat="1" x14ac:dyDescent="0.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</row>
    <row r="48" spans="1:21" customFormat="1" x14ac:dyDescent="0.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</row>
    <row r="49" spans="1:11" customFormat="1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</row>
    <row r="50" spans="1:11" customFormat="1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</row>
    <row r="51" spans="1:11" customForma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</row>
    <row r="52" spans="1:11" customForma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</row>
    <row r="53" spans="1:11" customForma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</row>
    <row r="54" spans="1:11" x14ac:dyDescent="0.3">
      <c r="A54" s="2"/>
    </row>
    <row r="55" spans="1:11" x14ac:dyDescent="0.3">
      <c r="A55" s="2"/>
    </row>
    <row r="56" spans="1:11" x14ac:dyDescent="0.3">
      <c r="A56" s="2"/>
    </row>
    <row r="57" spans="1:11" x14ac:dyDescent="0.3">
      <c r="A57" s="2"/>
    </row>
    <row r="58" spans="1:11" x14ac:dyDescent="0.3">
      <c r="A58" s="2"/>
    </row>
    <row r="59" spans="1:11" x14ac:dyDescent="0.3">
      <c r="A59" s="2"/>
    </row>
    <row r="60" spans="1:11" x14ac:dyDescent="0.3">
      <c r="A60" s="2"/>
    </row>
    <row r="61" spans="1:11" x14ac:dyDescent="0.3">
      <c r="A61" s="2"/>
    </row>
    <row r="62" spans="1:11" x14ac:dyDescent="0.3">
      <c r="A62" s="2"/>
    </row>
    <row r="63" spans="1:11" x14ac:dyDescent="0.3">
      <c r="A63" s="2"/>
    </row>
    <row r="64" spans="1:11" x14ac:dyDescent="0.3">
      <c r="A64" s="2"/>
    </row>
  </sheetData>
  <sheetProtection algorithmName="SHA-512" hashValue="bxClXAWqCgn9CyPQo6l/lZ48SkHuqJJP3x7lgkxTlweAybanTssTKJfPjTLmuIp3e3dDadOaOikn30eXQW2tFw==" saltValue="UmjT3m1hIL4JWmPO7WZXiA==" spinCount="100000" sheet="1" objects="1" scenarios="1"/>
  <mergeCells count="3">
    <mergeCell ref="A5:K5"/>
    <mergeCell ref="A24:K24"/>
    <mergeCell ref="A2:B2"/>
  </mergeCells>
  <dataValidations count="2">
    <dataValidation showInputMessage="1" showErrorMessage="1" sqref="B8:K8 B12:K12 A22:M22 B20:K21 B23:K23" xr:uid="{00000000-0002-0000-0100-000000000000}"/>
    <dataValidation type="list" showInputMessage="1" showErrorMessage="1" sqref="C2" xr:uid="{00000000-0002-0000-0100-000001000000}">
      <formula1>$AG$2:$AG$3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showInputMessage="1" showErrorMessage="1" xr:uid="{00000000-0002-0000-0100-000002000000}">
          <x14:formula1>
            <xm:f>'(ne pas modifier) LISTES'!$A$2:$A$3</xm:f>
          </x14:formula1>
          <xm:sqref>B13:K13</xm:sqref>
        </x14:dataValidation>
        <x14:dataValidation type="list" showInputMessage="1" showErrorMessage="1" xr:uid="{00000000-0002-0000-0100-000003000000}">
          <x14:formula1>
            <xm:f>'(ne pas modifier) LISTES'!$B$2:$B$5</xm:f>
          </x14:formula1>
          <xm:sqref>B16:K16</xm:sqref>
        </x14:dataValidation>
        <x14:dataValidation type="list" allowBlank="1" showInputMessage="1" showErrorMessage="1" xr:uid="{00000000-0002-0000-0100-000004000000}">
          <x14:formula1>
            <xm:f>'(ne pas modifier) LISTES'!$C$2:$C$17</xm:f>
          </x14:formula1>
          <xm:sqref>B9:K9</xm:sqref>
        </x14:dataValidation>
        <x14:dataValidation type="list" showInputMessage="1" showErrorMessage="1" xr:uid="{00000000-0002-0000-0100-000005000000}">
          <x14:formula1>
            <xm:f>'(ne pas modifier) LISTES'!$E$2:$E$12</xm:f>
          </x14:formula1>
          <xm:sqref>B14:K14</xm:sqref>
        </x14:dataValidation>
        <x14:dataValidation type="list" showInputMessage="1" showErrorMessage="1" xr:uid="{00000000-0002-0000-0100-000006000000}">
          <x14:formula1>
            <xm:f>'(ne pas modifier) LISTES'!$D$2:$D$7</xm:f>
          </x14:formula1>
          <xm:sqref>B8:K8 B11:K11 B13:K13</xm:sqref>
        </x14:dataValidation>
        <x14:dataValidation type="list" allowBlank="1" showInputMessage="1" showErrorMessage="1" xr:uid="{00000000-0002-0000-0100-000007000000}">
          <x14:formula1>
            <xm:f>'(ne pas modifier) BDD_REF'!$A$195:$A$204</xm:f>
          </x14:formula1>
          <xm:sqref>B10:K10</xm:sqref>
        </x14:dataValidation>
        <x14:dataValidation type="list" showInputMessage="1" showErrorMessage="1" xr:uid="{00000000-0002-0000-0100-000008000000}">
          <x14:formula1>
            <xm:f>'(ne pas modifier) LISTES'!$F$2:$F$58</xm:f>
          </x14:formula1>
          <xm:sqref>B17:K19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N9"/>
  <sheetViews>
    <sheetView workbookViewId="0">
      <selection activeCell="B5" sqref="B5"/>
    </sheetView>
  </sheetViews>
  <sheetFormatPr baseColWidth="10" defaultColWidth="11.44140625" defaultRowHeight="14.4" x14ac:dyDescent="0.3"/>
  <cols>
    <col min="1" max="1" width="46.6640625" customWidth="1"/>
  </cols>
  <sheetData>
    <row r="2" spans="1:14" ht="14.25" customHeight="1" x14ac:dyDescent="0.3">
      <c r="A2" s="108" t="s">
        <v>332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10"/>
    </row>
    <row r="3" spans="1:14" x14ac:dyDescent="0.3">
      <c r="M3" s="2"/>
      <c r="N3" s="2"/>
    </row>
    <row r="4" spans="1:14" ht="28.8" x14ac:dyDescent="0.3">
      <c r="B4" s="13" t="s">
        <v>9</v>
      </c>
      <c r="C4" s="13" t="s">
        <v>10</v>
      </c>
      <c r="D4" s="13" t="s">
        <v>11</v>
      </c>
      <c r="E4" s="13" t="s">
        <v>12</v>
      </c>
      <c r="F4" s="13" t="s">
        <v>13</v>
      </c>
      <c r="G4" s="13" t="s">
        <v>14</v>
      </c>
      <c r="H4" s="13" t="s">
        <v>15</v>
      </c>
      <c r="I4" s="13" t="s">
        <v>16</v>
      </c>
      <c r="J4" s="13" t="s">
        <v>17</v>
      </c>
      <c r="K4" s="13" t="s">
        <v>18</v>
      </c>
      <c r="L4" s="13" t="s">
        <v>151</v>
      </c>
      <c r="M4" s="2"/>
      <c r="N4" s="2"/>
    </row>
    <row r="5" spans="1:14" x14ac:dyDescent="0.3">
      <c r="A5" s="3" t="s">
        <v>138</v>
      </c>
      <c r="B5" s="15">
        <f>IF(OR(Eligibilité_projet!B19="",Eligibilité_projet!B18="",Eligibilité_projet!B17=""),0,(VLOOKUP(Eligibilité_projet!B19,'(ne pas modifier) BDD_REF'!$A$137:$B$192,2,FALSE)+VLOOKUP(Eligibilité_projet!B18,'(ne pas modifier) BDD_REF'!$A$137:$B$192,2,FALSE)+VLOOKUP(Eligibilité_projet!B17,'(ne pas modifier) BDD_REF'!$A$137:$B$192,2,FALSE))/3/1000)</f>
        <v>2.3458214205400001</v>
      </c>
      <c r="C5" s="15">
        <f>IF(OR(Eligibilité_projet!C19="",Eligibilité_projet!C18="",Eligibilité_projet!C17=""),0,(VLOOKUP(Eligibilité_projet!C19,'(ne pas modifier) BDD_REF'!$A$137:$B$192,2,FALSE)+VLOOKUP(Eligibilité_projet!C18,'(ne pas modifier) BDD_REF'!$A$137:$B$192,2,FALSE)+VLOOKUP(Eligibilité_projet!C17,'(ne pas modifier) BDD_REF'!$A$137:$B$192,2,FALSE))/3/1000)</f>
        <v>2.6778424076701337</v>
      </c>
      <c r="D5" s="15">
        <f>IF(OR(Eligibilité_projet!D19="",Eligibilité_projet!D18="",Eligibilité_projet!D17=""),0,(VLOOKUP(Eligibilité_projet!D19,'(ne pas modifier) BDD_REF'!$A$137:$B$192,2,FALSE)+VLOOKUP(Eligibilité_projet!D18,'(ne pas modifier) BDD_REF'!$A$137:$B$192,2,FALSE)+VLOOKUP(Eligibilité_projet!D17,'(ne pas modifier) BDD_REF'!$A$137:$B$192,2,FALSE))/3/1000)</f>
        <v>0</v>
      </c>
      <c r="E5" s="15">
        <f>IF(OR(Eligibilité_projet!E19="",Eligibilité_projet!E18="",Eligibilité_projet!E17=""),0,(VLOOKUP(Eligibilité_projet!E19,'(ne pas modifier) BDD_REF'!$A$137:$B$192,2,FALSE)+VLOOKUP(Eligibilité_projet!E18,'(ne pas modifier) BDD_REF'!$A$137:$B$192,2,FALSE)+VLOOKUP(Eligibilité_projet!E17,'(ne pas modifier) BDD_REF'!$A$137:$B$192,2,FALSE))/3/1000)</f>
        <v>0</v>
      </c>
      <c r="F5" s="15">
        <f>IF(OR(Eligibilité_projet!F19="",Eligibilité_projet!F18="",Eligibilité_projet!F17=""),0,(VLOOKUP(Eligibilité_projet!F19,'(ne pas modifier) BDD_REF'!$A$137:$B$192,2,FALSE)+VLOOKUP(Eligibilité_projet!F18,'(ne pas modifier) BDD_REF'!$A$137:$B$192,2,FALSE)+VLOOKUP(Eligibilité_projet!F17,'(ne pas modifier) BDD_REF'!$A$137:$B$192,2,FALSE))/3/1000)</f>
        <v>0</v>
      </c>
      <c r="G5" s="15">
        <f>IF(OR(Eligibilité_projet!G19="",Eligibilité_projet!G18="",Eligibilité_projet!G17=""),0,(VLOOKUP(Eligibilité_projet!G19,'(ne pas modifier) BDD_REF'!$A$137:$B$192,2,FALSE)+VLOOKUP(Eligibilité_projet!G18,'(ne pas modifier) BDD_REF'!$A$137:$B$192,2,FALSE)+VLOOKUP(Eligibilité_projet!G17,'(ne pas modifier) BDD_REF'!$A$137:$B$192,2,FALSE))/3/1000)</f>
        <v>0</v>
      </c>
      <c r="H5" s="15">
        <f>IF(OR(Eligibilité_projet!H19="",Eligibilité_projet!H18="",Eligibilité_projet!H17=""),0,(VLOOKUP(Eligibilité_projet!H19,'(ne pas modifier) BDD_REF'!$A$137:$B$192,2,FALSE)+VLOOKUP(Eligibilité_projet!H18,'(ne pas modifier) BDD_REF'!$A$137:$B$192,2,FALSE)+VLOOKUP(Eligibilité_projet!H17,'(ne pas modifier) BDD_REF'!$A$137:$B$192,2,FALSE))/3/1000)</f>
        <v>0</v>
      </c>
      <c r="I5" s="15">
        <f>IF(OR(Eligibilité_projet!I19="",Eligibilité_projet!I18="",Eligibilité_projet!I17=""),0,(VLOOKUP(Eligibilité_projet!I19,'(ne pas modifier) BDD_REF'!$A$137:$B$192,2,FALSE)+VLOOKUP(Eligibilité_projet!I18,'(ne pas modifier) BDD_REF'!$A$137:$B$192,2,FALSE)+VLOOKUP(Eligibilité_projet!I17,'(ne pas modifier) BDD_REF'!$A$137:$B$192,2,FALSE))/3/1000)</f>
        <v>0</v>
      </c>
      <c r="J5" s="15">
        <f>IF(OR(Eligibilité_projet!J19="",Eligibilité_projet!J18="",Eligibilité_projet!J17=""),0,(VLOOKUP(Eligibilité_projet!J19,'(ne pas modifier) BDD_REF'!$A$137:$B$192,2,FALSE)+VLOOKUP(Eligibilité_projet!J18,'(ne pas modifier) BDD_REF'!$A$137:$B$192,2,FALSE)+VLOOKUP(Eligibilité_projet!J17,'(ne pas modifier) BDD_REF'!$A$137:$B$192,2,FALSE))/3/1000)</f>
        <v>0</v>
      </c>
      <c r="K5" s="15">
        <f>IF(OR(Eligibilité_projet!K19="",Eligibilité_projet!K18="",Eligibilité_projet!K17=""),0,(VLOOKUP(Eligibilité_projet!K19,'(ne pas modifier) BDD_REF'!$A$137:$B$192,2,FALSE)+VLOOKUP(Eligibilité_projet!K18,'(ne pas modifier) BDD_REF'!$A$137:$B$192,2,FALSE)+VLOOKUP(Eligibilité_projet!K17,'(ne pas modifier) BDD_REF'!$A$137:$B$192,2,FALSE))/3/1000)</f>
        <v>0</v>
      </c>
      <c r="L5" s="15">
        <f>SUM(B5:K5)</f>
        <v>5.0236638282101342</v>
      </c>
      <c r="M5" s="2"/>
      <c r="N5" s="2"/>
    </row>
    <row r="6" spans="1:14" x14ac:dyDescent="0.3">
      <c r="A6" s="3" t="s">
        <v>139</v>
      </c>
      <c r="B6" s="15">
        <f>IF(Eligibilité_projet!B10="",0,VLOOKUP(Eligibilité_projet!B10,'(ne pas modifier) BDD_REF'!$A$195:$B$204,2,FALSE)/1000)</f>
        <v>0</v>
      </c>
      <c r="C6" s="15">
        <f>IF(Eligibilité_projet!C10="",0,VLOOKUP(Eligibilité_projet!C10,'(ne pas modifier) BDD_REF'!$A$195:$B$204,2,FALSE)/1000)</f>
        <v>0</v>
      </c>
      <c r="D6" s="15">
        <f>IF(Eligibilité_projet!D10="",0,VLOOKUP(Eligibilité_projet!D10,'(ne pas modifier) BDD_REF'!$A$195:$B$204,2,FALSE)/1000)</f>
        <v>0</v>
      </c>
      <c r="E6" s="15">
        <f>IF(Eligibilité_projet!E10="",0,VLOOKUP(Eligibilité_projet!E10,'(ne pas modifier) BDD_REF'!$A$195:$B$204,2,FALSE)/1000)</f>
        <v>0</v>
      </c>
      <c r="F6" s="15">
        <f>IF(Eligibilité_projet!F10="",0,VLOOKUP(Eligibilité_projet!F10,'(ne pas modifier) BDD_REF'!$A$195:$B$204,2,FALSE)/1000)</f>
        <v>0</v>
      </c>
      <c r="G6" s="15">
        <f>IF(Eligibilité_projet!G10="",0,VLOOKUP(Eligibilité_projet!G10,'(ne pas modifier) BDD_REF'!$A$195:$B$204,2,FALSE)/1000)</f>
        <v>0</v>
      </c>
      <c r="H6" s="15">
        <f>IF(Eligibilité_projet!H10="",0,VLOOKUP(Eligibilité_projet!H10,'(ne pas modifier) BDD_REF'!$A$195:$B$204,2,FALSE)/1000)</f>
        <v>0</v>
      </c>
      <c r="I6" s="15">
        <f>IF(Eligibilité_projet!I10="",0,VLOOKUP(Eligibilité_projet!I10,'(ne pas modifier) BDD_REF'!$A$195:$B$204,2,FALSE)/1000)</f>
        <v>0</v>
      </c>
      <c r="J6" s="15">
        <f>IF(Eligibilité_projet!J10="",0,VLOOKUP(Eligibilité_projet!J10,'(ne pas modifier) BDD_REF'!$A$195:$B$204,2,FALSE)/1000)</f>
        <v>0</v>
      </c>
      <c r="K6" s="15">
        <f>IF(Eligibilité_projet!K10="",0,VLOOKUP(Eligibilité_projet!K10,'(ne pas modifier) BDD_REF'!$A$195:$B$204,2,FALSE)/1000)</f>
        <v>0</v>
      </c>
      <c r="L6" s="15">
        <f>SUM(B6:K6)</f>
        <v>0</v>
      </c>
      <c r="M6" s="2"/>
      <c r="N6" s="2"/>
    </row>
    <row r="7" spans="1:14" x14ac:dyDescent="0.3">
      <c r="A7" s="3" t="s">
        <v>223</v>
      </c>
      <c r="B7" s="15">
        <f>IF(OR('RECeff + REIamont (1)'!B5="pas de calcul possible",'RECeff + REIamont (1)'!B6="pas de calcul possible"),"pas de calcul possible",('RECeff + REIamont (1)'!B6-'RECeff + REIamont (1)'!B5)*5*Eligibilité_projet!B8)</f>
        <v>-39.878964149179993</v>
      </c>
      <c r="C7" s="15">
        <f>IF(OR('RECeff + REIamont (1)'!C5="pas de calcul possible",'RECeff + REIamont (1)'!C6="pas de calcul possible"),"pas de calcul possible",('RECeff + REIamont (1)'!C6-'RECeff + REIamont (1)'!C5)*5*Eligibilité_projet!C8)</f>
        <v>-12.719751436433135</v>
      </c>
      <c r="D7" s="15">
        <f>IF(OR('RECeff + REIamont (1)'!D5="pas de calcul possible",'RECeff + REIamont (1)'!D6="pas de calcul possible"),"pas de calcul possible",('RECeff + REIamont (1)'!D6-'RECeff + REIamont (1)'!D5)*5*Eligibilité_projet!D8)</f>
        <v>0</v>
      </c>
      <c r="E7" s="15">
        <f>IF(OR('RECeff + REIamont (1)'!E5="pas de calcul possible",'RECeff + REIamont (1)'!E6="pas de calcul possible"),"pas de calcul possible",('RECeff + REIamont (1)'!E6-'RECeff + REIamont (1)'!E5)*5*Eligibilité_projet!E8)</f>
        <v>0</v>
      </c>
      <c r="F7" s="15">
        <f>IF(OR('RECeff + REIamont (1)'!F5="pas de calcul possible",'RECeff + REIamont (1)'!F6="pas de calcul possible"),"pas de calcul possible",('RECeff + REIamont (1)'!F6-'RECeff + REIamont (1)'!F5)*5*Eligibilité_projet!F8)</f>
        <v>0</v>
      </c>
      <c r="G7" s="15">
        <f>IF(OR('RECeff + REIamont (1)'!G5="pas de calcul possible",'RECeff + REIamont (1)'!G6="pas de calcul possible"),"pas de calcul possible",('RECeff + REIamont (1)'!G6-'RECeff + REIamont (1)'!G5)*5*Eligibilité_projet!G8)</f>
        <v>0</v>
      </c>
      <c r="H7" s="15">
        <f>IF(OR('RECeff + REIamont (1)'!H5="pas de calcul possible",'RECeff + REIamont (1)'!H6="pas de calcul possible"),"pas de calcul possible",('RECeff + REIamont (1)'!H6-'RECeff + REIamont (1)'!H5)*5*Eligibilité_projet!H8)</f>
        <v>0</v>
      </c>
      <c r="I7" s="15">
        <f>IF(OR('RECeff + REIamont (1)'!I5="pas de calcul possible",'RECeff + REIamont (1)'!I6="pas de calcul possible"),"pas de calcul possible",('RECeff + REIamont (1)'!I6-'RECeff + REIamont (1)'!I5)*5*Eligibilité_projet!I8)</f>
        <v>0</v>
      </c>
      <c r="J7" s="15">
        <f>IF(OR('RECeff + REIamont (1)'!J5="pas de calcul possible",'RECeff + REIamont (1)'!J6="pas de calcul possible"),"pas de calcul possible",('RECeff + REIamont (1)'!J6-'RECeff + REIamont (1)'!J5)*5*Eligibilité_projet!J8)</f>
        <v>0</v>
      </c>
      <c r="K7" s="15">
        <f>IF(OR('RECeff + REIamont (1)'!K5="pas de calcul possible",'RECeff + REIamont (1)'!K6="pas de calcul possible"),"pas de calcul possible",('RECeff + REIamont (1)'!K6-'RECeff + REIamont (1)'!K5)*5*Eligibilité_projet!K8)</f>
        <v>0</v>
      </c>
      <c r="L7" s="15">
        <f>SUM(B7:K7)</f>
        <v>-52.598715585613128</v>
      </c>
      <c r="M7" s="2"/>
      <c r="N7" s="2"/>
    </row>
    <row r="8" spans="1:14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1:14" x14ac:dyDescent="0.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</sheetData>
  <sheetProtection algorithmName="SHA-512" hashValue="OxVy/cgT57ibl7kiEVambWzqEWzSMDXF3viTrMTQa0EFC4UCzs+QzDuYBDqAdCdEXNnpSq+Va/UZZxAKgSS2Xg==" saltValue="XZT3KEg+5KFZEbUB7TiYBw==" spinCount="100000" sheet="1" objects="1" scenarios="1"/>
  <mergeCells count="1">
    <mergeCell ref="A2:L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DD576"/>
  <sheetViews>
    <sheetView zoomScale="70" zoomScaleNormal="70" workbookViewId="0">
      <selection activeCell="D19" sqref="D19"/>
    </sheetView>
  </sheetViews>
  <sheetFormatPr baseColWidth="10" defaultColWidth="11.44140625" defaultRowHeight="14.4" x14ac:dyDescent="0.3"/>
  <cols>
    <col min="1" max="1" width="12.44140625" style="17" customWidth="1"/>
    <col min="2" max="2" width="53.88671875" customWidth="1"/>
    <col min="3" max="12" width="11.44140625" style="2"/>
    <col min="14" max="15" width="11.44140625" style="2"/>
    <col min="109" max="16384" width="11.44140625" style="2"/>
  </cols>
  <sheetData>
    <row r="2" spans="1:15" ht="36.6" customHeight="1" x14ac:dyDescent="0.3">
      <c r="B2" s="111" t="s">
        <v>336</v>
      </c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3"/>
    </row>
    <row r="4" spans="1:15" customFormat="1" ht="28.95" customHeight="1" x14ac:dyDescent="0.3"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18</v>
      </c>
      <c r="M4" s="14" t="s">
        <v>151</v>
      </c>
      <c r="N4" s="2"/>
      <c r="O4" s="2"/>
    </row>
    <row r="5" spans="1:15" customFormat="1" x14ac:dyDescent="0.3">
      <c r="A5" s="17"/>
      <c r="B5" s="3" t="s">
        <v>145</v>
      </c>
      <c r="C5" s="39">
        <f>IF(OR(Eligibilité_projet!B19="",Eligibilité_projet!B18="",Eligibilité_projet!B17=""),0,(VLOOKUP(Eligibilité_projet!B19,'(ne pas modifier) BDD_REF'!$A$137:$B$192,2,FALSE)+VLOOKUP(Eligibilité_projet!B18,'(ne pas modifier) BDD_REF'!$A$137:$B$192,2,FALSE)+VLOOKUP(Eligibilité_projet!B17,'(ne pas modifier) BDD_REF'!$A$137:$B$192,2,FALSE))/3/1000)</f>
        <v>2.3458214205400001</v>
      </c>
      <c r="D5" s="39">
        <f>IF(OR(Eligibilité_projet!C19="",Eligibilité_projet!C18="",Eligibilité_projet!C17=""),0,(VLOOKUP(Eligibilité_projet!C19,'(ne pas modifier) BDD_REF'!$A$137:$B$192,2,FALSE)+VLOOKUP(Eligibilité_projet!C18,'(ne pas modifier) BDD_REF'!$A$137:$B$192,2,FALSE)+VLOOKUP(Eligibilité_projet!C17,'(ne pas modifier) BDD_REF'!$A$137:$B$192,2,FALSE))/3/1000)</f>
        <v>2.6778424076701337</v>
      </c>
      <c r="E5" s="39">
        <f>IF(OR(Eligibilité_projet!D19="",Eligibilité_projet!D18="",Eligibilité_projet!D17=""),0,(VLOOKUP(Eligibilité_projet!D19,'(ne pas modifier) BDD_REF'!$A$137:$B$192,2,FALSE)+VLOOKUP(Eligibilité_projet!D18,'(ne pas modifier) BDD_REF'!$A$137:$B$192,2,FALSE)+VLOOKUP(Eligibilité_projet!D17,'(ne pas modifier) BDD_REF'!$A$137:$B$192,2,FALSE))/3/1000)</f>
        <v>0</v>
      </c>
      <c r="F5" s="39">
        <f>IF(OR(Eligibilité_projet!E19="",Eligibilité_projet!E18="",Eligibilité_projet!E17=""),0,(VLOOKUP(Eligibilité_projet!E19,'(ne pas modifier) BDD_REF'!$A$137:$B$192,2,FALSE)+VLOOKUP(Eligibilité_projet!E18,'(ne pas modifier) BDD_REF'!$A$137:$B$192,2,FALSE)+VLOOKUP(Eligibilité_projet!E17,'(ne pas modifier) BDD_REF'!$A$137:$B$192,2,FALSE))/3/1000)</f>
        <v>0</v>
      </c>
      <c r="G5" s="39">
        <f>IF(OR(Eligibilité_projet!F19="",Eligibilité_projet!F18="",Eligibilité_projet!F17=""),0,(VLOOKUP(Eligibilité_projet!F19,'(ne pas modifier) BDD_REF'!$A$137:$B$192,2,FALSE)+VLOOKUP(Eligibilité_projet!F18,'(ne pas modifier) BDD_REF'!$A$137:$B$192,2,FALSE)+VLOOKUP(Eligibilité_projet!F17,'(ne pas modifier) BDD_REF'!$A$137:$B$192,2,FALSE))/3/1000)</f>
        <v>0</v>
      </c>
      <c r="H5" s="39">
        <f>IF(OR(Eligibilité_projet!G19="",Eligibilité_projet!G18="",Eligibilité_projet!G17=""),0,(VLOOKUP(Eligibilité_projet!G19,'(ne pas modifier) BDD_REF'!$A$137:$B$192,2,FALSE)+VLOOKUP(Eligibilité_projet!G18,'(ne pas modifier) BDD_REF'!$A$137:$B$192,2,FALSE)+VLOOKUP(Eligibilité_projet!G17,'(ne pas modifier) BDD_REF'!$A$137:$B$192,2,FALSE))/3/1000)</f>
        <v>0</v>
      </c>
      <c r="I5" s="39">
        <f>IF(OR(Eligibilité_projet!H19="",Eligibilité_projet!H18="",Eligibilité_projet!H17=""),0,(VLOOKUP(Eligibilité_projet!H19,'(ne pas modifier) BDD_REF'!$A$137:$B$192,2,FALSE)+VLOOKUP(Eligibilité_projet!H18,'(ne pas modifier) BDD_REF'!$A$137:$B$192,2,FALSE)+VLOOKUP(Eligibilité_projet!H17,'(ne pas modifier) BDD_REF'!$A$137:$B$192,2,FALSE))/3/1000)</f>
        <v>0</v>
      </c>
      <c r="J5" s="39">
        <f>IF(OR(Eligibilité_projet!I19="",Eligibilité_projet!I18="",Eligibilité_projet!I17=""),0,(VLOOKUP(Eligibilité_projet!I19,'(ne pas modifier) BDD_REF'!$A$137:$B$192,2,FALSE)+VLOOKUP(Eligibilité_projet!I18,'(ne pas modifier) BDD_REF'!$A$137:$B$192,2,FALSE)+VLOOKUP(Eligibilité_projet!I17,'(ne pas modifier) BDD_REF'!$A$137:$B$192,2,FALSE))/3/1000)</f>
        <v>0</v>
      </c>
      <c r="K5" s="39">
        <f>IF(OR(Eligibilité_projet!J19="",Eligibilité_projet!J18="",Eligibilité_projet!J17=""),0,(VLOOKUP(Eligibilité_projet!J19,'(ne pas modifier) BDD_REF'!$A$137:$B$192,2,FALSE)+VLOOKUP(Eligibilité_projet!J18,'(ne pas modifier) BDD_REF'!$A$137:$B$192,2,FALSE)+VLOOKUP(Eligibilité_projet!J17,'(ne pas modifier) BDD_REF'!$A$137:$B$192,2,FALSE))/3/1000)</f>
        <v>0</v>
      </c>
      <c r="L5" s="39">
        <f>IF(OR(Eligibilité_projet!K19="",Eligibilité_projet!K18="",Eligibilité_projet!K17=""),0,(VLOOKUP(Eligibilité_projet!K19,'(ne pas modifier) BDD_REF'!$A$137:$B$192,2,FALSE)+VLOOKUP(Eligibilité_projet!K18,'(ne pas modifier) BDD_REF'!$A$137:$B$192,2,FALSE)+VLOOKUP(Eligibilité_projet!K17,'(ne pas modifier) BDD_REF'!$A$137:$B$192,2,FALSE))/3/1000)</f>
        <v>0</v>
      </c>
      <c r="M5" s="39">
        <f>SUM(C5:L5)</f>
        <v>5.0236638282101342</v>
      </c>
      <c r="N5" s="2"/>
      <c r="O5" s="2"/>
    </row>
    <row r="6" spans="1:15" customFormat="1" x14ac:dyDescent="0.3">
      <c r="A6" s="17"/>
      <c r="N6" s="2"/>
      <c r="O6" s="2"/>
    </row>
    <row r="7" spans="1:15" x14ac:dyDescent="0.3">
      <c r="A7" s="13" t="s">
        <v>146</v>
      </c>
      <c r="B7" s="7" t="s">
        <v>312</v>
      </c>
      <c r="C7" s="80">
        <v>20</v>
      </c>
      <c r="D7" s="80">
        <v>20</v>
      </c>
      <c r="E7" s="80"/>
      <c r="F7" s="80"/>
      <c r="G7" s="80"/>
      <c r="H7" s="80"/>
      <c r="I7" s="80"/>
      <c r="J7" s="80"/>
      <c r="K7" s="80"/>
      <c r="L7" s="80"/>
      <c r="M7" s="39">
        <f t="shared" ref="M7:M38" si="0">SUM(C7:L7)</f>
        <v>40</v>
      </c>
    </row>
    <row r="8" spans="1:15" x14ac:dyDescent="0.3">
      <c r="B8" s="7" t="s">
        <v>313</v>
      </c>
      <c r="C8" s="80"/>
      <c r="D8" s="80"/>
      <c r="E8" s="80"/>
      <c r="F8" s="80"/>
      <c r="G8" s="80"/>
      <c r="H8" s="80"/>
      <c r="I8" s="80"/>
      <c r="J8" s="80"/>
      <c r="K8" s="80"/>
      <c r="L8" s="80"/>
      <c r="M8" s="39">
        <f t="shared" si="0"/>
        <v>0</v>
      </c>
    </row>
    <row r="9" spans="1:15" x14ac:dyDescent="0.3">
      <c r="B9" s="7" t="s">
        <v>314</v>
      </c>
      <c r="C9" s="80"/>
      <c r="D9" s="80"/>
      <c r="E9" s="80"/>
      <c r="F9" s="80"/>
      <c r="G9" s="80"/>
      <c r="H9" s="80"/>
      <c r="I9" s="80"/>
      <c r="J9" s="80"/>
      <c r="K9" s="80"/>
      <c r="L9" s="80"/>
      <c r="M9" s="39">
        <f t="shared" si="0"/>
        <v>0</v>
      </c>
    </row>
    <row r="10" spans="1:15" x14ac:dyDescent="0.3">
      <c r="B10" s="19" t="s">
        <v>328</v>
      </c>
      <c r="C10" s="39">
        <f>C7*'(ne pas modifier) BDD_REF'!$B$207 + (C8+C9)*'(ne pas modifier) BDD_REF'!$B$208</f>
        <v>0.32</v>
      </c>
      <c r="D10" s="39">
        <f>D7*'(ne pas modifier) BDD_REF'!$B$207 + (D8+D9)*'(ne pas modifier) BDD_REF'!$B$208</f>
        <v>0.32</v>
      </c>
      <c r="E10" s="39">
        <f>E7*'(ne pas modifier) BDD_REF'!$B$207 + (E8+E9)*'(ne pas modifier) BDD_REF'!$B$208</f>
        <v>0</v>
      </c>
      <c r="F10" s="39">
        <f>F7*'(ne pas modifier) BDD_REF'!$B$207 + (F8+F9)*'(ne pas modifier) BDD_REF'!$B$208</f>
        <v>0</v>
      </c>
      <c r="G10" s="39">
        <f>G7*'(ne pas modifier) BDD_REF'!$B$207 + (G8+G9)*'(ne pas modifier) BDD_REF'!$B$208</f>
        <v>0</v>
      </c>
      <c r="H10" s="39">
        <f>H7*'(ne pas modifier) BDD_REF'!$B$207 + (H8+H9)*'(ne pas modifier) BDD_REF'!$B$208</f>
        <v>0</v>
      </c>
      <c r="I10" s="39">
        <f>I7*'(ne pas modifier) BDD_REF'!$B$207 + (I8+I9)*'(ne pas modifier) BDD_REF'!$B$208</f>
        <v>0</v>
      </c>
      <c r="J10" s="39">
        <f>J7*'(ne pas modifier) BDD_REF'!$B$207 + (J8+J9)*'(ne pas modifier) BDD_REF'!$B$208</f>
        <v>0</v>
      </c>
      <c r="K10" s="39">
        <f>K7*'(ne pas modifier) BDD_REF'!$B$207 + (K8+K9)*'(ne pas modifier) BDD_REF'!$B$208</f>
        <v>0</v>
      </c>
      <c r="L10" s="39">
        <f>L7*'(ne pas modifier) BDD_REF'!$B$207 + (L8+L9)*'(ne pas modifier) BDD_REF'!$B$208</f>
        <v>0</v>
      </c>
      <c r="M10" s="39">
        <f t="shared" si="0"/>
        <v>0.64</v>
      </c>
    </row>
    <row r="11" spans="1:15" x14ac:dyDescent="0.3">
      <c r="B11" s="19" t="s">
        <v>329</v>
      </c>
      <c r="C11" s="39">
        <f>((C7*'(ne pas modifier) BDD_REF'!$B$220)+('RECeff + REIamont (2)'!C8+'RECeff + REIamont (2)'!C9)*'(ne pas modifier) BDD_REF'!$B$221)*'(ne pas modifier) BDD_REF'!$B$209</f>
        <v>2.2000000000000002E-2</v>
      </c>
      <c r="D11" s="39">
        <f>((D7*'(ne pas modifier) BDD_REF'!$B$220)+('RECeff + REIamont (2)'!D8+'RECeff + REIamont (2)'!D9)*'(ne pas modifier) BDD_REF'!$B$221)*'(ne pas modifier) BDD_REF'!$B$209</f>
        <v>2.2000000000000002E-2</v>
      </c>
      <c r="E11" s="39">
        <f>((E7*'(ne pas modifier) BDD_REF'!$B$220)+('RECeff + REIamont (2)'!E8+'RECeff + REIamont (2)'!E9)*'(ne pas modifier) BDD_REF'!$B$221)*'(ne pas modifier) BDD_REF'!$B$209</f>
        <v>0</v>
      </c>
      <c r="F11" s="39">
        <f>((F7*'(ne pas modifier) BDD_REF'!$B$220)+('RECeff + REIamont (2)'!F8+'RECeff + REIamont (2)'!F9)*'(ne pas modifier) BDD_REF'!$B$221)*'(ne pas modifier) BDD_REF'!$B$209</f>
        <v>0</v>
      </c>
      <c r="G11" s="39">
        <f>((G7*'(ne pas modifier) BDD_REF'!$B$220)+('RECeff + REIamont (2)'!G8+'RECeff + REIamont (2)'!G9)*'(ne pas modifier) BDD_REF'!$B$221)*'(ne pas modifier) BDD_REF'!$B$209</f>
        <v>0</v>
      </c>
      <c r="H11" s="39">
        <f>((H7*'(ne pas modifier) BDD_REF'!$B$220)+('RECeff + REIamont (2)'!H8+'RECeff + REIamont (2)'!H9)*'(ne pas modifier) BDD_REF'!$B$221)*'(ne pas modifier) BDD_REF'!$B$209</f>
        <v>0</v>
      </c>
      <c r="I11" s="39">
        <f>((I7*'(ne pas modifier) BDD_REF'!$B$220)+('RECeff + REIamont (2)'!I8+'RECeff + REIamont (2)'!I9)*'(ne pas modifier) BDD_REF'!$B$221)*'(ne pas modifier) BDD_REF'!$B$209</f>
        <v>0</v>
      </c>
      <c r="J11" s="39">
        <f>((J7*'(ne pas modifier) BDD_REF'!$B$220)+('RECeff + REIamont (2)'!J8+'RECeff + REIamont (2)'!J9)*'(ne pas modifier) BDD_REF'!$B$221)*'(ne pas modifier) BDD_REF'!$B$209</f>
        <v>0</v>
      </c>
      <c r="K11" s="39">
        <f>((K7*'(ne pas modifier) BDD_REF'!$B$220)+('RECeff + REIamont (2)'!K8+'RECeff + REIamont (2)'!K9)*'(ne pas modifier) BDD_REF'!$B$221)*'(ne pas modifier) BDD_REF'!$B$209</f>
        <v>0</v>
      </c>
      <c r="L11" s="39">
        <f>((L7*'(ne pas modifier) BDD_REF'!$B$220)+('RECeff + REIamont (2)'!L8+'RECeff + REIamont (2)'!L9)*'(ne pas modifier) BDD_REF'!$B$221)*'(ne pas modifier) BDD_REF'!$B$209</f>
        <v>0</v>
      </c>
      <c r="M11" s="39">
        <f t="shared" si="0"/>
        <v>4.4000000000000004E-2</v>
      </c>
    </row>
    <row r="12" spans="1:15" x14ac:dyDescent="0.3">
      <c r="B12" s="19" t="s">
        <v>330</v>
      </c>
      <c r="C12" s="39">
        <f>(C7+C8+C9)*'(ne pas modifier) BDD_REF'!$B$222*'(ne pas modifier) BDD_REF'!$B$210</f>
        <v>5.2799999999999993E-2</v>
      </c>
      <c r="D12" s="39">
        <f>(D7+D8+D9)*'(ne pas modifier) BDD_REF'!$B$222*'(ne pas modifier) BDD_REF'!$B$210</f>
        <v>5.2799999999999993E-2</v>
      </c>
      <c r="E12" s="39">
        <f>(E7+E8+E9)*'(ne pas modifier) BDD_REF'!$B$222*'(ne pas modifier) BDD_REF'!$B$210</f>
        <v>0</v>
      </c>
      <c r="F12" s="39">
        <f>(F7+F8+F9)*'(ne pas modifier) BDD_REF'!$B$222*'(ne pas modifier) BDD_REF'!$B$210</f>
        <v>0</v>
      </c>
      <c r="G12" s="39">
        <f>(G7+G8+G9)*'(ne pas modifier) BDD_REF'!$B$222*'(ne pas modifier) BDD_REF'!$B$210</f>
        <v>0</v>
      </c>
      <c r="H12" s="39">
        <f>(H7+H8+H9)*'(ne pas modifier) BDD_REF'!$B$222*'(ne pas modifier) BDD_REF'!$B$210</f>
        <v>0</v>
      </c>
      <c r="I12" s="39">
        <f>(I7+I8+I9)*'(ne pas modifier) BDD_REF'!$B$222*'(ne pas modifier) BDD_REF'!$B$210</f>
        <v>0</v>
      </c>
      <c r="J12" s="39">
        <f>(J7+J8+J9)*'(ne pas modifier) BDD_REF'!$B$222*'(ne pas modifier) BDD_REF'!$B$210</f>
        <v>0</v>
      </c>
      <c r="K12" s="39">
        <f>(K7+K8+K9)*'(ne pas modifier) BDD_REF'!$B$222*'(ne pas modifier) BDD_REF'!$B$210</f>
        <v>0</v>
      </c>
      <c r="L12" s="39">
        <f>(L7+L8+L9)*'(ne pas modifier) BDD_REF'!$B$222*'(ne pas modifier) BDD_REF'!$B$210</f>
        <v>0</v>
      </c>
      <c r="M12" s="39">
        <f t="shared" si="0"/>
        <v>0.10559999999999999</v>
      </c>
    </row>
    <row r="13" spans="1:15" x14ac:dyDescent="0.3">
      <c r="B13" s="7" t="s">
        <v>315</v>
      </c>
      <c r="C13" s="80"/>
      <c r="D13" s="80"/>
      <c r="E13" s="80"/>
      <c r="F13" s="80"/>
      <c r="G13" s="80"/>
      <c r="H13" s="80"/>
      <c r="I13" s="80"/>
      <c r="J13" s="80"/>
      <c r="K13" s="80"/>
      <c r="L13" s="80"/>
      <c r="M13" s="39">
        <f t="shared" si="0"/>
        <v>0</v>
      </c>
    </row>
    <row r="14" spans="1:15" x14ac:dyDescent="0.3">
      <c r="B14" s="7" t="s">
        <v>316</v>
      </c>
      <c r="C14" s="80">
        <v>63</v>
      </c>
      <c r="D14" s="80">
        <v>63</v>
      </c>
      <c r="E14" s="80"/>
      <c r="F14" s="80"/>
      <c r="G14" s="80"/>
      <c r="H14" s="80"/>
      <c r="I14" s="80"/>
      <c r="J14" s="80"/>
      <c r="K14" s="80"/>
      <c r="L14" s="80"/>
      <c r="M14" s="39">
        <f t="shared" si="0"/>
        <v>126</v>
      </c>
    </row>
    <row r="15" spans="1:15" x14ac:dyDescent="0.3">
      <c r="B15" s="7" t="s">
        <v>317</v>
      </c>
      <c r="C15" s="80"/>
      <c r="D15" s="80"/>
      <c r="E15" s="80"/>
      <c r="F15" s="80"/>
      <c r="G15" s="80"/>
      <c r="H15" s="80"/>
      <c r="I15" s="80"/>
      <c r="J15" s="80"/>
      <c r="K15" s="80"/>
      <c r="L15" s="80"/>
      <c r="M15" s="39">
        <f t="shared" si="0"/>
        <v>0</v>
      </c>
    </row>
    <row r="16" spans="1:15" x14ac:dyDescent="0.3">
      <c r="B16" s="7" t="s">
        <v>318</v>
      </c>
      <c r="C16" s="80">
        <v>0</v>
      </c>
      <c r="D16" s="80">
        <v>0</v>
      </c>
      <c r="E16" s="80"/>
      <c r="F16" s="80"/>
      <c r="G16" s="80"/>
      <c r="H16" s="80"/>
      <c r="I16" s="80"/>
      <c r="J16" s="80"/>
      <c r="K16" s="80"/>
      <c r="L16" s="80"/>
      <c r="M16" s="39">
        <f t="shared" si="0"/>
        <v>0</v>
      </c>
    </row>
    <row r="17" spans="1:108" x14ac:dyDescent="0.3">
      <c r="B17" s="7" t="s">
        <v>319</v>
      </c>
      <c r="C17" s="80">
        <v>0</v>
      </c>
      <c r="D17" s="80">
        <v>0</v>
      </c>
      <c r="E17" s="80"/>
      <c r="F17" s="80"/>
      <c r="G17" s="80"/>
      <c r="H17" s="80"/>
      <c r="I17" s="80"/>
      <c r="J17" s="80"/>
      <c r="K17" s="80"/>
      <c r="L17" s="80"/>
      <c r="M17" s="39">
        <f t="shared" si="0"/>
        <v>0</v>
      </c>
    </row>
    <row r="18" spans="1:108" x14ac:dyDescent="0.3">
      <c r="B18" s="7" t="s">
        <v>320</v>
      </c>
      <c r="C18" s="80">
        <v>0</v>
      </c>
      <c r="D18" s="80">
        <v>0</v>
      </c>
      <c r="E18" s="80"/>
      <c r="F18" s="80"/>
      <c r="G18" s="80"/>
      <c r="H18" s="80"/>
      <c r="I18" s="80"/>
      <c r="J18" s="80"/>
      <c r="K18" s="80"/>
      <c r="L18" s="80"/>
      <c r="M18" s="39">
        <f t="shared" si="0"/>
        <v>0</v>
      </c>
    </row>
    <row r="19" spans="1:108" x14ac:dyDescent="0.3">
      <c r="B19" s="3" t="s">
        <v>173</v>
      </c>
      <c r="C19" s="39">
        <f>(C13*'(ne pas modifier) BDD_REF'!$C$225+'RECeff + REIamont (2)'!C14*'(ne pas modifier) BDD_REF'!$C$226+'RECeff + REIamont (2)'!C15*'(ne pas modifier) BDD_REF'!$C$227+'RECeff + REIamont (2)'!C16*'(ne pas modifier) BDD_REF'!$C$228+'RECeff + REIamont (2)'!C17*'(ne pas modifier) BDD_REF'!$C$229+'RECeff + REIamont (2)'!C18*'(ne pas modifier) BDD_REF'!$C$230)/1000</f>
        <v>0.19347299999999998</v>
      </c>
      <c r="D19" s="39">
        <f>(D13*'(ne pas modifier) BDD_REF'!$C$225+'RECeff + REIamont (2)'!D14*'(ne pas modifier) BDD_REF'!$C$226+'RECeff + REIamont (2)'!D15*'(ne pas modifier) BDD_REF'!$C$227+'RECeff + REIamont (2)'!D16*'(ne pas modifier) BDD_REF'!$C$228+'RECeff + REIamont (2)'!D17*'(ne pas modifier) BDD_REF'!$C$229+'RECeff + REIamont (2)'!D18*'(ne pas modifier) BDD_REF'!$C$230)/1000</f>
        <v>0.19347299999999998</v>
      </c>
      <c r="E19" s="39">
        <f>(E13*'(ne pas modifier) BDD_REF'!$C$225+'RECeff + REIamont (2)'!E14*'(ne pas modifier) BDD_REF'!$C$226+'RECeff + REIamont (2)'!E15*'(ne pas modifier) BDD_REF'!$C$227+'RECeff + REIamont (2)'!E16*'(ne pas modifier) BDD_REF'!$C$228+'RECeff + REIamont (2)'!E17*'(ne pas modifier) BDD_REF'!$C$229+'RECeff + REIamont (2)'!E18*'(ne pas modifier) BDD_REF'!$C$230)/1000</f>
        <v>0</v>
      </c>
      <c r="F19" s="39">
        <f>(F13*'(ne pas modifier) BDD_REF'!$C$225+'RECeff + REIamont (2)'!F14*'(ne pas modifier) BDD_REF'!$C$226+'RECeff + REIamont (2)'!F15*'(ne pas modifier) BDD_REF'!$C$227+'RECeff + REIamont (2)'!F16*'(ne pas modifier) BDD_REF'!$C$228+'RECeff + REIamont (2)'!F17*'(ne pas modifier) BDD_REF'!$C$229+'RECeff + REIamont (2)'!F18*'(ne pas modifier) BDD_REF'!$C$230)/1000</f>
        <v>0</v>
      </c>
      <c r="G19" s="39">
        <f>(G13*'(ne pas modifier) BDD_REF'!$C$225+'RECeff + REIamont (2)'!G14*'(ne pas modifier) BDD_REF'!$C$226+'RECeff + REIamont (2)'!G15*'(ne pas modifier) BDD_REF'!$C$227+'RECeff + REIamont (2)'!G16*'(ne pas modifier) BDD_REF'!$C$228+'RECeff + REIamont (2)'!G17*'(ne pas modifier) BDD_REF'!$C$229+'RECeff + REIamont (2)'!G18*'(ne pas modifier) BDD_REF'!$C$230)/1000</f>
        <v>0</v>
      </c>
      <c r="H19" s="39">
        <f>(H13*'(ne pas modifier) BDD_REF'!$C$225+'RECeff + REIamont (2)'!H14*'(ne pas modifier) BDD_REF'!$C$226+'RECeff + REIamont (2)'!H15*'(ne pas modifier) BDD_REF'!$C$227+'RECeff + REIamont (2)'!H16*'(ne pas modifier) BDD_REF'!$C$228+'RECeff + REIamont (2)'!H17*'(ne pas modifier) BDD_REF'!$C$229+'RECeff + REIamont (2)'!H18*'(ne pas modifier) BDD_REF'!$C$230)/1000</f>
        <v>0</v>
      </c>
      <c r="I19" s="39">
        <f>(I13*'(ne pas modifier) BDD_REF'!$C$225+'RECeff + REIamont (2)'!I14*'(ne pas modifier) BDD_REF'!$C$226+'RECeff + REIamont (2)'!I15*'(ne pas modifier) BDD_REF'!$C$227+'RECeff + REIamont (2)'!I16*'(ne pas modifier) BDD_REF'!$C$228+'RECeff + REIamont (2)'!I17*'(ne pas modifier) BDD_REF'!$C$229+'RECeff + REIamont (2)'!I18*'(ne pas modifier) BDD_REF'!$C$230)/1000</f>
        <v>0</v>
      </c>
      <c r="J19" s="39">
        <f>(J13*'(ne pas modifier) BDD_REF'!$C$225+'RECeff + REIamont (2)'!J14*'(ne pas modifier) BDD_REF'!$C$226+'RECeff + REIamont (2)'!J15*'(ne pas modifier) BDD_REF'!$C$227+'RECeff + REIamont (2)'!J16*'(ne pas modifier) BDD_REF'!$C$228+'RECeff + REIamont (2)'!J17*'(ne pas modifier) BDD_REF'!$C$229+'RECeff + REIamont (2)'!J18*'(ne pas modifier) BDD_REF'!$C$230)/1000</f>
        <v>0</v>
      </c>
      <c r="K19" s="39">
        <f>(K13*'(ne pas modifier) BDD_REF'!$C$225+'RECeff + REIamont (2)'!K14*'(ne pas modifier) BDD_REF'!$C$226+'RECeff + REIamont (2)'!K15*'(ne pas modifier) BDD_REF'!$C$227+'RECeff + REIamont (2)'!K16*'(ne pas modifier) BDD_REF'!$C$228+'RECeff + REIamont (2)'!K17*'(ne pas modifier) BDD_REF'!$C$229+'RECeff + REIamont (2)'!K18*'(ne pas modifier) BDD_REF'!$C$230)/1000</f>
        <v>0</v>
      </c>
      <c r="L19" s="39">
        <f>(L13*'(ne pas modifier) BDD_REF'!$C$225+'RECeff + REIamont (2)'!L14*'(ne pas modifier) BDD_REF'!$C$226+'RECeff + REIamont (2)'!L15*'(ne pas modifier) BDD_REF'!$C$227+'RECeff + REIamont (2)'!L16*'(ne pas modifier) BDD_REF'!$C$228+'RECeff + REIamont (2)'!L17*'(ne pas modifier) BDD_REF'!$C$229+'RECeff + REIamont (2)'!L18*'(ne pas modifier) BDD_REF'!$C$230)/1000</f>
        <v>0</v>
      </c>
      <c r="M19" s="39">
        <f t="shared" si="0"/>
        <v>0.38694599999999996</v>
      </c>
    </row>
    <row r="20" spans="1:108" x14ac:dyDescent="0.3">
      <c r="B20" s="7" t="s">
        <v>321</v>
      </c>
      <c r="C20" s="80">
        <v>75</v>
      </c>
      <c r="D20" s="80">
        <v>75</v>
      </c>
      <c r="E20" s="80"/>
      <c r="F20" s="80"/>
      <c r="G20" s="80"/>
      <c r="H20" s="80"/>
      <c r="I20" s="80"/>
      <c r="J20" s="80"/>
      <c r="K20" s="80"/>
      <c r="L20" s="80"/>
      <c r="M20" s="39">
        <f t="shared" si="0"/>
        <v>150</v>
      </c>
    </row>
    <row r="21" spans="1:108" x14ac:dyDescent="0.3">
      <c r="B21" s="3" t="s">
        <v>184</v>
      </c>
      <c r="C21" s="39">
        <f>(C20*'(ne pas modifier) BDD_REF'!$B$211)/1000</f>
        <v>4.2750000000000002E-3</v>
      </c>
      <c r="D21" s="39">
        <f>(D20*'(ne pas modifier) BDD_REF'!$B$211)/1000</f>
        <v>4.2750000000000002E-3</v>
      </c>
      <c r="E21" s="39">
        <f>(E20*'(ne pas modifier) BDD_REF'!$B$211)/1000</f>
        <v>0</v>
      </c>
      <c r="F21" s="39">
        <f>(F20*'(ne pas modifier) BDD_REF'!$B$211)/1000</f>
        <v>0</v>
      </c>
      <c r="G21" s="39">
        <f>(G20*'(ne pas modifier) BDD_REF'!$B$211)/1000</f>
        <v>0</v>
      </c>
      <c r="H21" s="39">
        <f>(H20*'(ne pas modifier) BDD_REF'!$B$211)/1000</f>
        <v>0</v>
      </c>
      <c r="I21" s="39">
        <f>(I20*'(ne pas modifier) BDD_REF'!$B$211)/1000</f>
        <v>0</v>
      </c>
      <c r="J21" s="39">
        <f>(J20*'(ne pas modifier) BDD_REF'!$B$211)/1000</f>
        <v>0</v>
      </c>
      <c r="K21" s="39">
        <f>(K20*'(ne pas modifier) BDD_REF'!$B$211)/1000</f>
        <v>0</v>
      </c>
      <c r="L21" s="39">
        <f>(L20*'(ne pas modifier) BDD_REF'!$B$211)/1000</f>
        <v>0</v>
      </c>
      <c r="M21" s="39">
        <f t="shared" si="0"/>
        <v>8.5500000000000003E-3</v>
      </c>
    </row>
    <row r="22" spans="1:108" s="16" customFormat="1" x14ac:dyDescent="0.3">
      <c r="A22" s="18"/>
      <c r="B22" s="19" t="s">
        <v>185</v>
      </c>
      <c r="C22" s="81">
        <f>C19+C21</f>
        <v>0.19774799999999998</v>
      </c>
      <c r="D22" s="81">
        <f t="shared" ref="D22:L22" si="1">D19+D21</f>
        <v>0.19774799999999998</v>
      </c>
      <c r="E22" s="81">
        <f t="shared" si="1"/>
        <v>0</v>
      </c>
      <c r="F22" s="81">
        <f t="shared" si="1"/>
        <v>0</v>
      </c>
      <c r="G22" s="81">
        <f t="shared" si="1"/>
        <v>0</v>
      </c>
      <c r="H22" s="81">
        <f t="shared" si="1"/>
        <v>0</v>
      </c>
      <c r="I22" s="81">
        <f t="shared" si="1"/>
        <v>0</v>
      </c>
      <c r="J22" s="81">
        <f t="shared" si="1"/>
        <v>0</v>
      </c>
      <c r="K22" s="81">
        <f t="shared" si="1"/>
        <v>0</v>
      </c>
      <c r="L22" s="81">
        <f t="shared" si="1"/>
        <v>0</v>
      </c>
      <c r="M22" s="39">
        <f t="shared" si="0"/>
        <v>0.39549599999999996</v>
      </c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23"/>
      <c r="AS22" s="23"/>
      <c r="AT22" s="23"/>
      <c r="AU22" s="23"/>
      <c r="AV22" s="23"/>
      <c r="AW22" s="23"/>
      <c r="AX22" s="23"/>
      <c r="AY22" s="23"/>
      <c r="AZ22" s="23"/>
      <c r="BA22" s="23"/>
      <c r="BB22" s="23"/>
      <c r="BC22" s="23"/>
      <c r="BD22" s="23"/>
      <c r="BE22" s="23"/>
      <c r="BF22" s="23"/>
      <c r="BG22" s="23"/>
      <c r="BH22" s="23"/>
      <c r="BI22" s="23"/>
      <c r="BJ22" s="23"/>
      <c r="BK22" s="23"/>
      <c r="BL22" s="23"/>
      <c r="BM22" s="23"/>
      <c r="BN22" s="23"/>
      <c r="BO22" s="23"/>
      <c r="BP22" s="23"/>
      <c r="BQ22" s="23"/>
      <c r="BR22" s="23"/>
      <c r="BS22" s="23"/>
      <c r="BT22" s="23"/>
      <c r="BU22" s="23"/>
      <c r="BV22" s="23"/>
      <c r="BW22" s="23"/>
      <c r="BX22" s="23"/>
      <c r="BY22" s="23"/>
      <c r="BZ22" s="23"/>
      <c r="CA22" s="23"/>
      <c r="CB22" s="23"/>
      <c r="CC22" s="23"/>
      <c r="CD22" s="23"/>
      <c r="CE22" s="23"/>
      <c r="CF22" s="23"/>
      <c r="CG22" s="23"/>
      <c r="CH22" s="23"/>
      <c r="CI22" s="23"/>
      <c r="CJ22" s="23"/>
      <c r="CK22" s="23"/>
      <c r="CL22" s="23"/>
      <c r="CM22" s="23"/>
      <c r="CN22" s="23"/>
      <c r="CO22" s="23"/>
      <c r="CP22" s="23"/>
      <c r="CQ22" s="23"/>
      <c r="CR22" s="23"/>
      <c r="CS22" s="23"/>
      <c r="CT22" s="23"/>
      <c r="CU22" s="23"/>
      <c r="CV22" s="23"/>
      <c r="CW22" s="23"/>
      <c r="CX22" s="23"/>
      <c r="CY22" s="23"/>
      <c r="CZ22" s="23"/>
      <c r="DA22" s="23"/>
      <c r="DB22" s="23"/>
      <c r="DC22" s="23"/>
      <c r="DD22" s="23"/>
    </row>
    <row r="23" spans="1:108" x14ac:dyDescent="0.3">
      <c r="B23" s="7" t="s">
        <v>322</v>
      </c>
      <c r="C23" s="80">
        <v>23</v>
      </c>
      <c r="D23" s="80">
        <v>23</v>
      </c>
      <c r="E23" s="80"/>
      <c r="F23" s="80"/>
      <c r="G23" s="80"/>
      <c r="H23" s="80"/>
      <c r="I23" s="80"/>
      <c r="J23" s="80"/>
      <c r="K23" s="80"/>
      <c r="L23" s="80"/>
      <c r="M23" s="39">
        <f t="shared" si="0"/>
        <v>46</v>
      </c>
    </row>
    <row r="24" spans="1:108" x14ac:dyDescent="0.3">
      <c r="B24" s="7" t="s">
        <v>323</v>
      </c>
      <c r="C24" s="80">
        <v>0</v>
      </c>
      <c r="D24" s="80">
        <v>0</v>
      </c>
      <c r="E24" s="80"/>
      <c r="F24" s="80"/>
      <c r="G24" s="80"/>
      <c r="H24" s="80"/>
      <c r="I24" s="80"/>
      <c r="J24" s="80"/>
      <c r="K24" s="80"/>
      <c r="L24" s="80"/>
      <c r="M24" s="39">
        <f t="shared" si="0"/>
        <v>0</v>
      </c>
    </row>
    <row r="25" spans="1:108" x14ac:dyDescent="0.3">
      <c r="B25" s="3" t="s">
        <v>292</v>
      </c>
      <c r="C25" s="39">
        <f>(C7*'(ne pas modifier) BDD_REF'!$B$212+'RECeff + REIamont (2)'!C23*'(ne pas modifier) BDD_REF'!$B$213+'RECeff + REIamont (2)'!C24*'(ne pas modifier) BDD_REF'!$B$214)/1000</f>
        <v>0.12354999999999998</v>
      </c>
      <c r="D25" s="39">
        <f>(D7*'(ne pas modifier) BDD_REF'!$B$212+'RECeff + REIamont (2)'!D23*'(ne pas modifier) BDD_REF'!$B$213+'RECeff + REIamont (2)'!D24*'(ne pas modifier) BDD_REF'!$B$214)/1000</f>
        <v>0.12354999999999998</v>
      </c>
      <c r="E25" s="39">
        <f>(E7*'(ne pas modifier) BDD_REF'!$B$212+'RECeff + REIamont (2)'!E23*'(ne pas modifier) BDD_REF'!$B$213+'RECeff + REIamont (2)'!E24*'(ne pas modifier) BDD_REF'!$B$214)/1000</f>
        <v>0</v>
      </c>
      <c r="F25" s="39">
        <f>(F7*'(ne pas modifier) BDD_REF'!$B$212+'RECeff + REIamont (2)'!F23*'(ne pas modifier) BDD_REF'!$B$213+'RECeff + REIamont (2)'!F24*'(ne pas modifier) BDD_REF'!$B$214)/1000</f>
        <v>0</v>
      </c>
      <c r="G25" s="39">
        <f>(G7*'(ne pas modifier) BDD_REF'!$B$212+'RECeff + REIamont (2)'!G23*'(ne pas modifier) BDD_REF'!$B$213+'RECeff + REIamont (2)'!G24*'(ne pas modifier) BDD_REF'!$B$214)/1000</f>
        <v>0</v>
      </c>
      <c r="H25" s="39">
        <f>(H7*'(ne pas modifier) BDD_REF'!$B$212+'RECeff + REIamont (2)'!H23*'(ne pas modifier) BDD_REF'!$B$213+'RECeff + REIamont (2)'!H24*'(ne pas modifier) BDD_REF'!$B$214)/1000</f>
        <v>0</v>
      </c>
      <c r="I25" s="39">
        <f>(I7*'(ne pas modifier) BDD_REF'!$B$212+'RECeff + REIamont (2)'!I23*'(ne pas modifier) BDD_REF'!$B$213+'RECeff + REIamont (2)'!I24*'(ne pas modifier) BDD_REF'!$B$214)/1000</f>
        <v>0</v>
      </c>
      <c r="J25" s="39">
        <f>(J7*'(ne pas modifier) BDD_REF'!$B$212+'RECeff + REIamont (2)'!J23*'(ne pas modifier) BDD_REF'!$B$213+'RECeff + REIamont (2)'!J24*'(ne pas modifier) BDD_REF'!$B$214)/1000</f>
        <v>0</v>
      </c>
      <c r="K25" s="39">
        <f>(K7*'(ne pas modifier) BDD_REF'!$B$212+'RECeff + REIamont (2)'!K23*'(ne pas modifier) BDD_REF'!$B$213+'RECeff + REIamont (2)'!K24*'(ne pas modifier) BDD_REF'!$B$214)/1000</f>
        <v>0</v>
      </c>
      <c r="L25" s="39">
        <f>(L7*'(ne pas modifier) BDD_REF'!$B$212+'RECeff + REIamont (2)'!L23*'(ne pas modifier) BDD_REF'!$B$213+'RECeff + REIamont (2)'!L24*'(ne pas modifier) BDD_REF'!$B$214)/1000</f>
        <v>0</v>
      </c>
      <c r="M25" s="39">
        <f t="shared" si="0"/>
        <v>0.24709999999999996</v>
      </c>
    </row>
    <row r="26" spans="1:108" hidden="1" x14ac:dyDescent="0.3">
      <c r="B26" s="3" t="s">
        <v>175</v>
      </c>
      <c r="C26" s="82"/>
      <c r="D26" s="82"/>
      <c r="E26" s="82"/>
      <c r="F26" s="82"/>
      <c r="G26" s="82"/>
      <c r="H26" s="82"/>
      <c r="I26" s="82"/>
      <c r="J26" s="82"/>
      <c r="K26" s="82"/>
      <c r="L26" s="82"/>
      <c r="M26" s="39">
        <f t="shared" si="0"/>
        <v>0</v>
      </c>
    </row>
    <row r="27" spans="1:108" ht="28.8" x14ac:dyDescent="0.3">
      <c r="A27" s="70" t="s">
        <v>293</v>
      </c>
      <c r="B27" s="7" t="s">
        <v>324</v>
      </c>
      <c r="C27" s="80">
        <v>0</v>
      </c>
      <c r="D27" s="80">
        <v>0</v>
      </c>
      <c r="E27" s="80"/>
      <c r="F27" s="80"/>
      <c r="G27" s="80"/>
      <c r="H27" s="80"/>
      <c r="I27" s="80"/>
      <c r="J27" s="80"/>
      <c r="K27" s="80"/>
      <c r="L27" s="80"/>
      <c r="M27" s="39">
        <f t="shared" si="0"/>
        <v>0</v>
      </c>
    </row>
    <row r="28" spans="1:108" x14ac:dyDescent="0.3">
      <c r="B28" s="7" t="s">
        <v>325</v>
      </c>
      <c r="C28" s="80">
        <v>1.75</v>
      </c>
      <c r="D28" s="80">
        <v>1.75</v>
      </c>
      <c r="E28" s="80"/>
      <c r="F28" s="80"/>
      <c r="G28" s="80"/>
      <c r="H28" s="80"/>
      <c r="I28" s="80"/>
      <c r="J28" s="80"/>
      <c r="K28" s="80"/>
      <c r="L28" s="80"/>
      <c r="M28" s="39">
        <f t="shared" si="0"/>
        <v>3.5</v>
      </c>
    </row>
    <row r="29" spans="1:108" x14ac:dyDescent="0.3">
      <c r="B29" s="7" t="s">
        <v>326</v>
      </c>
      <c r="C29" s="80">
        <v>0.15</v>
      </c>
      <c r="D29" s="80">
        <v>0.15</v>
      </c>
      <c r="E29" s="80"/>
      <c r="F29" s="80"/>
      <c r="G29" s="80"/>
      <c r="H29" s="80"/>
      <c r="I29" s="80"/>
      <c r="J29" s="80"/>
      <c r="K29" s="80"/>
      <c r="L29" s="80"/>
      <c r="M29" s="39">
        <f t="shared" si="0"/>
        <v>0.3</v>
      </c>
    </row>
    <row r="30" spans="1:108" x14ac:dyDescent="0.3">
      <c r="B30" s="7" t="s">
        <v>327</v>
      </c>
      <c r="C30" s="80"/>
      <c r="D30" s="80"/>
      <c r="E30" s="80"/>
      <c r="F30" s="80"/>
      <c r="G30" s="80"/>
      <c r="H30" s="80"/>
      <c r="I30" s="80"/>
      <c r="J30" s="80"/>
      <c r="K30" s="80"/>
      <c r="L30" s="80"/>
      <c r="M30" s="39">
        <f t="shared" si="0"/>
        <v>0</v>
      </c>
    </row>
    <row r="31" spans="1:108" x14ac:dyDescent="0.3">
      <c r="B31" s="3" t="s">
        <v>294</v>
      </c>
      <c r="C31" s="39">
        <f>(C27*'(ne pas modifier) BDD_REF'!$B$215+'RECeff + REIamont (2)'!C28*'(ne pas modifier) BDD_REF'!$B$216+'RECeff + REIamont (2)'!C29*'(ne pas modifier) BDD_REF'!$B$217+'RECeff + REIamont (2)'!C30*'(ne pas modifier) BDD_REF'!$B$218)/1000</f>
        <v>1.949385E-2</v>
      </c>
      <c r="D31" s="39">
        <f>(D27*'(ne pas modifier) BDD_REF'!$B$215+'RECeff + REIamont (2)'!D28*'(ne pas modifier) BDD_REF'!$B$216+'RECeff + REIamont (2)'!D29*'(ne pas modifier) BDD_REF'!$B$217+'RECeff + REIamont (2)'!D30*'(ne pas modifier) BDD_REF'!$B$218)/1000</f>
        <v>1.949385E-2</v>
      </c>
      <c r="E31" s="39">
        <f>(E27*'(ne pas modifier) BDD_REF'!$B$215+'RECeff + REIamont (2)'!E28*'(ne pas modifier) BDD_REF'!$B$216+'RECeff + REIamont (2)'!E29*'(ne pas modifier) BDD_REF'!$B$217+'RECeff + REIamont (2)'!E30*'(ne pas modifier) BDD_REF'!$B$218)/1000</f>
        <v>0</v>
      </c>
      <c r="F31" s="39">
        <f>(F27*'(ne pas modifier) BDD_REF'!$B$215+'RECeff + REIamont (2)'!F28*'(ne pas modifier) BDD_REF'!$B$216+'RECeff + REIamont (2)'!F29*'(ne pas modifier) BDD_REF'!$B$217+'RECeff + REIamont (2)'!F30*'(ne pas modifier) BDD_REF'!$B$218)/1000</f>
        <v>0</v>
      </c>
      <c r="G31" s="39">
        <f>(G27*'(ne pas modifier) BDD_REF'!$B$215+'RECeff + REIamont (2)'!G28*'(ne pas modifier) BDD_REF'!$B$216+'RECeff + REIamont (2)'!G29*'(ne pas modifier) BDD_REF'!$B$217+'RECeff + REIamont (2)'!G30*'(ne pas modifier) BDD_REF'!$B$218)/1000</f>
        <v>0</v>
      </c>
      <c r="H31" s="39">
        <f>(H27*'(ne pas modifier) BDD_REF'!$B$215+'RECeff + REIamont (2)'!H28*'(ne pas modifier) BDD_REF'!$B$216+'RECeff + REIamont (2)'!H29*'(ne pas modifier) BDD_REF'!$B$217+'RECeff + REIamont (2)'!H30*'(ne pas modifier) BDD_REF'!$B$218)/1000</f>
        <v>0</v>
      </c>
      <c r="I31" s="39">
        <f>(I27*'(ne pas modifier) BDD_REF'!$B$215+'RECeff + REIamont (2)'!I28*'(ne pas modifier) BDD_REF'!$B$216+'RECeff + REIamont (2)'!I29*'(ne pas modifier) BDD_REF'!$B$217+'RECeff + REIamont (2)'!I30*'(ne pas modifier) BDD_REF'!$B$218)/1000</f>
        <v>0</v>
      </c>
      <c r="J31" s="39">
        <f>(J27*'(ne pas modifier) BDD_REF'!$B$215+'RECeff + REIamont (2)'!J28*'(ne pas modifier) BDD_REF'!$B$216+'RECeff + REIamont (2)'!J29*'(ne pas modifier) BDD_REF'!$B$217+'RECeff + REIamont (2)'!J30*'(ne pas modifier) BDD_REF'!$B$218)/1000</f>
        <v>0</v>
      </c>
      <c r="K31" s="39">
        <f>(K27*'(ne pas modifier) BDD_REF'!$B$215+'RECeff + REIamont (2)'!K28*'(ne pas modifier) BDD_REF'!$B$216+'RECeff + REIamont (2)'!K29*'(ne pas modifier) BDD_REF'!$B$217+'RECeff + REIamont (2)'!K30*'(ne pas modifier) BDD_REF'!$B$218)/1000</f>
        <v>0</v>
      </c>
      <c r="L31" s="39">
        <f>(L27*'(ne pas modifier) BDD_REF'!$B$215+'RECeff + REIamont (2)'!L28*'(ne pas modifier) BDD_REF'!$B$216+'RECeff + REIamont (2)'!L29*'(ne pas modifier) BDD_REF'!$B$217+'RECeff + REIamont (2)'!L30*'(ne pas modifier) BDD_REF'!$B$218)/1000</f>
        <v>0</v>
      </c>
      <c r="M31" s="39">
        <f t="shared" si="0"/>
        <v>3.89877E-2</v>
      </c>
    </row>
    <row r="32" spans="1:108" s="16" customFormat="1" x14ac:dyDescent="0.3">
      <c r="A32" s="18"/>
      <c r="B32" s="19" t="s">
        <v>186</v>
      </c>
      <c r="C32" s="81">
        <f>C25+C26+C31</f>
        <v>0.14304384999999997</v>
      </c>
      <c r="D32" s="81">
        <f t="shared" ref="D32:L32" si="2">D25+D26+D31</f>
        <v>0.14304384999999997</v>
      </c>
      <c r="E32" s="81">
        <f t="shared" si="2"/>
        <v>0</v>
      </c>
      <c r="F32" s="81">
        <f t="shared" si="2"/>
        <v>0</v>
      </c>
      <c r="G32" s="81">
        <f t="shared" si="2"/>
        <v>0</v>
      </c>
      <c r="H32" s="81">
        <f t="shared" si="2"/>
        <v>0</v>
      </c>
      <c r="I32" s="81">
        <f t="shared" si="2"/>
        <v>0</v>
      </c>
      <c r="J32" s="81">
        <f t="shared" si="2"/>
        <v>0</v>
      </c>
      <c r="K32" s="81">
        <f t="shared" si="2"/>
        <v>0</v>
      </c>
      <c r="L32" s="81">
        <f t="shared" si="2"/>
        <v>0</v>
      </c>
      <c r="M32" s="39">
        <f t="shared" si="0"/>
        <v>0.28608769999999994</v>
      </c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23"/>
      <c r="AO32" s="23"/>
      <c r="AP32" s="23"/>
      <c r="AQ32" s="23"/>
      <c r="AR32" s="23"/>
      <c r="AS32" s="23"/>
      <c r="AT32" s="23"/>
      <c r="AU32" s="23"/>
      <c r="AV32" s="23"/>
      <c r="AW32" s="23"/>
      <c r="AX32" s="23"/>
      <c r="AY32" s="23"/>
      <c r="AZ32" s="23"/>
      <c r="BA32" s="23"/>
      <c r="BB32" s="23"/>
      <c r="BC32" s="23"/>
      <c r="BD32" s="23"/>
      <c r="BE32" s="23"/>
      <c r="BF32" s="23"/>
      <c r="BG32" s="23"/>
      <c r="BH32" s="23"/>
      <c r="BI32" s="23"/>
      <c r="BJ32" s="23"/>
      <c r="BK32" s="23"/>
      <c r="BL32" s="23"/>
      <c r="BM32" s="23"/>
      <c r="BN32" s="23"/>
      <c r="BO32" s="23"/>
      <c r="BP32" s="23"/>
      <c r="BQ32" s="23"/>
      <c r="BR32" s="23"/>
      <c r="BS32" s="23"/>
      <c r="BT32" s="23"/>
      <c r="BU32" s="23"/>
      <c r="BV32" s="23"/>
      <c r="BW32" s="23"/>
      <c r="BX32" s="23"/>
      <c r="BY32" s="23"/>
      <c r="BZ32" s="23"/>
      <c r="CA32" s="23"/>
      <c r="CB32" s="23"/>
      <c r="CC32" s="23"/>
      <c r="CD32" s="23"/>
      <c r="CE32" s="23"/>
      <c r="CF32" s="23"/>
      <c r="CG32" s="23"/>
      <c r="CH32" s="23"/>
      <c r="CI32" s="23"/>
      <c r="CJ32" s="23"/>
      <c r="CK32" s="23"/>
      <c r="CL32" s="23"/>
      <c r="CM32" s="23"/>
      <c r="CN32" s="23"/>
      <c r="CO32" s="23"/>
      <c r="CP32" s="23"/>
      <c r="CQ32" s="23"/>
      <c r="CR32" s="23"/>
      <c r="CS32" s="23"/>
      <c r="CT32" s="23"/>
      <c r="CU32" s="23"/>
      <c r="CV32" s="23"/>
      <c r="CW32" s="23"/>
      <c r="CX32" s="23"/>
      <c r="CY32" s="23"/>
      <c r="CZ32" s="23"/>
      <c r="DA32" s="23"/>
      <c r="DB32" s="23"/>
      <c r="DC32" s="23"/>
      <c r="DD32" s="23"/>
    </row>
    <row r="33" spans="1:108" s="16" customFormat="1" x14ac:dyDescent="0.3">
      <c r="A33" s="18"/>
      <c r="B33" s="20" t="s">
        <v>144</v>
      </c>
      <c r="C33" s="20">
        <f>((C10+C11+C12)/1000*44/28*'(ne pas modifier) BDD_REF'!$B$232)+'RECeff + REIamont (2)'!C22+'RECeff + REIamont (2)'!C32</f>
        <v>0.50519784999999995</v>
      </c>
      <c r="D33" s="20">
        <f>((D10+D11+D12)/1000*44/28*'(ne pas modifier) BDD_REF'!$B$232)+'RECeff + REIamont (2)'!D22+'RECeff + REIamont (2)'!D32</f>
        <v>0.50519784999999995</v>
      </c>
      <c r="E33" s="20">
        <f>((E10+E11+E12)/1000*44/28*'(ne pas modifier) BDD_REF'!$B$232)+'RECeff + REIamont (2)'!E22+'RECeff + REIamont (2)'!E32</f>
        <v>0</v>
      </c>
      <c r="F33" s="20">
        <f>((F10+F11+F12)/1000*44/28*'(ne pas modifier) BDD_REF'!$B$232)+'RECeff + REIamont (2)'!F22+'RECeff + REIamont (2)'!F32</f>
        <v>0</v>
      </c>
      <c r="G33" s="20">
        <f>((G10+G11+G12)/1000*44/28*'(ne pas modifier) BDD_REF'!$B$232)+'RECeff + REIamont (2)'!G22+'RECeff + REIamont (2)'!G32</f>
        <v>0</v>
      </c>
      <c r="H33" s="20">
        <f>((H10+H11+H12)/1000*44/28*'(ne pas modifier) BDD_REF'!$B$232)+'RECeff + REIamont (2)'!H22+'RECeff + REIamont (2)'!H32</f>
        <v>0</v>
      </c>
      <c r="I33" s="20">
        <f>((I10+I11+I12)/1000*44/28*'(ne pas modifier) BDD_REF'!$B$232)+'RECeff + REIamont (2)'!I22+'RECeff + REIamont (2)'!I32</f>
        <v>0</v>
      </c>
      <c r="J33" s="20">
        <f>((J10+J11+J12)/1000*44/28*'(ne pas modifier) BDD_REF'!$B$232)+'RECeff + REIamont (2)'!J22+'RECeff + REIamont (2)'!J32</f>
        <v>0</v>
      </c>
      <c r="K33" s="20">
        <f>((K10+K11+K12)/1000*44/28*'(ne pas modifier) BDD_REF'!$B$232)+'RECeff + REIamont (2)'!K22+'RECeff + REIamont (2)'!K32</f>
        <v>0</v>
      </c>
      <c r="L33" s="20">
        <f>((L10+L11+L12)/1000*44/28*'(ne pas modifier) BDD_REF'!$B$232)+'RECeff + REIamont (2)'!L22+'RECeff + REIamont (2)'!L32</f>
        <v>0</v>
      </c>
      <c r="M33" s="20">
        <f t="shared" si="0"/>
        <v>1.0103956999999999</v>
      </c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H33" s="23"/>
      <c r="AI33" s="23"/>
      <c r="AJ33" s="23"/>
      <c r="AK33" s="23"/>
      <c r="AL33" s="23"/>
      <c r="AM33" s="23"/>
      <c r="AN33" s="23"/>
      <c r="AO33" s="23"/>
      <c r="AP33" s="23"/>
      <c r="AQ33" s="23"/>
      <c r="AR33" s="23"/>
      <c r="AS33" s="23"/>
      <c r="AT33" s="23"/>
      <c r="AU33" s="23"/>
      <c r="AV33" s="23"/>
      <c r="AW33" s="23"/>
      <c r="AX33" s="23"/>
      <c r="AY33" s="23"/>
      <c r="AZ33" s="23"/>
      <c r="BA33" s="23"/>
      <c r="BB33" s="23"/>
      <c r="BC33" s="23"/>
      <c r="BD33" s="23"/>
      <c r="BE33" s="23"/>
      <c r="BF33" s="23"/>
      <c r="BG33" s="23"/>
      <c r="BH33" s="23"/>
      <c r="BI33" s="23"/>
      <c r="BJ33" s="23"/>
      <c r="BK33" s="23"/>
      <c r="BL33" s="23"/>
      <c r="BM33" s="23"/>
      <c r="BN33" s="23"/>
      <c r="BO33" s="23"/>
      <c r="BP33" s="23"/>
      <c r="BQ33" s="23"/>
      <c r="BR33" s="23"/>
      <c r="BS33" s="23"/>
      <c r="BT33" s="23"/>
      <c r="BU33" s="23"/>
      <c r="BV33" s="23"/>
      <c r="BW33" s="23"/>
      <c r="BX33" s="23"/>
      <c r="BY33" s="23"/>
      <c r="BZ33" s="23"/>
      <c r="CA33" s="23"/>
      <c r="CB33" s="23"/>
      <c r="CC33" s="23"/>
      <c r="CD33" s="23"/>
      <c r="CE33" s="23"/>
      <c r="CF33" s="23"/>
      <c r="CG33" s="23"/>
      <c r="CH33" s="23"/>
      <c r="CI33" s="23"/>
      <c r="CJ33" s="23"/>
      <c r="CK33" s="23"/>
      <c r="CL33" s="23"/>
      <c r="CM33" s="23"/>
      <c r="CN33" s="23"/>
      <c r="CO33" s="23"/>
      <c r="CP33" s="23"/>
      <c r="CQ33" s="23"/>
      <c r="CR33" s="23"/>
      <c r="CS33" s="23"/>
      <c r="CT33" s="23"/>
      <c r="CU33" s="23"/>
      <c r="CV33" s="23"/>
      <c r="CW33" s="23"/>
      <c r="CX33" s="23"/>
      <c r="CY33" s="23"/>
      <c r="CZ33" s="23"/>
      <c r="DA33" s="23"/>
      <c r="DB33" s="23"/>
      <c r="DC33" s="23"/>
      <c r="DD33" s="23"/>
    </row>
    <row r="34" spans="1:108" x14ac:dyDescent="0.3">
      <c r="A34" s="13" t="s">
        <v>147</v>
      </c>
      <c r="B34" s="7" t="s">
        <v>312</v>
      </c>
      <c r="C34" s="80">
        <v>30</v>
      </c>
      <c r="D34" s="80">
        <v>30</v>
      </c>
      <c r="E34" s="80"/>
      <c r="F34" s="80"/>
      <c r="G34" s="80"/>
      <c r="H34" s="80"/>
      <c r="I34" s="80"/>
      <c r="J34" s="80"/>
      <c r="K34" s="80"/>
      <c r="L34" s="80"/>
      <c r="M34" s="39">
        <f t="shared" si="0"/>
        <v>60</v>
      </c>
    </row>
    <row r="35" spans="1:108" x14ac:dyDescent="0.3">
      <c r="B35" s="7" t="s">
        <v>313</v>
      </c>
      <c r="C35" s="80"/>
      <c r="D35" s="80"/>
      <c r="E35" s="80"/>
      <c r="F35" s="80"/>
      <c r="G35" s="80"/>
      <c r="H35" s="80"/>
      <c r="I35" s="80"/>
      <c r="J35" s="80"/>
      <c r="K35" s="80"/>
      <c r="L35" s="80"/>
      <c r="M35" s="39">
        <f t="shared" si="0"/>
        <v>0</v>
      </c>
    </row>
    <row r="36" spans="1:108" x14ac:dyDescent="0.3">
      <c r="B36" s="7" t="s">
        <v>314</v>
      </c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39">
        <f t="shared" si="0"/>
        <v>0</v>
      </c>
    </row>
    <row r="37" spans="1:108" ht="15.75" customHeight="1" x14ac:dyDescent="0.3">
      <c r="B37" s="19" t="s">
        <v>328</v>
      </c>
      <c r="C37" s="39">
        <f>C34*'(ne pas modifier) BDD_REF'!$B$207 + (C35+C36)*'(ne pas modifier) BDD_REF'!$B$208</f>
        <v>0.48</v>
      </c>
      <c r="D37" s="39">
        <f>D34*'(ne pas modifier) BDD_REF'!$B$207 + (D35+D36)*'(ne pas modifier) BDD_REF'!$B$208</f>
        <v>0.48</v>
      </c>
      <c r="E37" s="39">
        <f>E34*'(ne pas modifier) BDD_REF'!$B$207 + (E35+E36)*'(ne pas modifier) BDD_REF'!$B$208</f>
        <v>0</v>
      </c>
      <c r="F37" s="39">
        <f>F34*'(ne pas modifier) BDD_REF'!$B$207 + (F35+F36)*'(ne pas modifier) BDD_REF'!$B$208</f>
        <v>0</v>
      </c>
      <c r="G37" s="39">
        <f>G34*'(ne pas modifier) BDD_REF'!$B$207 + (G35+G36)*'(ne pas modifier) BDD_REF'!$B$208</f>
        <v>0</v>
      </c>
      <c r="H37" s="39">
        <f>H34*'(ne pas modifier) BDD_REF'!$B$207 + (H35+H36)*'(ne pas modifier) BDD_REF'!$B$208</f>
        <v>0</v>
      </c>
      <c r="I37" s="39">
        <f>I34*'(ne pas modifier) BDD_REF'!$B$207 + (I35+I36)*'(ne pas modifier) BDD_REF'!$B$208</f>
        <v>0</v>
      </c>
      <c r="J37" s="39">
        <f>J34*'(ne pas modifier) BDD_REF'!$B$207 + (J35+J36)*'(ne pas modifier) BDD_REF'!$B$208</f>
        <v>0</v>
      </c>
      <c r="K37" s="39">
        <f>K34*'(ne pas modifier) BDD_REF'!$B$207 + (K35+K36)*'(ne pas modifier) BDD_REF'!$B$208</f>
        <v>0</v>
      </c>
      <c r="L37" s="39">
        <f>L34*'(ne pas modifier) BDD_REF'!$B$207 + (L35+L36)*'(ne pas modifier) BDD_REF'!$B$208</f>
        <v>0</v>
      </c>
      <c r="M37" s="39">
        <f t="shared" si="0"/>
        <v>0.96</v>
      </c>
    </row>
    <row r="38" spans="1:108" x14ac:dyDescent="0.3">
      <c r="B38" s="19" t="s">
        <v>329</v>
      </c>
      <c r="C38" s="39">
        <f>((C34*'(ne pas modifier) BDD_REF'!$B$220)+('RECeff + REIamont (2)'!C35+'RECeff + REIamont (2)'!C36)*'(ne pas modifier) BDD_REF'!$B$221)*'(ne pas modifier) BDD_REF'!$B$209</f>
        <v>3.3000000000000002E-2</v>
      </c>
      <c r="D38" s="39">
        <f>((D34*'(ne pas modifier) BDD_REF'!$B$220)+('RECeff + REIamont (2)'!D35+'RECeff + REIamont (2)'!D36)*'(ne pas modifier) BDD_REF'!$B$221)*'(ne pas modifier) BDD_REF'!$B$209</f>
        <v>3.3000000000000002E-2</v>
      </c>
      <c r="E38" s="39">
        <f>((E34*'(ne pas modifier) BDD_REF'!$B$220)+('RECeff + REIamont (2)'!E35+'RECeff + REIamont (2)'!E36)*'(ne pas modifier) BDD_REF'!$B$221)*'(ne pas modifier) BDD_REF'!$B$209</f>
        <v>0</v>
      </c>
      <c r="F38" s="39">
        <f>((F34*'(ne pas modifier) BDD_REF'!$B$220)+('RECeff + REIamont (2)'!F35+'RECeff + REIamont (2)'!F36)*'(ne pas modifier) BDD_REF'!$B$221)*'(ne pas modifier) BDD_REF'!$B$209</f>
        <v>0</v>
      </c>
      <c r="G38" s="39">
        <f>((G34*'(ne pas modifier) BDD_REF'!$B$220)+('RECeff + REIamont (2)'!G35+'RECeff + REIamont (2)'!G36)*'(ne pas modifier) BDD_REF'!$B$221)*'(ne pas modifier) BDD_REF'!$B$209</f>
        <v>0</v>
      </c>
      <c r="H38" s="39">
        <f>((H34*'(ne pas modifier) BDD_REF'!$B$220)+('RECeff + REIamont (2)'!H35+'RECeff + REIamont (2)'!H36)*'(ne pas modifier) BDD_REF'!$B$221)*'(ne pas modifier) BDD_REF'!$B$209</f>
        <v>0</v>
      </c>
      <c r="I38" s="39">
        <f>((I34*'(ne pas modifier) BDD_REF'!$B$220)+('RECeff + REIamont (2)'!I35+'RECeff + REIamont (2)'!I36)*'(ne pas modifier) BDD_REF'!$B$221)*'(ne pas modifier) BDD_REF'!$B$209</f>
        <v>0</v>
      </c>
      <c r="J38" s="39">
        <f>((J34*'(ne pas modifier) BDD_REF'!$B$220)+('RECeff + REIamont (2)'!J35+'RECeff + REIamont (2)'!J36)*'(ne pas modifier) BDD_REF'!$B$221)*'(ne pas modifier) BDD_REF'!$B$209</f>
        <v>0</v>
      </c>
      <c r="K38" s="39">
        <f>((K34*'(ne pas modifier) BDD_REF'!$B$220)+('RECeff + REIamont (2)'!K35+'RECeff + REIamont (2)'!K36)*'(ne pas modifier) BDD_REF'!$B$221)*'(ne pas modifier) BDD_REF'!$B$209</f>
        <v>0</v>
      </c>
      <c r="L38" s="39">
        <f>((L34*'(ne pas modifier) BDD_REF'!$B$220)+('RECeff + REIamont (2)'!L35+'RECeff + REIamont (2)'!L36)*'(ne pas modifier) BDD_REF'!$B$221)*'(ne pas modifier) BDD_REF'!$B$209</f>
        <v>0</v>
      </c>
      <c r="M38" s="39">
        <f t="shared" si="0"/>
        <v>6.6000000000000003E-2</v>
      </c>
    </row>
    <row r="39" spans="1:108" x14ac:dyDescent="0.3">
      <c r="B39" s="19" t="s">
        <v>330</v>
      </c>
      <c r="C39" s="39">
        <f>(C34+C35+C36)*'(ne pas modifier) BDD_REF'!$B$222*'(ne pas modifier) BDD_REF'!$B$210</f>
        <v>7.9199999999999993E-2</v>
      </c>
      <c r="D39" s="39">
        <f>(D34+D35+D36)*'(ne pas modifier) BDD_REF'!$B$222*'(ne pas modifier) BDD_REF'!$B$210</f>
        <v>7.9199999999999993E-2</v>
      </c>
      <c r="E39" s="39">
        <f>(E34+E35+E36)*'(ne pas modifier) BDD_REF'!$B$222*'(ne pas modifier) BDD_REF'!$B$210</f>
        <v>0</v>
      </c>
      <c r="F39" s="39">
        <f>(F34+F35+F36)*'(ne pas modifier) BDD_REF'!$B$222*'(ne pas modifier) BDD_REF'!$B$210</f>
        <v>0</v>
      </c>
      <c r="G39" s="39">
        <f>(G34+G35+G36)*'(ne pas modifier) BDD_REF'!$B$222*'(ne pas modifier) BDD_REF'!$B$210</f>
        <v>0</v>
      </c>
      <c r="H39" s="39">
        <f>(H34+H35+H36)*'(ne pas modifier) BDD_REF'!$B$222*'(ne pas modifier) BDD_REF'!$B$210</f>
        <v>0</v>
      </c>
      <c r="I39" s="39">
        <f>(I34+I35+I36)*'(ne pas modifier) BDD_REF'!$B$222*'(ne pas modifier) BDD_REF'!$B$210</f>
        <v>0</v>
      </c>
      <c r="J39" s="39">
        <f>(J34+J35+J36)*'(ne pas modifier) BDD_REF'!$B$222*'(ne pas modifier) BDD_REF'!$B$210</f>
        <v>0</v>
      </c>
      <c r="K39" s="39">
        <f>(K34+K35+K36)*'(ne pas modifier) BDD_REF'!$B$222*'(ne pas modifier) BDD_REF'!$B$210</f>
        <v>0</v>
      </c>
      <c r="L39" s="39">
        <f>(L34+L35+L36)*'(ne pas modifier) BDD_REF'!$B$222*'(ne pas modifier) BDD_REF'!$B$210</f>
        <v>0</v>
      </c>
      <c r="M39" s="39">
        <f t="shared" ref="M39:M70" si="3">SUM(C39:L39)</f>
        <v>0.15839999999999999</v>
      </c>
    </row>
    <row r="40" spans="1:108" x14ac:dyDescent="0.3">
      <c r="B40" s="7" t="s">
        <v>315</v>
      </c>
      <c r="C40" s="80"/>
      <c r="D40" s="80"/>
      <c r="E40" s="80"/>
      <c r="F40" s="80"/>
      <c r="G40" s="80"/>
      <c r="H40" s="80"/>
      <c r="I40" s="80"/>
      <c r="J40" s="80"/>
      <c r="K40" s="80"/>
      <c r="L40" s="80"/>
      <c r="M40" s="39">
        <f t="shared" si="3"/>
        <v>0</v>
      </c>
    </row>
    <row r="41" spans="1:108" x14ac:dyDescent="0.3">
      <c r="B41" s="7" t="s">
        <v>316</v>
      </c>
      <c r="C41" s="80">
        <v>63</v>
      </c>
      <c r="D41" s="80">
        <v>63</v>
      </c>
      <c r="E41" s="80"/>
      <c r="F41" s="80"/>
      <c r="G41" s="80"/>
      <c r="H41" s="80"/>
      <c r="I41" s="80"/>
      <c r="J41" s="80"/>
      <c r="K41" s="80"/>
      <c r="L41" s="80"/>
      <c r="M41" s="39">
        <f t="shared" si="3"/>
        <v>126</v>
      </c>
    </row>
    <row r="42" spans="1:108" x14ac:dyDescent="0.3">
      <c r="B42" s="7" t="s">
        <v>317</v>
      </c>
      <c r="C42" s="80"/>
      <c r="D42" s="80"/>
      <c r="E42" s="80"/>
      <c r="F42" s="80"/>
      <c r="G42" s="80"/>
      <c r="H42" s="80"/>
      <c r="I42" s="80"/>
      <c r="J42" s="80"/>
      <c r="K42" s="80"/>
      <c r="L42" s="80"/>
      <c r="M42" s="39">
        <f t="shared" si="3"/>
        <v>0</v>
      </c>
    </row>
    <row r="43" spans="1:108" x14ac:dyDescent="0.3">
      <c r="B43" s="7" t="s">
        <v>318</v>
      </c>
      <c r="C43" s="80">
        <v>0</v>
      </c>
      <c r="D43" s="80">
        <v>0</v>
      </c>
      <c r="E43" s="80"/>
      <c r="F43" s="80"/>
      <c r="G43" s="80"/>
      <c r="H43" s="80"/>
      <c r="I43" s="80"/>
      <c r="J43" s="80"/>
      <c r="K43" s="80"/>
      <c r="L43" s="80"/>
      <c r="M43" s="39">
        <f t="shared" si="3"/>
        <v>0</v>
      </c>
    </row>
    <row r="44" spans="1:108" x14ac:dyDescent="0.3">
      <c r="B44" s="7" t="s">
        <v>319</v>
      </c>
      <c r="C44" s="80">
        <v>0</v>
      </c>
      <c r="D44" s="80">
        <v>0</v>
      </c>
      <c r="E44" s="80"/>
      <c r="F44" s="80"/>
      <c r="G44" s="80"/>
      <c r="H44" s="80"/>
      <c r="I44" s="80"/>
      <c r="J44" s="80"/>
      <c r="K44" s="80"/>
      <c r="L44" s="80"/>
      <c r="M44" s="39">
        <f t="shared" si="3"/>
        <v>0</v>
      </c>
    </row>
    <row r="45" spans="1:108" x14ac:dyDescent="0.3">
      <c r="B45" s="7" t="s">
        <v>320</v>
      </c>
      <c r="C45" s="80">
        <v>0</v>
      </c>
      <c r="D45" s="80">
        <v>0</v>
      </c>
      <c r="E45" s="80"/>
      <c r="F45" s="80"/>
      <c r="G45" s="80"/>
      <c r="H45" s="80"/>
      <c r="I45" s="80"/>
      <c r="J45" s="80"/>
      <c r="K45" s="80"/>
      <c r="L45" s="80"/>
      <c r="M45" s="39">
        <f t="shared" si="3"/>
        <v>0</v>
      </c>
    </row>
    <row r="46" spans="1:108" x14ac:dyDescent="0.3">
      <c r="B46" s="3" t="s">
        <v>173</v>
      </c>
      <c r="C46" s="39">
        <f>(C40*'(ne pas modifier) BDD_REF'!$C$225+'RECeff + REIamont (2)'!C41*'(ne pas modifier) BDD_REF'!$C$226+'RECeff + REIamont (2)'!C42*'(ne pas modifier) BDD_REF'!$C$227+'RECeff + REIamont (2)'!C43*'(ne pas modifier) BDD_REF'!$C$228+'RECeff + REIamont (2)'!C44*'(ne pas modifier) BDD_REF'!$C$229+'RECeff + REIamont (2)'!C45*'(ne pas modifier) BDD_REF'!$C$230)/1000</f>
        <v>0.19347299999999998</v>
      </c>
      <c r="D46" s="39">
        <f>(D40*'(ne pas modifier) BDD_REF'!$C$225+'RECeff + REIamont (2)'!D41*'(ne pas modifier) BDD_REF'!$C$226+'RECeff + REIamont (2)'!D42*'(ne pas modifier) BDD_REF'!$C$227+'RECeff + REIamont (2)'!D43*'(ne pas modifier) BDD_REF'!$C$228+'RECeff + REIamont (2)'!D44*'(ne pas modifier) BDD_REF'!$C$229+'RECeff + REIamont (2)'!D45*'(ne pas modifier) BDD_REF'!$C$230)/1000</f>
        <v>0.19347299999999998</v>
      </c>
      <c r="E46" s="39">
        <f>(E40*'(ne pas modifier) BDD_REF'!$C$225+'RECeff + REIamont (2)'!E41*'(ne pas modifier) BDD_REF'!$C$226+'RECeff + REIamont (2)'!E42*'(ne pas modifier) BDD_REF'!$C$227+'RECeff + REIamont (2)'!E43*'(ne pas modifier) BDD_REF'!$C$228+'RECeff + REIamont (2)'!E44*'(ne pas modifier) BDD_REF'!$C$229+'RECeff + REIamont (2)'!E45*'(ne pas modifier) BDD_REF'!$C$230)/1000</f>
        <v>0</v>
      </c>
      <c r="F46" s="39">
        <f>(F40*'(ne pas modifier) BDD_REF'!$C$225+'RECeff + REIamont (2)'!F41*'(ne pas modifier) BDD_REF'!$C$226+'RECeff + REIamont (2)'!F42*'(ne pas modifier) BDD_REF'!$C$227+'RECeff + REIamont (2)'!F43*'(ne pas modifier) BDD_REF'!$C$228+'RECeff + REIamont (2)'!F44*'(ne pas modifier) BDD_REF'!$C$229+'RECeff + REIamont (2)'!F45*'(ne pas modifier) BDD_REF'!$C$230)/1000</f>
        <v>0</v>
      </c>
      <c r="G46" s="39">
        <f>(G40*'(ne pas modifier) BDD_REF'!$C$225+'RECeff + REIamont (2)'!G41*'(ne pas modifier) BDD_REF'!$C$226+'RECeff + REIamont (2)'!G42*'(ne pas modifier) BDD_REF'!$C$227+'RECeff + REIamont (2)'!G43*'(ne pas modifier) BDD_REF'!$C$228+'RECeff + REIamont (2)'!G44*'(ne pas modifier) BDD_REF'!$C$229+'RECeff + REIamont (2)'!G45*'(ne pas modifier) BDD_REF'!$C$230)/1000</f>
        <v>0</v>
      </c>
      <c r="H46" s="39">
        <f>(H40*'(ne pas modifier) BDD_REF'!$C$225+'RECeff + REIamont (2)'!H41*'(ne pas modifier) BDD_REF'!$C$226+'RECeff + REIamont (2)'!H42*'(ne pas modifier) BDD_REF'!$C$227+'RECeff + REIamont (2)'!H43*'(ne pas modifier) BDD_REF'!$C$228+'RECeff + REIamont (2)'!H44*'(ne pas modifier) BDD_REF'!$C$229+'RECeff + REIamont (2)'!H45*'(ne pas modifier) BDD_REF'!$C$230)/1000</f>
        <v>0</v>
      </c>
      <c r="I46" s="39">
        <f>(I40*'(ne pas modifier) BDD_REF'!$C$225+'RECeff + REIamont (2)'!I41*'(ne pas modifier) BDD_REF'!$C$226+'RECeff + REIamont (2)'!I42*'(ne pas modifier) BDD_REF'!$C$227+'RECeff + REIamont (2)'!I43*'(ne pas modifier) BDD_REF'!$C$228+'RECeff + REIamont (2)'!I44*'(ne pas modifier) BDD_REF'!$C$229+'RECeff + REIamont (2)'!I45*'(ne pas modifier) BDD_REF'!$C$230)/1000</f>
        <v>0</v>
      </c>
      <c r="J46" s="39">
        <f>(J40*'(ne pas modifier) BDD_REF'!$C$225+'RECeff + REIamont (2)'!J41*'(ne pas modifier) BDD_REF'!$C$226+'RECeff + REIamont (2)'!J42*'(ne pas modifier) BDD_REF'!$C$227+'RECeff + REIamont (2)'!J43*'(ne pas modifier) BDD_REF'!$C$228+'RECeff + REIamont (2)'!J44*'(ne pas modifier) BDD_REF'!$C$229+'RECeff + REIamont (2)'!J45*'(ne pas modifier) BDD_REF'!$C$230)/1000</f>
        <v>0</v>
      </c>
      <c r="K46" s="39">
        <f>(K40*'(ne pas modifier) BDD_REF'!$C$225+'RECeff + REIamont (2)'!K41*'(ne pas modifier) BDD_REF'!$C$226+'RECeff + REIamont (2)'!K42*'(ne pas modifier) BDD_REF'!$C$227+'RECeff + REIamont (2)'!K43*'(ne pas modifier) BDD_REF'!$C$228+'RECeff + REIamont (2)'!K44*'(ne pas modifier) BDD_REF'!$C$229+'RECeff + REIamont (2)'!K45*'(ne pas modifier) BDD_REF'!$C$230)/1000</f>
        <v>0</v>
      </c>
      <c r="L46" s="39">
        <f>(L40*'(ne pas modifier) BDD_REF'!$C$225+'RECeff + REIamont (2)'!L41*'(ne pas modifier) BDD_REF'!$C$226+'RECeff + REIamont (2)'!L42*'(ne pas modifier) BDD_REF'!$C$227+'RECeff + REIamont (2)'!L43*'(ne pas modifier) BDD_REF'!$C$228+'RECeff + REIamont (2)'!L44*'(ne pas modifier) BDD_REF'!$C$229+'RECeff + REIamont (2)'!L45*'(ne pas modifier) BDD_REF'!$C$230)/1000</f>
        <v>0</v>
      </c>
      <c r="M46" s="39">
        <f t="shared" si="3"/>
        <v>0.38694599999999996</v>
      </c>
    </row>
    <row r="47" spans="1:108" x14ac:dyDescent="0.3">
      <c r="B47" s="7" t="s">
        <v>321</v>
      </c>
      <c r="C47" s="80">
        <v>90</v>
      </c>
      <c r="D47" s="80">
        <v>90</v>
      </c>
      <c r="E47" s="80"/>
      <c r="F47" s="80"/>
      <c r="G47" s="80"/>
      <c r="H47" s="80"/>
      <c r="I47" s="80"/>
      <c r="J47" s="80"/>
      <c r="K47" s="80"/>
      <c r="L47" s="80"/>
      <c r="M47" s="39">
        <f t="shared" si="3"/>
        <v>180</v>
      </c>
    </row>
    <row r="48" spans="1:108" x14ac:dyDescent="0.3">
      <c r="B48" s="3" t="s">
        <v>184</v>
      </c>
      <c r="C48" s="39">
        <f>(C47*'(ne pas modifier) BDD_REF'!$B$211)/1000</f>
        <v>5.13E-3</v>
      </c>
      <c r="D48" s="39">
        <f>(D47*'(ne pas modifier) BDD_REF'!$B$211)/1000</f>
        <v>5.13E-3</v>
      </c>
      <c r="E48" s="39">
        <f>(E47*'(ne pas modifier) BDD_REF'!$B$211)/1000</f>
        <v>0</v>
      </c>
      <c r="F48" s="39">
        <f>(F47*'(ne pas modifier) BDD_REF'!$B$211)/1000</f>
        <v>0</v>
      </c>
      <c r="G48" s="39">
        <f>(G47*'(ne pas modifier) BDD_REF'!$B$211)/1000</f>
        <v>0</v>
      </c>
      <c r="H48" s="39">
        <f>(H47*'(ne pas modifier) BDD_REF'!$B$211)/1000</f>
        <v>0</v>
      </c>
      <c r="I48" s="39">
        <f>(I47*'(ne pas modifier) BDD_REF'!$B$211)/1000</f>
        <v>0</v>
      </c>
      <c r="J48" s="39">
        <f>(J47*'(ne pas modifier) BDD_REF'!$B$211)/1000</f>
        <v>0</v>
      </c>
      <c r="K48" s="39">
        <f>(K47*'(ne pas modifier) BDD_REF'!$B$211)/1000</f>
        <v>0</v>
      </c>
      <c r="L48" s="39">
        <f>(L47*'(ne pas modifier) BDD_REF'!$B$211)/1000</f>
        <v>0</v>
      </c>
      <c r="M48" s="39">
        <f t="shared" si="3"/>
        <v>1.026E-2</v>
      </c>
    </row>
    <row r="49" spans="1:108" s="16" customFormat="1" x14ac:dyDescent="0.3">
      <c r="A49" s="18"/>
      <c r="B49" s="19" t="s">
        <v>185</v>
      </c>
      <c r="C49" s="81">
        <f>C46+C48</f>
        <v>0.19860299999999997</v>
      </c>
      <c r="D49" s="81">
        <f t="shared" ref="D49:L49" si="4">D46+D48</f>
        <v>0.19860299999999997</v>
      </c>
      <c r="E49" s="81">
        <f t="shared" si="4"/>
        <v>0</v>
      </c>
      <c r="F49" s="81">
        <f t="shared" si="4"/>
        <v>0</v>
      </c>
      <c r="G49" s="81">
        <f t="shared" si="4"/>
        <v>0</v>
      </c>
      <c r="H49" s="81">
        <f t="shared" si="4"/>
        <v>0</v>
      </c>
      <c r="I49" s="81">
        <f t="shared" si="4"/>
        <v>0</v>
      </c>
      <c r="J49" s="81">
        <f t="shared" si="4"/>
        <v>0</v>
      </c>
      <c r="K49" s="81">
        <f t="shared" si="4"/>
        <v>0</v>
      </c>
      <c r="L49" s="81">
        <f t="shared" si="4"/>
        <v>0</v>
      </c>
      <c r="M49" s="39">
        <f t="shared" si="3"/>
        <v>0.39720599999999995</v>
      </c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  <c r="AA49" s="23"/>
      <c r="AB49" s="23"/>
      <c r="AC49" s="23"/>
      <c r="AD49" s="23"/>
      <c r="AE49" s="23"/>
      <c r="AF49" s="23"/>
      <c r="AG49" s="23"/>
      <c r="AH49" s="23"/>
      <c r="AI49" s="23"/>
      <c r="AJ49" s="23"/>
      <c r="AK49" s="23"/>
      <c r="AL49" s="23"/>
      <c r="AM49" s="23"/>
      <c r="AN49" s="23"/>
      <c r="AO49" s="23"/>
      <c r="AP49" s="23"/>
      <c r="AQ49" s="23"/>
      <c r="AR49" s="23"/>
      <c r="AS49" s="23"/>
      <c r="AT49" s="23"/>
      <c r="AU49" s="23"/>
      <c r="AV49" s="23"/>
      <c r="AW49" s="23"/>
      <c r="AX49" s="23"/>
      <c r="AY49" s="23"/>
      <c r="AZ49" s="23"/>
      <c r="BA49" s="23"/>
      <c r="BB49" s="23"/>
      <c r="BC49" s="23"/>
      <c r="BD49" s="23"/>
      <c r="BE49" s="23"/>
      <c r="BF49" s="23"/>
      <c r="BG49" s="23"/>
      <c r="BH49" s="23"/>
      <c r="BI49" s="23"/>
      <c r="BJ49" s="23"/>
      <c r="BK49" s="23"/>
      <c r="BL49" s="23"/>
      <c r="BM49" s="23"/>
      <c r="BN49" s="23"/>
      <c r="BO49" s="23"/>
      <c r="BP49" s="23"/>
      <c r="BQ49" s="23"/>
      <c r="BR49" s="23"/>
      <c r="BS49" s="23"/>
      <c r="BT49" s="23"/>
      <c r="BU49" s="23"/>
      <c r="BV49" s="23"/>
      <c r="BW49" s="23"/>
      <c r="BX49" s="23"/>
      <c r="BY49" s="23"/>
      <c r="BZ49" s="23"/>
      <c r="CA49" s="23"/>
      <c r="CB49" s="23"/>
      <c r="CC49" s="23"/>
      <c r="CD49" s="23"/>
      <c r="CE49" s="23"/>
      <c r="CF49" s="23"/>
      <c r="CG49" s="23"/>
      <c r="CH49" s="23"/>
      <c r="CI49" s="23"/>
      <c r="CJ49" s="23"/>
      <c r="CK49" s="23"/>
      <c r="CL49" s="23"/>
      <c r="CM49" s="23"/>
      <c r="CN49" s="23"/>
      <c r="CO49" s="23"/>
      <c r="CP49" s="23"/>
      <c r="CQ49" s="23"/>
      <c r="CR49" s="23"/>
      <c r="CS49" s="23"/>
      <c r="CT49" s="23"/>
      <c r="CU49" s="23"/>
      <c r="CV49" s="23"/>
      <c r="CW49" s="23"/>
      <c r="CX49" s="23"/>
      <c r="CY49" s="23"/>
      <c r="CZ49" s="23"/>
      <c r="DA49" s="23"/>
      <c r="DB49" s="23"/>
      <c r="DC49" s="23"/>
      <c r="DD49" s="23"/>
    </row>
    <row r="50" spans="1:108" x14ac:dyDescent="0.3">
      <c r="B50" s="7" t="s">
        <v>322</v>
      </c>
      <c r="C50" s="80">
        <v>34</v>
      </c>
      <c r="D50" s="80">
        <v>34</v>
      </c>
      <c r="E50" s="80"/>
      <c r="F50" s="80"/>
      <c r="G50" s="80"/>
      <c r="H50" s="80"/>
      <c r="I50" s="80"/>
      <c r="J50" s="80"/>
      <c r="K50" s="80"/>
      <c r="L50" s="80"/>
      <c r="M50" s="39">
        <f t="shared" si="3"/>
        <v>68</v>
      </c>
    </row>
    <row r="51" spans="1:108" x14ac:dyDescent="0.3">
      <c r="B51" s="7" t="s">
        <v>323</v>
      </c>
      <c r="C51" s="80">
        <v>0</v>
      </c>
      <c r="D51" s="80">
        <v>0</v>
      </c>
      <c r="E51" s="80"/>
      <c r="F51" s="80"/>
      <c r="G51" s="80"/>
      <c r="H51" s="80"/>
      <c r="I51" s="80"/>
      <c r="J51" s="80"/>
      <c r="K51" s="80"/>
      <c r="L51" s="80"/>
      <c r="M51" s="39">
        <f t="shared" si="3"/>
        <v>0</v>
      </c>
    </row>
    <row r="52" spans="1:108" x14ac:dyDescent="0.3">
      <c r="B52" s="3" t="s">
        <v>292</v>
      </c>
      <c r="C52" s="39">
        <f>(C34*'(ne pas modifier) BDD_REF'!$B$212+'RECeff + REIamont (2)'!C50*'(ne pas modifier) BDD_REF'!$B$213+'RECeff + REIamont (2)'!C51*'(ne pas modifier) BDD_REF'!$B$214)/1000</f>
        <v>0.18459999999999996</v>
      </c>
      <c r="D52" s="39">
        <f>(D34*'(ne pas modifier) BDD_REF'!$B$212+'RECeff + REIamont (2)'!D50*'(ne pas modifier) BDD_REF'!$B$213+'RECeff + REIamont (2)'!D51*'(ne pas modifier) BDD_REF'!$B$214)/1000</f>
        <v>0.18459999999999996</v>
      </c>
      <c r="E52" s="39">
        <f>(E34*'(ne pas modifier) BDD_REF'!$B$212+'RECeff + REIamont (2)'!E50*'(ne pas modifier) BDD_REF'!$B$213+'RECeff + REIamont (2)'!E51*'(ne pas modifier) BDD_REF'!$B$214)/1000</f>
        <v>0</v>
      </c>
      <c r="F52" s="39">
        <f>(F34*'(ne pas modifier) BDD_REF'!$B$212+'RECeff + REIamont (2)'!F50*'(ne pas modifier) BDD_REF'!$B$213+'RECeff + REIamont (2)'!F51*'(ne pas modifier) BDD_REF'!$B$214)/1000</f>
        <v>0</v>
      </c>
      <c r="G52" s="39">
        <f>(G34*'(ne pas modifier) BDD_REF'!$B$212+'RECeff + REIamont (2)'!G50*'(ne pas modifier) BDD_REF'!$B$213+'RECeff + REIamont (2)'!G51*'(ne pas modifier) BDD_REF'!$B$214)/1000</f>
        <v>0</v>
      </c>
      <c r="H52" s="39">
        <f>(H34*'(ne pas modifier) BDD_REF'!$B$212+'RECeff + REIamont (2)'!H50*'(ne pas modifier) BDD_REF'!$B$213+'RECeff + REIamont (2)'!H51*'(ne pas modifier) BDD_REF'!$B$214)/1000</f>
        <v>0</v>
      </c>
      <c r="I52" s="39">
        <f>(I34*'(ne pas modifier) BDD_REF'!$B$212+'RECeff + REIamont (2)'!I50*'(ne pas modifier) BDD_REF'!$B$213+'RECeff + REIamont (2)'!I51*'(ne pas modifier) BDD_REF'!$B$214)/1000</f>
        <v>0</v>
      </c>
      <c r="J52" s="39">
        <f>(J34*'(ne pas modifier) BDD_REF'!$B$212+'RECeff + REIamont (2)'!J50*'(ne pas modifier) BDD_REF'!$B$213+'RECeff + REIamont (2)'!J51*'(ne pas modifier) BDD_REF'!$B$214)/1000</f>
        <v>0</v>
      </c>
      <c r="K52" s="39">
        <f>(K34*'(ne pas modifier) BDD_REF'!$B$212+'RECeff + REIamont (2)'!K50*'(ne pas modifier) BDD_REF'!$B$213+'RECeff + REIamont (2)'!K51*'(ne pas modifier) BDD_REF'!$B$214)/1000</f>
        <v>0</v>
      </c>
      <c r="L52" s="39">
        <f>(L34*'(ne pas modifier) BDD_REF'!$B$212+'RECeff + REIamont (2)'!L50*'(ne pas modifier) BDD_REF'!$B$213+'RECeff + REIamont (2)'!L51*'(ne pas modifier) BDD_REF'!$B$214)/1000</f>
        <v>0</v>
      </c>
      <c r="M52" s="39">
        <f t="shared" si="3"/>
        <v>0.36919999999999992</v>
      </c>
    </row>
    <row r="53" spans="1:108" hidden="1" x14ac:dyDescent="0.3">
      <c r="A53" s="17" t="s">
        <v>179</v>
      </c>
      <c r="B53" s="3" t="s">
        <v>175</v>
      </c>
      <c r="C53" s="82"/>
      <c r="D53" s="82"/>
      <c r="E53" s="82"/>
      <c r="F53" s="82"/>
      <c r="G53" s="82"/>
      <c r="H53" s="82"/>
      <c r="I53" s="82"/>
      <c r="J53" s="82"/>
      <c r="K53" s="82"/>
      <c r="L53" s="82"/>
      <c r="M53" s="39">
        <f t="shared" si="3"/>
        <v>0</v>
      </c>
    </row>
    <row r="54" spans="1:108" x14ac:dyDescent="0.3">
      <c r="B54" s="7" t="s">
        <v>324</v>
      </c>
      <c r="C54" s="80">
        <v>0</v>
      </c>
      <c r="D54" s="80">
        <v>0</v>
      </c>
      <c r="E54" s="80"/>
      <c r="F54" s="80"/>
      <c r="G54" s="80"/>
      <c r="H54" s="80"/>
      <c r="I54" s="80"/>
      <c r="J54" s="80"/>
      <c r="K54" s="80"/>
      <c r="L54" s="80"/>
      <c r="M54" s="39">
        <f t="shared" si="3"/>
        <v>0</v>
      </c>
    </row>
    <row r="55" spans="1:108" x14ac:dyDescent="0.3">
      <c r="B55" s="7" t="s">
        <v>325</v>
      </c>
      <c r="C55" s="80">
        <v>1.75</v>
      </c>
      <c r="D55" s="80">
        <v>1.75</v>
      </c>
      <c r="E55" s="80"/>
      <c r="F55" s="80"/>
      <c r="G55" s="80"/>
      <c r="H55" s="80"/>
      <c r="I55" s="80"/>
      <c r="J55" s="80"/>
      <c r="K55" s="80"/>
      <c r="L55" s="80"/>
      <c r="M55" s="39">
        <f t="shared" si="3"/>
        <v>3.5</v>
      </c>
    </row>
    <row r="56" spans="1:108" x14ac:dyDescent="0.3">
      <c r="B56" s="7" t="s">
        <v>326</v>
      </c>
      <c r="C56" s="80">
        <v>0.15</v>
      </c>
      <c r="D56" s="80">
        <v>0.15</v>
      </c>
      <c r="E56" s="80"/>
      <c r="F56" s="80"/>
      <c r="G56" s="80"/>
      <c r="H56" s="80"/>
      <c r="I56" s="80"/>
      <c r="J56" s="80"/>
      <c r="K56" s="80"/>
      <c r="L56" s="80"/>
      <c r="M56" s="39">
        <f t="shared" si="3"/>
        <v>0.3</v>
      </c>
    </row>
    <row r="57" spans="1:108" x14ac:dyDescent="0.3">
      <c r="B57" s="7" t="s">
        <v>327</v>
      </c>
      <c r="C57" s="80"/>
      <c r="D57" s="80"/>
      <c r="E57" s="80"/>
      <c r="F57" s="80"/>
      <c r="G57" s="80"/>
      <c r="H57" s="80"/>
      <c r="I57" s="80"/>
      <c r="J57" s="80"/>
      <c r="K57" s="80"/>
      <c r="L57" s="80"/>
      <c r="M57" s="39">
        <f t="shared" si="3"/>
        <v>0</v>
      </c>
    </row>
    <row r="58" spans="1:108" x14ac:dyDescent="0.3">
      <c r="B58" s="3" t="s">
        <v>294</v>
      </c>
      <c r="C58" s="39">
        <f>(C54*'(ne pas modifier) BDD_REF'!$B$215+'RECeff + REIamont (2)'!C55*'(ne pas modifier) BDD_REF'!$B$216+'RECeff + REIamont (2)'!C56*'(ne pas modifier) BDD_REF'!$B$217+'RECeff + REIamont (2)'!C57*'(ne pas modifier) BDD_REF'!$B$218)/1000</f>
        <v>1.949385E-2</v>
      </c>
      <c r="D58" s="39">
        <f>(D54*'(ne pas modifier) BDD_REF'!$B$215+'RECeff + REIamont (2)'!D55*'(ne pas modifier) BDD_REF'!$B$216+'RECeff + REIamont (2)'!D56*'(ne pas modifier) BDD_REF'!$B$217+'RECeff + REIamont (2)'!D57*'(ne pas modifier) BDD_REF'!$B$218)/1000</f>
        <v>1.949385E-2</v>
      </c>
      <c r="E58" s="39">
        <f>(E54*'(ne pas modifier) BDD_REF'!$B$215+'RECeff + REIamont (2)'!E55*'(ne pas modifier) BDD_REF'!$B$216+'RECeff + REIamont (2)'!E56*'(ne pas modifier) BDD_REF'!$B$217+'RECeff + REIamont (2)'!E57*'(ne pas modifier) BDD_REF'!$B$218)/1000</f>
        <v>0</v>
      </c>
      <c r="F58" s="39">
        <f>(F54*'(ne pas modifier) BDD_REF'!$B$215+'RECeff + REIamont (2)'!F55*'(ne pas modifier) BDD_REF'!$B$216+'RECeff + REIamont (2)'!F56*'(ne pas modifier) BDD_REF'!$B$217+'RECeff + REIamont (2)'!F57*'(ne pas modifier) BDD_REF'!$B$218)/1000</f>
        <v>0</v>
      </c>
      <c r="G58" s="39">
        <f>(G54*'(ne pas modifier) BDD_REF'!$B$215+'RECeff + REIamont (2)'!G55*'(ne pas modifier) BDD_REF'!$B$216+'RECeff + REIamont (2)'!G56*'(ne pas modifier) BDD_REF'!$B$217+'RECeff + REIamont (2)'!G57*'(ne pas modifier) BDD_REF'!$B$218)/1000</f>
        <v>0</v>
      </c>
      <c r="H58" s="39">
        <f>(H54*'(ne pas modifier) BDD_REF'!$B$215+'RECeff + REIamont (2)'!H55*'(ne pas modifier) BDD_REF'!$B$216+'RECeff + REIamont (2)'!H56*'(ne pas modifier) BDD_REF'!$B$217+'RECeff + REIamont (2)'!H57*'(ne pas modifier) BDD_REF'!$B$218)/1000</f>
        <v>0</v>
      </c>
      <c r="I58" s="39">
        <f>(I54*'(ne pas modifier) BDD_REF'!$B$215+'RECeff + REIamont (2)'!I55*'(ne pas modifier) BDD_REF'!$B$216+'RECeff + REIamont (2)'!I56*'(ne pas modifier) BDD_REF'!$B$217+'RECeff + REIamont (2)'!I57*'(ne pas modifier) BDD_REF'!$B$218)/1000</f>
        <v>0</v>
      </c>
      <c r="J58" s="39">
        <f>(J54*'(ne pas modifier) BDD_REF'!$B$215+'RECeff + REIamont (2)'!J55*'(ne pas modifier) BDD_REF'!$B$216+'RECeff + REIamont (2)'!J56*'(ne pas modifier) BDD_REF'!$B$217+'RECeff + REIamont (2)'!J57*'(ne pas modifier) BDD_REF'!$B$218)/1000</f>
        <v>0</v>
      </c>
      <c r="K58" s="39">
        <f>(K54*'(ne pas modifier) BDD_REF'!$B$215+'RECeff + REIamont (2)'!K55*'(ne pas modifier) BDD_REF'!$B$216+'RECeff + REIamont (2)'!K56*'(ne pas modifier) BDD_REF'!$B$217+'RECeff + REIamont (2)'!K57*'(ne pas modifier) BDD_REF'!$B$218)/1000</f>
        <v>0</v>
      </c>
      <c r="L58" s="39">
        <f>(L54*'(ne pas modifier) BDD_REF'!$B$215+'RECeff + REIamont (2)'!L55*'(ne pas modifier) BDD_REF'!$B$216+'RECeff + REIamont (2)'!L56*'(ne pas modifier) BDD_REF'!$B$217+'RECeff + REIamont (2)'!L57*'(ne pas modifier) BDD_REF'!$B$218)/1000</f>
        <v>0</v>
      </c>
      <c r="M58" s="39">
        <f t="shared" si="3"/>
        <v>3.89877E-2</v>
      </c>
    </row>
    <row r="59" spans="1:108" s="16" customFormat="1" x14ac:dyDescent="0.3">
      <c r="A59" s="18"/>
      <c r="B59" s="19" t="s">
        <v>186</v>
      </c>
      <c r="C59" s="81">
        <f>C52+C53+C58</f>
        <v>0.20409384999999997</v>
      </c>
      <c r="D59" s="81">
        <f t="shared" ref="D59:L59" si="5">D52+D53+D58</f>
        <v>0.20409384999999997</v>
      </c>
      <c r="E59" s="81">
        <f t="shared" si="5"/>
        <v>0</v>
      </c>
      <c r="F59" s="81">
        <f t="shared" si="5"/>
        <v>0</v>
      </c>
      <c r="G59" s="81">
        <f t="shared" si="5"/>
        <v>0</v>
      </c>
      <c r="H59" s="81">
        <f t="shared" si="5"/>
        <v>0</v>
      </c>
      <c r="I59" s="81">
        <f t="shared" si="5"/>
        <v>0</v>
      </c>
      <c r="J59" s="81">
        <f t="shared" si="5"/>
        <v>0</v>
      </c>
      <c r="K59" s="81">
        <f t="shared" si="5"/>
        <v>0</v>
      </c>
      <c r="L59" s="81">
        <f t="shared" si="5"/>
        <v>0</v>
      </c>
      <c r="M59" s="39">
        <f t="shared" si="3"/>
        <v>0.40818769999999993</v>
      </c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23"/>
      <c r="AJ59" s="23"/>
      <c r="AK59" s="23"/>
      <c r="AL59" s="23"/>
      <c r="AM59" s="23"/>
      <c r="AN59" s="23"/>
      <c r="AO59" s="23"/>
      <c r="AP59" s="23"/>
      <c r="AQ59" s="23"/>
      <c r="AR59" s="23"/>
      <c r="AS59" s="23"/>
      <c r="AT59" s="23"/>
      <c r="AU59" s="23"/>
      <c r="AV59" s="23"/>
      <c r="AW59" s="23"/>
      <c r="AX59" s="23"/>
      <c r="AY59" s="23"/>
      <c r="AZ59" s="23"/>
      <c r="BA59" s="23"/>
      <c r="BB59" s="23"/>
      <c r="BC59" s="23"/>
      <c r="BD59" s="23"/>
      <c r="BE59" s="23"/>
      <c r="BF59" s="23"/>
      <c r="BG59" s="23"/>
      <c r="BH59" s="23"/>
      <c r="BI59" s="23"/>
      <c r="BJ59" s="23"/>
      <c r="BK59" s="23"/>
      <c r="BL59" s="23"/>
      <c r="BM59" s="23"/>
      <c r="BN59" s="23"/>
      <c r="BO59" s="23"/>
      <c r="BP59" s="23"/>
      <c r="BQ59" s="23"/>
      <c r="BR59" s="23"/>
      <c r="BS59" s="23"/>
      <c r="BT59" s="23"/>
      <c r="BU59" s="23"/>
      <c r="BV59" s="23"/>
      <c r="BW59" s="23"/>
      <c r="BX59" s="23"/>
      <c r="BY59" s="23"/>
      <c r="BZ59" s="23"/>
      <c r="CA59" s="23"/>
      <c r="CB59" s="23"/>
      <c r="CC59" s="23"/>
      <c r="CD59" s="23"/>
      <c r="CE59" s="23"/>
      <c r="CF59" s="23"/>
      <c r="CG59" s="23"/>
      <c r="CH59" s="23"/>
      <c r="CI59" s="23"/>
      <c r="CJ59" s="23"/>
      <c r="CK59" s="23"/>
      <c r="CL59" s="23"/>
      <c r="CM59" s="23"/>
      <c r="CN59" s="23"/>
      <c r="CO59" s="23"/>
      <c r="CP59" s="23"/>
      <c r="CQ59" s="23"/>
      <c r="CR59" s="23"/>
      <c r="CS59" s="23"/>
      <c r="CT59" s="23"/>
      <c r="CU59" s="23"/>
      <c r="CV59" s="23"/>
      <c r="CW59" s="23"/>
      <c r="CX59" s="23"/>
      <c r="CY59" s="23"/>
      <c r="CZ59" s="23"/>
      <c r="DA59" s="23"/>
      <c r="DB59" s="23"/>
      <c r="DC59" s="23"/>
      <c r="DD59" s="23"/>
    </row>
    <row r="60" spans="1:108" s="16" customFormat="1" x14ac:dyDescent="0.3">
      <c r="A60" s="18"/>
      <c r="B60" s="20" t="s">
        <v>144</v>
      </c>
      <c r="C60" s="20">
        <f>((C37+C38+C39)/1000*44/28*'(ne pas modifier) BDD_REF'!$B$232)+'RECeff + REIamont (2)'!C49+'RECeff + REIamont (2)'!C59</f>
        <v>0.64930584999999996</v>
      </c>
      <c r="D60" s="20">
        <f>((D37+D38+D39)/1000*44/28*'(ne pas modifier) BDD_REF'!$B$232)+'RECeff + REIamont (2)'!D49+'RECeff + REIamont (2)'!D59</f>
        <v>0.64930584999999996</v>
      </c>
      <c r="E60" s="20">
        <f>((E37+E38+E39)/1000*44/28*'(ne pas modifier) BDD_REF'!$B$232)+'RECeff + REIamont (2)'!E49+'RECeff + REIamont (2)'!E59</f>
        <v>0</v>
      </c>
      <c r="F60" s="20">
        <f>((F37+F38+F39)/1000*44/28*'(ne pas modifier) BDD_REF'!$B$232)+'RECeff + REIamont (2)'!F49+'RECeff + REIamont (2)'!F59</f>
        <v>0</v>
      </c>
      <c r="G60" s="20">
        <f>((G37+G38+G39)/1000*44/28*'(ne pas modifier) BDD_REF'!$B$232)+'RECeff + REIamont (2)'!G49+'RECeff + REIamont (2)'!G59</f>
        <v>0</v>
      </c>
      <c r="H60" s="20">
        <f>((H37+H38+H39)/1000*44/28*'(ne pas modifier) BDD_REF'!$B$232)+'RECeff + REIamont (2)'!H49+'RECeff + REIamont (2)'!H59</f>
        <v>0</v>
      </c>
      <c r="I60" s="20">
        <f>((I37+I38+I39)/1000*44/28*'(ne pas modifier) BDD_REF'!$B$232)+'RECeff + REIamont (2)'!I49+'RECeff + REIamont (2)'!I59</f>
        <v>0</v>
      </c>
      <c r="J60" s="20">
        <f>((J37+J38+J39)/1000*44/28*'(ne pas modifier) BDD_REF'!$B$232)+'RECeff + REIamont (2)'!J49+'RECeff + REIamont (2)'!J59</f>
        <v>0</v>
      </c>
      <c r="K60" s="20">
        <f>((K37+K38+K39)/1000*44/28*'(ne pas modifier) BDD_REF'!$B$232)+'RECeff + REIamont (2)'!K49+'RECeff + REIamont (2)'!K59</f>
        <v>0</v>
      </c>
      <c r="L60" s="20">
        <f>((L37+L38+L39)/1000*44/28*'(ne pas modifier) BDD_REF'!$B$232)+'RECeff + REIamont (2)'!L49+'RECeff + REIamont (2)'!L59</f>
        <v>0</v>
      </c>
      <c r="M60" s="20">
        <f t="shared" si="3"/>
        <v>1.2986116999999999</v>
      </c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3"/>
      <c r="AB60" s="23"/>
      <c r="AC60" s="23"/>
      <c r="AD60" s="23"/>
      <c r="AE60" s="23"/>
      <c r="AF60" s="23"/>
      <c r="AG60" s="23"/>
      <c r="AH60" s="23"/>
      <c r="AI60" s="23"/>
      <c r="AJ60" s="23"/>
      <c r="AK60" s="23"/>
      <c r="AL60" s="23"/>
      <c r="AM60" s="23"/>
      <c r="AN60" s="23"/>
      <c r="AO60" s="23"/>
      <c r="AP60" s="23"/>
      <c r="AQ60" s="23"/>
      <c r="AR60" s="23"/>
      <c r="AS60" s="23"/>
      <c r="AT60" s="23"/>
      <c r="AU60" s="23"/>
      <c r="AV60" s="23"/>
      <c r="AW60" s="23"/>
      <c r="AX60" s="23"/>
      <c r="AY60" s="23"/>
      <c r="AZ60" s="23"/>
      <c r="BA60" s="23"/>
      <c r="BB60" s="23"/>
      <c r="BC60" s="23"/>
      <c r="BD60" s="23"/>
      <c r="BE60" s="23"/>
      <c r="BF60" s="23"/>
      <c r="BG60" s="23"/>
      <c r="BH60" s="23"/>
      <c r="BI60" s="23"/>
      <c r="BJ60" s="23"/>
      <c r="BK60" s="23"/>
      <c r="BL60" s="23"/>
      <c r="BM60" s="23"/>
      <c r="BN60" s="23"/>
      <c r="BO60" s="23"/>
      <c r="BP60" s="23"/>
      <c r="BQ60" s="23"/>
      <c r="BR60" s="23"/>
      <c r="BS60" s="23"/>
      <c r="BT60" s="23"/>
      <c r="BU60" s="23"/>
      <c r="BV60" s="23"/>
      <c r="BW60" s="23"/>
      <c r="BX60" s="23"/>
      <c r="BY60" s="23"/>
      <c r="BZ60" s="23"/>
      <c r="CA60" s="23"/>
      <c r="CB60" s="23"/>
      <c r="CC60" s="23"/>
      <c r="CD60" s="23"/>
      <c r="CE60" s="23"/>
      <c r="CF60" s="23"/>
      <c r="CG60" s="23"/>
      <c r="CH60" s="23"/>
      <c r="CI60" s="23"/>
      <c r="CJ60" s="23"/>
      <c r="CK60" s="23"/>
      <c r="CL60" s="23"/>
      <c r="CM60" s="23"/>
      <c r="CN60" s="23"/>
      <c r="CO60" s="23"/>
      <c r="CP60" s="23"/>
      <c r="CQ60" s="23"/>
      <c r="CR60" s="23"/>
      <c r="CS60" s="23"/>
      <c r="CT60" s="23"/>
      <c r="CU60" s="23"/>
      <c r="CV60" s="23"/>
      <c r="CW60" s="23"/>
      <c r="CX60" s="23"/>
      <c r="CY60" s="23"/>
      <c r="CZ60" s="23"/>
      <c r="DA60" s="23"/>
      <c r="DB60" s="23"/>
      <c r="DC60" s="23"/>
      <c r="DD60" s="23"/>
    </row>
    <row r="61" spans="1:108" x14ac:dyDescent="0.3">
      <c r="A61" s="13" t="s">
        <v>148</v>
      </c>
      <c r="B61" s="7" t="s">
        <v>312</v>
      </c>
      <c r="C61" s="80">
        <v>40</v>
      </c>
      <c r="D61" s="80">
        <v>40</v>
      </c>
      <c r="E61" s="80"/>
      <c r="F61" s="80"/>
      <c r="G61" s="80"/>
      <c r="H61" s="80"/>
      <c r="I61" s="80"/>
      <c r="J61" s="80"/>
      <c r="K61" s="80"/>
      <c r="L61" s="80"/>
      <c r="M61" s="39">
        <f t="shared" si="3"/>
        <v>80</v>
      </c>
    </row>
    <row r="62" spans="1:108" x14ac:dyDescent="0.3">
      <c r="B62" s="7" t="s">
        <v>313</v>
      </c>
      <c r="C62" s="80"/>
      <c r="D62" s="80"/>
      <c r="E62" s="80"/>
      <c r="F62" s="80"/>
      <c r="G62" s="80"/>
      <c r="H62" s="80"/>
      <c r="I62" s="80"/>
      <c r="J62" s="80"/>
      <c r="K62" s="80"/>
      <c r="L62" s="80"/>
      <c r="M62" s="39">
        <f t="shared" si="3"/>
        <v>0</v>
      </c>
    </row>
    <row r="63" spans="1:108" x14ac:dyDescent="0.3">
      <c r="B63" s="7" t="s">
        <v>314</v>
      </c>
      <c r="C63" s="80"/>
      <c r="D63" s="80"/>
      <c r="E63" s="80"/>
      <c r="F63" s="80"/>
      <c r="G63" s="80"/>
      <c r="H63" s="80"/>
      <c r="I63" s="80"/>
      <c r="J63" s="80"/>
      <c r="K63" s="80"/>
      <c r="L63" s="80"/>
      <c r="M63" s="39">
        <f t="shared" si="3"/>
        <v>0</v>
      </c>
    </row>
    <row r="64" spans="1:108" x14ac:dyDescent="0.3">
      <c r="B64" s="19" t="s">
        <v>328</v>
      </c>
      <c r="C64" s="39">
        <f>C61*'(ne pas modifier) BDD_REF'!$B$207 + (C62+C63)*'(ne pas modifier) BDD_REF'!$B$208</f>
        <v>0.64</v>
      </c>
      <c r="D64" s="39">
        <f>D61*'(ne pas modifier) BDD_REF'!$B$207 + (D62+D63)*'(ne pas modifier) BDD_REF'!$B$208</f>
        <v>0.64</v>
      </c>
      <c r="E64" s="39">
        <f>E61*'(ne pas modifier) BDD_REF'!$B$207 + (E62+E63)*'(ne pas modifier) BDD_REF'!$B$208</f>
        <v>0</v>
      </c>
      <c r="F64" s="39">
        <f>F61*'(ne pas modifier) BDD_REF'!$B$207 + (F62+F63)*'(ne pas modifier) BDD_REF'!$B$208</f>
        <v>0</v>
      </c>
      <c r="G64" s="39">
        <f>G61*'(ne pas modifier) BDD_REF'!$B$207 + (G62+G63)*'(ne pas modifier) BDD_REF'!$B$208</f>
        <v>0</v>
      </c>
      <c r="H64" s="39">
        <f>H61*'(ne pas modifier) BDD_REF'!$B$207 + (H62+H63)*'(ne pas modifier) BDD_REF'!$B$208</f>
        <v>0</v>
      </c>
      <c r="I64" s="39">
        <f>I61*'(ne pas modifier) BDD_REF'!$B$207 + (I62+I63)*'(ne pas modifier) BDD_REF'!$B$208</f>
        <v>0</v>
      </c>
      <c r="J64" s="39">
        <f>J61*'(ne pas modifier) BDD_REF'!$B$207 + (J62+J63)*'(ne pas modifier) BDD_REF'!$B$208</f>
        <v>0</v>
      </c>
      <c r="K64" s="39">
        <f>K61*'(ne pas modifier) BDD_REF'!$B$207 + (K62+K63)*'(ne pas modifier) BDD_REF'!$B$208</f>
        <v>0</v>
      </c>
      <c r="L64" s="39">
        <f>L61*'(ne pas modifier) BDD_REF'!$B$207 + (L62+L63)*'(ne pas modifier) BDD_REF'!$B$208</f>
        <v>0</v>
      </c>
      <c r="M64" s="39">
        <f t="shared" si="3"/>
        <v>1.28</v>
      </c>
    </row>
    <row r="65" spans="1:108" x14ac:dyDescent="0.3">
      <c r="B65" s="19" t="s">
        <v>329</v>
      </c>
      <c r="C65" s="39">
        <f>((C61*'(ne pas modifier) BDD_REF'!$B$220)+('RECeff + REIamont (2)'!C62+'RECeff + REIamont (2)'!C63)*'(ne pas modifier) BDD_REF'!$B$221)*'(ne pas modifier) BDD_REF'!$B$209</f>
        <v>4.4000000000000004E-2</v>
      </c>
      <c r="D65" s="39">
        <f>((D61*'(ne pas modifier) BDD_REF'!$B$220)+('RECeff + REIamont (2)'!D62+'RECeff + REIamont (2)'!D63)*'(ne pas modifier) BDD_REF'!$B$221)*'(ne pas modifier) BDD_REF'!$B$209</f>
        <v>4.4000000000000004E-2</v>
      </c>
      <c r="E65" s="39">
        <f>((E61*'(ne pas modifier) BDD_REF'!$B$220)+('RECeff + REIamont (2)'!E62+'RECeff + REIamont (2)'!E63)*'(ne pas modifier) BDD_REF'!$B$221)*'(ne pas modifier) BDD_REF'!$B$209</f>
        <v>0</v>
      </c>
      <c r="F65" s="39">
        <f>((F61*'(ne pas modifier) BDD_REF'!$B$220)+('RECeff + REIamont (2)'!F62+'RECeff + REIamont (2)'!F63)*'(ne pas modifier) BDD_REF'!$B$221)*'(ne pas modifier) BDD_REF'!$B$209</f>
        <v>0</v>
      </c>
      <c r="G65" s="39">
        <f>((G61*'(ne pas modifier) BDD_REF'!$B$220)+('RECeff + REIamont (2)'!G62+'RECeff + REIamont (2)'!G63)*'(ne pas modifier) BDD_REF'!$B$221)*'(ne pas modifier) BDD_REF'!$B$209</f>
        <v>0</v>
      </c>
      <c r="H65" s="39">
        <f>((H61*'(ne pas modifier) BDD_REF'!$B$220)+('RECeff + REIamont (2)'!H62+'RECeff + REIamont (2)'!H63)*'(ne pas modifier) BDD_REF'!$B$221)*'(ne pas modifier) BDD_REF'!$B$209</f>
        <v>0</v>
      </c>
      <c r="I65" s="39">
        <f>((I61*'(ne pas modifier) BDD_REF'!$B$220)+('RECeff + REIamont (2)'!I62+'RECeff + REIamont (2)'!I63)*'(ne pas modifier) BDD_REF'!$B$221)*'(ne pas modifier) BDD_REF'!$B$209</f>
        <v>0</v>
      </c>
      <c r="J65" s="39">
        <f>((J61*'(ne pas modifier) BDD_REF'!$B$220)+('RECeff + REIamont (2)'!J62+'RECeff + REIamont (2)'!J63)*'(ne pas modifier) BDD_REF'!$B$221)*'(ne pas modifier) BDD_REF'!$B$209</f>
        <v>0</v>
      </c>
      <c r="K65" s="39">
        <f>((K61*'(ne pas modifier) BDD_REF'!$B$220)+('RECeff + REIamont (2)'!K62+'RECeff + REIamont (2)'!K63)*'(ne pas modifier) BDD_REF'!$B$221)*'(ne pas modifier) BDD_REF'!$B$209</f>
        <v>0</v>
      </c>
      <c r="L65" s="39">
        <f>((L61*'(ne pas modifier) BDD_REF'!$B$220)+('RECeff + REIamont (2)'!L62+'RECeff + REIamont (2)'!L63)*'(ne pas modifier) BDD_REF'!$B$221)*'(ne pas modifier) BDD_REF'!$B$209</f>
        <v>0</v>
      </c>
      <c r="M65" s="39">
        <f t="shared" si="3"/>
        <v>8.8000000000000009E-2</v>
      </c>
    </row>
    <row r="66" spans="1:108" x14ac:dyDescent="0.3">
      <c r="B66" s="19" t="s">
        <v>330</v>
      </c>
      <c r="C66" s="39">
        <f>(C61+C62+C63)*'(ne pas modifier) BDD_REF'!$B$222*'(ne pas modifier) BDD_REF'!$B$210</f>
        <v>0.10559999999999999</v>
      </c>
      <c r="D66" s="39">
        <f>(D61+D62+D63)*'(ne pas modifier) BDD_REF'!$B$222*'(ne pas modifier) BDD_REF'!$B$210</f>
        <v>0.10559999999999999</v>
      </c>
      <c r="E66" s="39">
        <f>(E61+E62+E63)*'(ne pas modifier) BDD_REF'!$B$222*'(ne pas modifier) BDD_REF'!$B$210</f>
        <v>0</v>
      </c>
      <c r="F66" s="39">
        <f>(F61+F62+F63)*'(ne pas modifier) BDD_REF'!$B$222*'(ne pas modifier) BDD_REF'!$B$210</f>
        <v>0</v>
      </c>
      <c r="G66" s="39">
        <f>(G61+G62+G63)*'(ne pas modifier) BDD_REF'!$B$222*'(ne pas modifier) BDD_REF'!$B$210</f>
        <v>0</v>
      </c>
      <c r="H66" s="39">
        <f>(H61+H62+H63)*'(ne pas modifier) BDD_REF'!$B$222*'(ne pas modifier) BDD_REF'!$B$210</f>
        <v>0</v>
      </c>
      <c r="I66" s="39">
        <f>(I61+I62+I63)*'(ne pas modifier) BDD_REF'!$B$222*'(ne pas modifier) BDD_REF'!$B$210</f>
        <v>0</v>
      </c>
      <c r="J66" s="39">
        <f>(J61+J62+J63)*'(ne pas modifier) BDD_REF'!$B$222*'(ne pas modifier) BDD_REF'!$B$210</f>
        <v>0</v>
      </c>
      <c r="K66" s="39">
        <f>(K61+K62+K63)*'(ne pas modifier) BDD_REF'!$B$222*'(ne pas modifier) BDD_REF'!$B$210</f>
        <v>0</v>
      </c>
      <c r="L66" s="39">
        <f>(L61+L62+L63)*'(ne pas modifier) BDD_REF'!$B$222*'(ne pas modifier) BDD_REF'!$B$210</f>
        <v>0</v>
      </c>
      <c r="M66" s="39">
        <f t="shared" si="3"/>
        <v>0.21119999999999997</v>
      </c>
    </row>
    <row r="67" spans="1:108" x14ac:dyDescent="0.3">
      <c r="B67" s="7" t="s">
        <v>315</v>
      </c>
      <c r="C67" s="80"/>
      <c r="D67" s="80"/>
      <c r="E67" s="80"/>
      <c r="F67" s="80"/>
      <c r="G67" s="80"/>
      <c r="H67" s="80"/>
      <c r="I67" s="80"/>
      <c r="J67" s="80"/>
      <c r="K67" s="80"/>
      <c r="L67" s="80"/>
      <c r="M67" s="39">
        <f t="shared" si="3"/>
        <v>0</v>
      </c>
    </row>
    <row r="68" spans="1:108" x14ac:dyDescent="0.3">
      <c r="B68" s="7" t="s">
        <v>316</v>
      </c>
      <c r="C68" s="80">
        <v>90</v>
      </c>
      <c r="D68" s="80">
        <v>90</v>
      </c>
      <c r="E68" s="80"/>
      <c r="F68" s="80"/>
      <c r="G68" s="80"/>
      <c r="H68" s="80"/>
      <c r="I68" s="80"/>
      <c r="J68" s="80"/>
      <c r="K68" s="80"/>
      <c r="L68" s="80"/>
      <c r="M68" s="39">
        <f t="shared" si="3"/>
        <v>180</v>
      </c>
    </row>
    <row r="69" spans="1:108" x14ac:dyDescent="0.3">
      <c r="B69" s="7" t="s">
        <v>317</v>
      </c>
      <c r="C69" s="80"/>
      <c r="D69" s="80"/>
      <c r="E69" s="80"/>
      <c r="F69" s="80"/>
      <c r="G69" s="80"/>
      <c r="H69" s="80"/>
      <c r="I69" s="80"/>
      <c r="J69" s="80"/>
      <c r="K69" s="80"/>
      <c r="L69" s="80"/>
      <c r="M69" s="39">
        <f t="shared" si="3"/>
        <v>0</v>
      </c>
    </row>
    <row r="70" spans="1:108" x14ac:dyDescent="0.3">
      <c r="B70" s="7" t="s">
        <v>318</v>
      </c>
      <c r="C70" s="80">
        <v>0</v>
      </c>
      <c r="D70" s="80">
        <v>0</v>
      </c>
      <c r="E70" s="80">
        <v>0</v>
      </c>
      <c r="F70" s="80">
        <v>0</v>
      </c>
      <c r="G70" s="80">
        <v>0</v>
      </c>
      <c r="H70" s="80">
        <v>0</v>
      </c>
      <c r="I70" s="80">
        <v>0</v>
      </c>
      <c r="J70" s="80">
        <v>0</v>
      </c>
      <c r="K70" s="80">
        <v>0</v>
      </c>
      <c r="L70" s="80">
        <v>0</v>
      </c>
      <c r="M70" s="39">
        <f t="shared" si="3"/>
        <v>0</v>
      </c>
    </row>
    <row r="71" spans="1:108" x14ac:dyDescent="0.3">
      <c r="B71" s="7" t="s">
        <v>319</v>
      </c>
      <c r="C71" s="80">
        <v>0</v>
      </c>
      <c r="D71" s="80">
        <v>0</v>
      </c>
      <c r="E71" s="80">
        <v>0</v>
      </c>
      <c r="F71" s="80">
        <v>0</v>
      </c>
      <c r="G71" s="80">
        <v>0</v>
      </c>
      <c r="H71" s="80">
        <v>0</v>
      </c>
      <c r="I71" s="80">
        <v>0</v>
      </c>
      <c r="J71" s="80">
        <v>0</v>
      </c>
      <c r="K71" s="80">
        <v>0</v>
      </c>
      <c r="L71" s="80">
        <v>0</v>
      </c>
      <c r="M71" s="39">
        <f t="shared" ref="M71:M102" si="6">SUM(C71:L71)</f>
        <v>0</v>
      </c>
    </row>
    <row r="72" spans="1:108" x14ac:dyDescent="0.3">
      <c r="B72" s="7" t="s">
        <v>320</v>
      </c>
      <c r="C72" s="80">
        <v>0</v>
      </c>
      <c r="D72" s="80">
        <v>0</v>
      </c>
      <c r="E72" s="80">
        <v>0</v>
      </c>
      <c r="F72" s="80">
        <v>0</v>
      </c>
      <c r="G72" s="80">
        <v>0</v>
      </c>
      <c r="H72" s="80">
        <v>0</v>
      </c>
      <c r="I72" s="80">
        <v>0</v>
      </c>
      <c r="J72" s="80">
        <v>0</v>
      </c>
      <c r="K72" s="80">
        <v>0</v>
      </c>
      <c r="L72" s="80">
        <v>0</v>
      </c>
      <c r="M72" s="39">
        <f t="shared" si="6"/>
        <v>0</v>
      </c>
    </row>
    <row r="73" spans="1:108" x14ac:dyDescent="0.3">
      <c r="B73" s="3" t="s">
        <v>173</v>
      </c>
      <c r="C73" s="39">
        <f>(C67*'(ne pas modifier) BDD_REF'!$C$225+'RECeff + REIamont (2)'!C68*'(ne pas modifier) BDD_REF'!$C$226+'RECeff + REIamont (2)'!C69*'(ne pas modifier) BDD_REF'!$C$227+'RECeff + REIamont (2)'!C70*'(ne pas modifier) BDD_REF'!$C$228+'RECeff + REIamont (2)'!C71*'(ne pas modifier) BDD_REF'!$C$229+'RECeff + REIamont (2)'!C72*'(ne pas modifier) BDD_REF'!$C$230)/1000</f>
        <v>0.27638999999999997</v>
      </c>
      <c r="D73" s="39">
        <f>(D67*'(ne pas modifier) BDD_REF'!$C$225+'RECeff + REIamont (2)'!D68*'(ne pas modifier) BDD_REF'!$C$226+'RECeff + REIamont (2)'!D69*'(ne pas modifier) BDD_REF'!$C$227+'RECeff + REIamont (2)'!D70*'(ne pas modifier) BDD_REF'!$C$228+'RECeff + REIamont (2)'!D71*'(ne pas modifier) BDD_REF'!$C$229+'RECeff + REIamont (2)'!D72*'(ne pas modifier) BDD_REF'!$C$230)/1000</f>
        <v>0.27638999999999997</v>
      </c>
      <c r="E73" s="39">
        <f>(E67*'(ne pas modifier) BDD_REF'!$C$225+'RECeff + REIamont (2)'!E68*'(ne pas modifier) BDD_REF'!$C$226+'RECeff + REIamont (2)'!E69*'(ne pas modifier) BDD_REF'!$C$227+'RECeff + REIamont (2)'!E70*'(ne pas modifier) BDD_REF'!$C$228+'RECeff + REIamont (2)'!E71*'(ne pas modifier) BDD_REF'!$C$229+'RECeff + REIamont (2)'!E72*'(ne pas modifier) BDD_REF'!$C$230)/1000</f>
        <v>0</v>
      </c>
      <c r="F73" s="39">
        <f>(F67*'(ne pas modifier) BDD_REF'!$C$225+'RECeff + REIamont (2)'!F68*'(ne pas modifier) BDD_REF'!$C$226+'RECeff + REIamont (2)'!F69*'(ne pas modifier) BDD_REF'!$C$227+'RECeff + REIamont (2)'!F70*'(ne pas modifier) BDD_REF'!$C$228+'RECeff + REIamont (2)'!F71*'(ne pas modifier) BDD_REF'!$C$229+'RECeff + REIamont (2)'!F72*'(ne pas modifier) BDD_REF'!$C$230)/1000</f>
        <v>0</v>
      </c>
      <c r="G73" s="39">
        <f>(G67*'(ne pas modifier) BDD_REF'!$C$225+'RECeff + REIamont (2)'!G68*'(ne pas modifier) BDD_REF'!$C$226+'RECeff + REIamont (2)'!G69*'(ne pas modifier) BDD_REF'!$C$227+'RECeff + REIamont (2)'!G70*'(ne pas modifier) BDD_REF'!$C$228+'RECeff + REIamont (2)'!G71*'(ne pas modifier) BDD_REF'!$C$229+'RECeff + REIamont (2)'!G72*'(ne pas modifier) BDD_REF'!$C$230)/1000</f>
        <v>0</v>
      </c>
      <c r="H73" s="39">
        <f>(H67*'(ne pas modifier) BDD_REF'!$C$225+'RECeff + REIamont (2)'!H68*'(ne pas modifier) BDD_REF'!$C$226+'RECeff + REIamont (2)'!H69*'(ne pas modifier) BDD_REF'!$C$227+'RECeff + REIamont (2)'!H70*'(ne pas modifier) BDD_REF'!$C$228+'RECeff + REIamont (2)'!H71*'(ne pas modifier) BDD_REF'!$C$229+'RECeff + REIamont (2)'!H72*'(ne pas modifier) BDD_REF'!$C$230)/1000</f>
        <v>0</v>
      </c>
      <c r="I73" s="39">
        <f>(I67*'(ne pas modifier) BDD_REF'!$C$225+'RECeff + REIamont (2)'!I68*'(ne pas modifier) BDD_REF'!$C$226+'RECeff + REIamont (2)'!I69*'(ne pas modifier) BDD_REF'!$C$227+'RECeff + REIamont (2)'!I70*'(ne pas modifier) BDD_REF'!$C$228+'RECeff + REIamont (2)'!I71*'(ne pas modifier) BDD_REF'!$C$229+'RECeff + REIamont (2)'!I72*'(ne pas modifier) BDD_REF'!$C$230)/1000</f>
        <v>0</v>
      </c>
      <c r="J73" s="39">
        <f>(J67*'(ne pas modifier) BDD_REF'!$C$225+'RECeff + REIamont (2)'!J68*'(ne pas modifier) BDD_REF'!$C$226+'RECeff + REIamont (2)'!J69*'(ne pas modifier) BDD_REF'!$C$227+'RECeff + REIamont (2)'!J70*'(ne pas modifier) BDD_REF'!$C$228+'RECeff + REIamont (2)'!J71*'(ne pas modifier) BDD_REF'!$C$229+'RECeff + REIamont (2)'!J72*'(ne pas modifier) BDD_REF'!$C$230)/1000</f>
        <v>0</v>
      </c>
      <c r="K73" s="39">
        <f>(K67*'(ne pas modifier) BDD_REF'!$C$225+'RECeff + REIamont (2)'!K68*'(ne pas modifier) BDD_REF'!$C$226+'RECeff + REIamont (2)'!K69*'(ne pas modifier) BDD_REF'!$C$227+'RECeff + REIamont (2)'!K70*'(ne pas modifier) BDD_REF'!$C$228+'RECeff + REIamont (2)'!K71*'(ne pas modifier) BDD_REF'!$C$229+'RECeff + REIamont (2)'!K72*'(ne pas modifier) BDD_REF'!$C$230)/1000</f>
        <v>0</v>
      </c>
      <c r="L73" s="39">
        <f>(L67*'(ne pas modifier) BDD_REF'!$C$225+'RECeff + REIamont (2)'!L68*'(ne pas modifier) BDD_REF'!$C$226+'RECeff + REIamont (2)'!L69*'(ne pas modifier) BDD_REF'!$C$227+'RECeff + REIamont (2)'!L70*'(ne pas modifier) BDD_REF'!$C$228+'RECeff + REIamont (2)'!L71*'(ne pas modifier) BDD_REF'!$C$229+'RECeff + REIamont (2)'!L72*'(ne pas modifier) BDD_REF'!$C$230)/1000</f>
        <v>0</v>
      </c>
      <c r="M73" s="39">
        <f t="shared" si="6"/>
        <v>0.55277999999999994</v>
      </c>
    </row>
    <row r="74" spans="1:108" x14ac:dyDescent="0.3">
      <c r="B74" s="7" t="s">
        <v>321</v>
      </c>
      <c r="C74" s="80">
        <v>120</v>
      </c>
      <c r="D74" s="80">
        <v>120</v>
      </c>
      <c r="E74" s="80"/>
      <c r="F74" s="80"/>
      <c r="G74" s="80"/>
      <c r="H74" s="80"/>
      <c r="I74" s="80"/>
      <c r="J74" s="80"/>
      <c r="K74" s="80"/>
      <c r="L74" s="80"/>
      <c r="M74" s="39">
        <f t="shared" si="6"/>
        <v>240</v>
      </c>
    </row>
    <row r="75" spans="1:108" x14ac:dyDescent="0.3">
      <c r="B75" s="3" t="s">
        <v>184</v>
      </c>
      <c r="C75" s="39">
        <f>(C74*'(ne pas modifier) BDD_REF'!$B$211)/1000</f>
        <v>6.8399999999999997E-3</v>
      </c>
      <c r="D75" s="39">
        <f>(D74*'(ne pas modifier) BDD_REF'!$B$211)/1000</f>
        <v>6.8399999999999997E-3</v>
      </c>
      <c r="E75" s="39">
        <f>(E74*'(ne pas modifier) BDD_REF'!$B$211)/1000</f>
        <v>0</v>
      </c>
      <c r="F75" s="39">
        <f>(F74*'(ne pas modifier) BDD_REF'!$B$211)/1000</f>
        <v>0</v>
      </c>
      <c r="G75" s="39">
        <f>(G74*'(ne pas modifier) BDD_REF'!$B$211)/1000</f>
        <v>0</v>
      </c>
      <c r="H75" s="39">
        <f>(H74*'(ne pas modifier) BDD_REF'!$B$211)/1000</f>
        <v>0</v>
      </c>
      <c r="I75" s="39">
        <f>(I74*'(ne pas modifier) BDD_REF'!$B$211)/1000</f>
        <v>0</v>
      </c>
      <c r="J75" s="39">
        <f>(J74*'(ne pas modifier) BDD_REF'!$B$211)/1000</f>
        <v>0</v>
      </c>
      <c r="K75" s="39">
        <f>(K74*'(ne pas modifier) BDD_REF'!$B$211)/1000</f>
        <v>0</v>
      </c>
      <c r="L75" s="39">
        <f>(L74*'(ne pas modifier) BDD_REF'!$B$211)/1000</f>
        <v>0</v>
      </c>
      <c r="M75" s="39">
        <f t="shared" si="6"/>
        <v>1.3679999999999999E-2</v>
      </c>
    </row>
    <row r="76" spans="1:108" s="16" customFormat="1" x14ac:dyDescent="0.3">
      <c r="A76" s="18"/>
      <c r="B76" s="19" t="s">
        <v>185</v>
      </c>
      <c r="C76" s="81">
        <f>C73+C75</f>
        <v>0.28322999999999998</v>
      </c>
      <c r="D76" s="81">
        <f t="shared" ref="D76:L76" si="7">D73+D75</f>
        <v>0.28322999999999998</v>
      </c>
      <c r="E76" s="81">
        <f t="shared" si="7"/>
        <v>0</v>
      </c>
      <c r="F76" s="81">
        <f t="shared" si="7"/>
        <v>0</v>
      </c>
      <c r="G76" s="81">
        <f t="shared" si="7"/>
        <v>0</v>
      </c>
      <c r="H76" s="81">
        <f t="shared" si="7"/>
        <v>0</v>
      </c>
      <c r="I76" s="81">
        <f t="shared" si="7"/>
        <v>0</v>
      </c>
      <c r="J76" s="81">
        <f t="shared" si="7"/>
        <v>0</v>
      </c>
      <c r="K76" s="81">
        <f t="shared" si="7"/>
        <v>0</v>
      </c>
      <c r="L76" s="81">
        <f t="shared" si="7"/>
        <v>0</v>
      </c>
      <c r="M76" s="39">
        <f t="shared" si="6"/>
        <v>0.56645999999999996</v>
      </c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3"/>
      <c r="AB76" s="23"/>
      <c r="AC76" s="23"/>
      <c r="AD76" s="23"/>
      <c r="AE76" s="23"/>
      <c r="AF76" s="23"/>
      <c r="AG76" s="23"/>
      <c r="AH76" s="23"/>
      <c r="AI76" s="23"/>
      <c r="AJ76" s="23"/>
      <c r="AK76" s="23"/>
      <c r="AL76" s="23"/>
      <c r="AM76" s="23"/>
      <c r="AN76" s="23"/>
      <c r="AO76" s="23"/>
      <c r="AP76" s="23"/>
      <c r="AQ76" s="23"/>
      <c r="AR76" s="23"/>
      <c r="AS76" s="23"/>
      <c r="AT76" s="23"/>
      <c r="AU76" s="23"/>
      <c r="AV76" s="23"/>
      <c r="AW76" s="23"/>
      <c r="AX76" s="23"/>
      <c r="AY76" s="23"/>
      <c r="AZ76" s="23"/>
      <c r="BA76" s="23"/>
      <c r="BB76" s="23"/>
      <c r="BC76" s="23"/>
      <c r="BD76" s="23"/>
      <c r="BE76" s="23"/>
      <c r="BF76" s="23"/>
      <c r="BG76" s="23"/>
      <c r="BH76" s="23"/>
      <c r="BI76" s="23"/>
      <c r="BJ76" s="23"/>
      <c r="BK76" s="23"/>
      <c r="BL76" s="23"/>
      <c r="BM76" s="23"/>
      <c r="BN76" s="23"/>
      <c r="BO76" s="23"/>
      <c r="BP76" s="23"/>
      <c r="BQ76" s="23"/>
      <c r="BR76" s="23"/>
      <c r="BS76" s="23"/>
      <c r="BT76" s="23"/>
      <c r="BU76" s="23"/>
      <c r="BV76" s="23"/>
      <c r="BW76" s="23"/>
      <c r="BX76" s="23"/>
      <c r="BY76" s="23"/>
      <c r="BZ76" s="23"/>
      <c r="CA76" s="23"/>
      <c r="CB76" s="23"/>
      <c r="CC76" s="23"/>
      <c r="CD76" s="23"/>
      <c r="CE76" s="23"/>
      <c r="CF76" s="23"/>
      <c r="CG76" s="23"/>
      <c r="CH76" s="23"/>
      <c r="CI76" s="23"/>
      <c r="CJ76" s="23"/>
      <c r="CK76" s="23"/>
      <c r="CL76" s="23"/>
      <c r="CM76" s="23"/>
      <c r="CN76" s="23"/>
      <c r="CO76" s="23"/>
      <c r="CP76" s="23"/>
      <c r="CQ76" s="23"/>
      <c r="CR76" s="23"/>
      <c r="CS76" s="23"/>
      <c r="CT76" s="23"/>
      <c r="CU76" s="23"/>
      <c r="CV76" s="23"/>
      <c r="CW76" s="23"/>
      <c r="CX76" s="23"/>
      <c r="CY76" s="23"/>
      <c r="CZ76" s="23"/>
      <c r="DA76" s="23"/>
      <c r="DB76" s="23"/>
      <c r="DC76" s="23"/>
      <c r="DD76" s="23"/>
    </row>
    <row r="77" spans="1:108" x14ac:dyDescent="0.3">
      <c r="B77" s="7" t="s">
        <v>322</v>
      </c>
      <c r="C77" s="80">
        <v>34</v>
      </c>
      <c r="D77" s="80">
        <v>34</v>
      </c>
      <c r="E77" s="80"/>
      <c r="F77" s="80"/>
      <c r="G77" s="80"/>
      <c r="H77" s="80"/>
      <c r="I77" s="80"/>
      <c r="J77" s="80"/>
      <c r="K77" s="80"/>
      <c r="L77" s="80"/>
      <c r="M77" s="39">
        <f t="shared" si="6"/>
        <v>68</v>
      </c>
    </row>
    <row r="78" spans="1:108" x14ac:dyDescent="0.3">
      <c r="B78" s="7" t="s">
        <v>323</v>
      </c>
      <c r="C78" s="80">
        <v>0</v>
      </c>
      <c r="D78" s="80">
        <v>0</v>
      </c>
      <c r="E78" s="80"/>
      <c r="F78" s="80"/>
      <c r="G78" s="80"/>
      <c r="H78" s="80"/>
      <c r="I78" s="80"/>
      <c r="J78" s="80"/>
      <c r="K78" s="80"/>
      <c r="L78" s="80"/>
      <c r="M78" s="39">
        <f t="shared" si="6"/>
        <v>0</v>
      </c>
    </row>
    <row r="79" spans="1:108" x14ac:dyDescent="0.3">
      <c r="B79" s="3" t="s">
        <v>292</v>
      </c>
      <c r="C79" s="39">
        <f>(C61*'(ne pas modifier) BDD_REF'!$B$212+'RECeff + REIamont (2)'!C77*'(ne pas modifier) BDD_REF'!$B$213+'RECeff + REIamont (2)'!C78*'(ne pas modifier) BDD_REF'!$B$214)/1000</f>
        <v>0.22969999999999999</v>
      </c>
      <c r="D79" s="39">
        <f>(D61*'(ne pas modifier) BDD_REF'!$B$212+'RECeff + REIamont (2)'!D77*'(ne pas modifier) BDD_REF'!$B$213+'RECeff + REIamont (2)'!D78*'(ne pas modifier) BDD_REF'!$B$214)/1000</f>
        <v>0.22969999999999999</v>
      </c>
      <c r="E79" s="39">
        <f>(E61*'(ne pas modifier) BDD_REF'!$B$212+'RECeff + REIamont (2)'!E77*'(ne pas modifier) BDD_REF'!$B$213+'RECeff + REIamont (2)'!E78*'(ne pas modifier) BDD_REF'!$B$214)/1000</f>
        <v>0</v>
      </c>
      <c r="F79" s="39">
        <f>(F61*'(ne pas modifier) BDD_REF'!$B$212+'RECeff + REIamont (2)'!F77*'(ne pas modifier) BDD_REF'!$B$213+'RECeff + REIamont (2)'!F78*'(ne pas modifier) BDD_REF'!$B$214)/1000</f>
        <v>0</v>
      </c>
      <c r="G79" s="39">
        <f>(G61*'(ne pas modifier) BDD_REF'!$B$212+'RECeff + REIamont (2)'!G77*'(ne pas modifier) BDD_REF'!$B$213+'RECeff + REIamont (2)'!G78*'(ne pas modifier) BDD_REF'!$B$214)/1000</f>
        <v>0</v>
      </c>
      <c r="H79" s="39">
        <f>(H61*'(ne pas modifier) BDD_REF'!$B$212+'RECeff + REIamont (2)'!H77*'(ne pas modifier) BDD_REF'!$B$213+'RECeff + REIamont (2)'!H78*'(ne pas modifier) BDD_REF'!$B$214)/1000</f>
        <v>0</v>
      </c>
      <c r="I79" s="39">
        <f>(I61*'(ne pas modifier) BDD_REF'!$B$212+'RECeff + REIamont (2)'!I77*'(ne pas modifier) BDD_REF'!$B$213+'RECeff + REIamont (2)'!I78*'(ne pas modifier) BDD_REF'!$B$214)/1000</f>
        <v>0</v>
      </c>
      <c r="J79" s="39">
        <f>(J61*'(ne pas modifier) BDD_REF'!$B$212+'RECeff + REIamont (2)'!J77*'(ne pas modifier) BDD_REF'!$B$213+'RECeff + REIamont (2)'!J78*'(ne pas modifier) BDD_REF'!$B$214)/1000</f>
        <v>0</v>
      </c>
      <c r="K79" s="39">
        <f>(K61*'(ne pas modifier) BDD_REF'!$B$212+'RECeff + REIamont (2)'!K77*'(ne pas modifier) BDD_REF'!$B$213+'RECeff + REIamont (2)'!K78*'(ne pas modifier) BDD_REF'!$B$214)/1000</f>
        <v>0</v>
      </c>
      <c r="L79" s="39">
        <f>(L61*'(ne pas modifier) BDD_REF'!$B$212+'RECeff + REIamont (2)'!L77*'(ne pas modifier) BDD_REF'!$B$213+'RECeff + REIamont (2)'!L78*'(ne pas modifier) BDD_REF'!$B$214)/1000</f>
        <v>0</v>
      </c>
      <c r="M79" s="39">
        <f t="shared" si="6"/>
        <v>0.45939999999999998</v>
      </c>
    </row>
    <row r="80" spans="1:108" hidden="1" x14ac:dyDescent="0.3">
      <c r="A80" s="17" t="s">
        <v>179</v>
      </c>
      <c r="B80" s="3" t="s">
        <v>175</v>
      </c>
      <c r="C80" s="82"/>
      <c r="D80" s="82"/>
      <c r="E80" s="82"/>
      <c r="F80" s="82"/>
      <c r="G80" s="82"/>
      <c r="H80" s="82"/>
      <c r="I80" s="82"/>
      <c r="J80" s="82"/>
      <c r="K80" s="82"/>
      <c r="L80" s="82"/>
      <c r="M80" s="39">
        <f t="shared" si="6"/>
        <v>0</v>
      </c>
    </row>
    <row r="81" spans="1:108" x14ac:dyDescent="0.3">
      <c r="B81" s="7" t="s">
        <v>324</v>
      </c>
      <c r="C81" s="80">
        <v>0.1875</v>
      </c>
      <c r="D81" s="80">
        <v>0.1875</v>
      </c>
      <c r="E81" s="80"/>
      <c r="F81" s="80"/>
      <c r="G81" s="80"/>
      <c r="H81" s="80"/>
      <c r="I81" s="80"/>
      <c r="J81" s="80"/>
      <c r="K81" s="80"/>
      <c r="L81" s="80"/>
      <c r="M81" s="39">
        <f t="shared" si="6"/>
        <v>0.375</v>
      </c>
    </row>
    <row r="82" spans="1:108" x14ac:dyDescent="0.3">
      <c r="B82" s="7" t="s">
        <v>325</v>
      </c>
      <c r="C82" s="80">
        <v>1.75</v>
      </c>
      <c r="D82" s="80">
        <v>1.75</v>
      </c>
      <c r="E82" s="80"/>
      <c r="F82" s="80"/>
      <c r="G82" s="80"/>
      <c r="H82" s="80"/>
      <c r="I82" s="80"/>
      <c r="J82" s="80"/>
      <c r="K82" s="80"/>
      <c r="L82" s="80"/>
      <c r="M82" s="39">
        <f t="shared" si="6"/>
        <v>3.5</v>
      </c>
    </row>
    <row r="83" spans="1:108" x14ac:dyDescent="0.3">
      <c r="B83" s="7" t="s">
        <v>326</v>
      </c>
      <c r="C83" s="80">
        <v>0.15</v>
      </c>
      <c r="D83" s="80">
        <v>0.15</v>
      </c>
      <c r="E83" s="80"/>
      <c r="F83" s="80"/>
      <c r="G83" s="80"/>
      <c r="H83" s="80"/>
      <c r="I83" s="80"/>
      <c r="J83" s="80"/>
      <c r="K83" s="80"/>
      <c r="L83" s="80"/>
      <c r="M83" s="39">
        <f t="shared" si="6"/>
        <v>0.3</v>
      </c>
    </row>
    <row r="84" spans="1:108" x14ac:dyDescent="0.3">
      <c r="B84" s="7" t="s">
        <v>327</v>
      </c>
      <c r="C84" s="80"/>
      <c r="D84" s="80"/>
      <c r="E84" s="80"/>
      <c r="F84" s="80"/>
      <c r="G84" s="80"/>
      <c r="H84" s="80"/>
      <c r="I84" s="80"/>
      <c r="J84" s="80"/>
      <c r="K84" s="80"/>
      <c r="L84" s="80"/>
      <c r="M84" s="39">
        <f t="shared" si="6"/>
        <v>0</v>
      </c>
    </row>
    <row r="85" spans="1:108" x14ac:dyDescent="0.3">
      <c r="B85" s="3" t="s">
        <v>294</v>
      </c>
      <c r="C85" s="39">
        <f>(C81*'(ne pas modifier) BDD_REF'!$B$215+'RECeff + REIamont (2)'!C82*'(ne pas modifier) BDD_REF'!$B$216+'RECeff + REIamont (2)'!C83*'(ne pas modifier) BDD_REF'!$B$217+'RECeff + REIamont (2)'!C84*'(ne pas modifier) BDD_REF'!$B$218)/1000</f>
        <v>2.0620537499999998E-2</v>
      </c>
      <c r="D85" s="39">
        <f>(D81*'(ne pas modifier) BDD_REF'!$B$215+'RECeff + REIamont (2)'!D82*'(ne pas modifier) BDD_REF'!$B$216+'RECeff + REIamont (2)'!D83*'(ne pas modifier) BDD_REF'!$B$217+'RECeff + REIamont (2)'!D84*'(ne pas modifier) BDD_REF'!$B$218)/1000</f>
        <v>2.0620537499999998E-2</v>
      </c>
      <c r="E85" s="39">
        <f>(E81*'(ne pas modifier) BDD_REF'!$B$215+'RECeff + REIamont (2)'!E82*'(ne pas modifier) BDD_REF'!$B$216+'RECeff + REIamont (2)'!E83*'(ne pas modifier) BDD_REF'!$B$217+'RECeff + REIamont (2)'!E84*'(ne pas modifier) BDD_REF'!$B$218)/1000</f>
        <v>0</v>
      </c>
      <c r="F85" s="39">
        <f>(F81*'(ne pas modifier) BDD_REF'!$B$215+'RECeff + REIamont (2)'!F82*'(ne pas modifier) BDD_REF'!$B$216+'RECeff + REIamont (2)'!F83*'(ne pas modifier) BDD_REF'!$B$217+'RECeff + REIamont (2)'!F84*'(ne pas modifier) BDD_REF'!$B$218)/1000</f>
        <v>0</v>
      </c>
      <c r="G85" s="39">
        <f>(G81*'(ne pas modifier) BDD_REF'!$B$215+'RECeff + REIamont (2)'!G82*'(ne pas modifier) BDD_REF'!$B$216+'RECeff + REIamont (2)'!G83*'(ne pas modifier) BDD_REF'!$B$217+'RECeff + REIamont (2)'!G84*'(ne pas modifier) BDD_REF'!$B$218)/1000</f>
        <v>0</v>
      </c>
      <c r="H85" s="39">
        <f>(H81*'(ne pas modifier) BDD_REF'!$B$215+'RECeff + REIamont (2)'!H82*'(ne pas modifier) BDD_REF'!$B$216+'RECeff + REIamont (2)'!H83*'(ne pas modifier) BDD_REF'!$B$217+'RECeff + REIamont (2)'!H84*'(ne pas modifier) BDD_REF'!$B$218)/1000</f>
        <v>0</v>
      </c>
      <c r="I85" s="39">
        <f>(I81*'(ne pas modifier) BDD_REF'!$B$215+'RECeff + REIamont (2)'!I82*'(ne pas modifier) BDD_REF'!$B$216+'RECeff + REIamont (2)'!I83*'(ne pas modifier) BDD_REF'!$B$217+'RECeff + REIamont (2)'!I84*'(ne pas modifier) BDD_REF'!$B$218)/1000</f>
        <v>0</v>
      </c>
      <c r="J85" s="39">
        <f>(J81*'(ne pas modifier) BDD_REF'!$B$215+'RECeff + REIamont (2)'!J82*'(ne pas modifier) BDD_REF'!$B$216+'RECeff + REIamont (2)'!J83*'(ne pas modifier) BDD_REF'!$B$217+'RECeff + REIamont (2)'!J84*'(ne pas modifier) BDD_REF'!$B$218)/1000</f>
        <v>0</v>
      </c>
      <c r="K85" s="39">
        <f>(K81*'(ne pas modifier) BDD_REF'!$B$215+'RECeff + REIamont (2)'!K82*'(ne pas modifier) BDD_REF'!$B$216+'RECeff + REIamont (2)'!K83*'(ne pas modifier) BDD_REF'!$B$217+'RECeff + REIamont (2)'!K84*'(ne pas modifier) BDD_REF'!$B$218)/1000</f>
        <v>0</v>
      </c>
      <c r="L85" s="39">
        <f>(L81*'(ne pas modifier) BDD_REF'!$B$215+'RECeff + REIamont (2)'!L82*'(ne pas modifier) BDD_REF'!$B$216+'RECeff + REIamont (2)'!L83*'(ne pas modifier) BDD_REF'!$B$217+'RECeff + REIamont (2)'!L84*'(ne pas modifier) BDD_REF'!$B$218)/1000</f>
        <v>0</v>
      </c>
      <c r="M85" s="39">
        <f t="shared" si="6"/>
        <v>4.1241074999999995E-2</v>
      </c>
    </row>
    <row r="86" spans="1:108" s="16" customFormat="1" x14ac:dyDescent="0.3">
      <c r="A86" s="18"/>
      <c r="B86" s="19" t="s">
        <v>186</v>
      </c>
      <c r="C86" s="81">
        <f>C79+C80+C85</f>
        <v>0.2503205375</v>
      </c>
      <c r="D86" s="81">
        <f t="shared" ref="D86:L86" si="8">D79+D80+D85</f>
        <v>0.2503205375</v>
      </c>
      <c r="E86" s="81">
        <f t="shared" si="8"/>
        <v>0</v>
      </c>
      <c r="F86" s="81">
        <f t="shared" si="8"/>
        <v>0</v>
      </c>
      <c r="G86" s="81">
        <f t="shared" si="8"/>
        <v>0</v>
      </c>
      <c r="H86" s="81">
        <f t="shared" si="8"/>
        <v>0</v>
      </c>
      <c r="I86" s="81">
        <f t="shared" si="8"/>
        <v>0</v>
      </c>
      <c r="J86" s="81">
        <f t="shared" si="8"/>
        <v>0</v>
      </c>
      <c r="K86" s="81">
        <f t="shared" si="8"/>
        <v>0</v>
      </c>
      <c r="L86" s="81">
        <f t="shared" si="8"/>
        <v>0</v>
      </c>
      <c r="M86" s="39">
        <f t="shared" si="6"/>
        <v>0.50064107499999999</v>
      </c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23"/>
      <c r="AH86" s="23"/>
      <c r="AI86" s="23"/>
      <c r="AJ86" s="23"/>
      <c r="AK86" s="23"/>
      <c r="AL86" s="23"/>
      <c r="AM86" s="23"/>
      <c r="AN86" s="23"/>
      <c r="AO86" s="23"/>
      <c r="AP86" s="23"/>
      <c r="AQ86" s="23"/>
      <c r="AR86" s="23"/>
      <c r="AS86" s="23"/>
      <c r="AT86" s="23"/>
      <c r="AU86" s="23"/>
      <c r="AV86" s="23"/>
      <c r="AW86" s="23"/>
      <c r="AX86" s="23"/>
      <c r="AY86" s="23"/>
      <c r="AZ86" s="23"/>
      <c r="BA86" s="23"/>
      <c r="BB86" s="23"/>
      <c r="BC86" s="23"/>
      <c r="BD86" s="23"/>
      <c r="BE86" s="23"/>
      <c r="BF86" s="23"/>
      <c r="BG86" s="23"/>
      <c r="BH86" s="23"/>
      <c r="BI86" s="23"/>
      <c r="BJ86" s="23"/>
      <c r="BK86" s="23"/>
      <c r="BL86" s="23"/>
      <c r="BM86" s="23"/>
      <c r="BN86" s="23"/>
      <c r="BO86" s="23"/>
      <c r="BP86" s="23"/>
      <c r="BQ86" s="23"/>
      <c r="BR86" s="23"/>
      <c r="BS86" s="23"/>
      <c r="BT86" s="23"/>
      <c r="BU86" s="23"/>
      <c r="BV86" s="23"/>
      <c r="BW86" s="23"/>
      <c r="BX86" s="23"/>
      <c r="BY86" s="23"/>
      <c r="BZ86" s="23"/>
      <c r="CA86" s="23"/>
      <c r="CB86" s="23"/>
      <c r="CC86" s="23"/>
      <c r="CD86" s="23"/>
      <c r="CE86" s="23"/>
      <c r="CF86" s="23"/>
      <c r="CG86" s="23"/>
      <c r="CH86" s="23"/>
      <c r="CI86" s="23"/>
      <c r="CJ86" s="23"/>
      <c r="CK86" s="23"/>
      <c r="CL86" s="23"/>
      <c r="CM86" s="23"/>
      <c r="CN86" s="23"/>
      <c r="CO86" s="23"/>
      <c r="CP86" s="23"/>
      <c r="CQ86" s="23"/>
      <c r="CR86" s="23"/>
      <c r="CS86" s="23"/>
      <c r="CT86" s="23"/>
      <c r="CU86" s="23"/>
      <c r="CV86" s="23"/>
      <c r="CW86" s="23"/>
      <c r="CX86" s="23"/>
      <c r="CY86" s="23"/>
      <c r="CZ86" s="23"/>
      <c r="DA86" s="23"/>
      <c r="DB86" s="23"/>
      <c r="DC86" s="23"/>
      <c r="DD86" s="23"/>
    </row>
    <row r="87" spans="1:108" s="16" customFormat="1" x14ac:dyDescent="0.3">
      <c r="A87" s="18"/>
      <c r="B87" s="20" t="s">
        <v>144</v>
      </c>
      <c r="C87" s="20">
        <f>((C64+C65+C66)/1000*44/28*'(ne pas modifier) BDD_REF'!$B$232)+'RECeff + REIamont (2)'!C76+'RECeff + REIamont (2)'!C86</f>
        <v>0.86236253749999991</v>
      </c>
      <c r="D87" s="20">
        <f>((D64+D65+D66)/1000*44/28*'(ne pas modifier) BDD_REF'!$B$232)+'RECeff + REIamont (2)'!D76+'RECeff + REIamont (2)'!D86</f>
        <v>0.86236253749999991</v>
      </c>
      <c r="E87" s="20">
        <f>((E64+E65+E66)/1000*44/28*'(ne pas modifier) BDD_REF'!$B$232)+'RECeff + REIamont (2)'!E76+'RECeff + REIamont (2)'!E86</f>
        <v>0</v>
      </c>
      <c r="F87" s="20">
        <f>((F64+F65+F66)/1000*44/28*'(ne pas modifier) BDD_REF'!$B$232)+'RECeff + REIamont (2)'!F76+'RECeff + REIamont (2)'!F86</f>
        <v>0</v>
      </c>
      <c r="G87" s="20">
        <f>((G64+G65+G66)/1000*44/28*'(ne pas modifier) BDD_REF'!$B$232)+'RECeff + REIamont (2)'!G76+'RECeff + REIamont (2)'!G86</f>
        <v>0</v>
      </c>
      <c r="H87" s="20">
        <f>((H64+H65+H66)/1000*44/28*'(ne pas modifier) BDD_REF'!$B$232)+'RECeff + REIamont (2)'!H76+'RECeff + REIamont (2)'!H86</f>
        <v>0</v>
      </c>
      <c r="I87" s="20">
        <f>((I64+I65+I66)/1000*44/28*'(ne pas modifier) BDD_REF'!$B$232)+'RECeff + REIamont (2)'!I76+'RECeff + REIamont (2)'!I86</f>
        <v>0</v>
      </c>
      <c r="J87" s="20">
        <f>((J64+J65+J66)/1000*44/28*'(ne pas modifier) BDD_REF'!$B$232)+'RECeff + REIamont (2)'!J76+'RECeff + REIamont (2)'!J86</f>
        <v>0</v>
      </c>
      <c r="K87" s="20">
        <f>((K64+K65+K66)/1000*44/28*'(ne pas modifier) BDD_REF'!$B$232)+'RECeff + REIamont (2)'!K76+'RECeff + REIamont (2)'!K86</f>
        <v>0</v>
      </c>
      <c r="L87" s="20">
        <f>((L64+L65+L66)/1000*44/28*'(ne pas modifier) BDD_REF'!$B$232)+'RECeff + REIamont (2)'!L76+'RECeff + REIamont (2)'!L86</f>
        <v>0</v>
      </c>
      <c r="M87" s="20">
        <f t="shared" si="6"/>
        <v>1.7247250749999998</v>
      </c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23"/>
      <c r="AB87" s="23"/>
      <c r="AC87" s="23"/>
      <c r="AD87" s="23"/>
      <c r="AE87" s="23"/>
      <c r="AF87" s="23"/>
      <c r="AG87" s="23"/>
      <c r="AH87" s="23"/>
      <c r="AI87" s="23"/>
      <c r="AJ87" s="23"/>
      <c r="AK87" s="23"/>
      <c r="AL87" s="23"/>
      <c r="AM87" s="23"/>
      <c r="AN87" s="23"/>
      <c r="AO87" s="23"/>
      <c r="AP87" s="23"/>
      <c r="AQ87" s="23"/>
      <c r="AR87" s="23"/>
      <c r="AS87" s="23"/>
      <c r="AT87" s="23"/>
      <c r="AU87" s="23"/>
      <c r="AV87" s="23"/>
      <c r="AW87" s="23"/>
      <c r="AX87" s="23"/>
      <c r="AY87" s="23"/>
      <c r="AZ87" s="23"/>
      <c r="BA87" s="23"/>
      <c r="BB87" s="23"/>
      <c r="BC87" s="23"/>
      <c r="BD87" s="23"/>
      <c r="BE87" s="23"/>
      <c r="BF87" s="23"/>
      <c r="BG87" s="23"/>
      <c r="BH87" s="23"/>
      <c r="BI87" s="23"/>
      <c r="BJ87" s="23"/>
      <c r="BK87" s="23"/>
      <c r="BL87" s="23"/>
      <c r="BM87" s="23"/>
      <c r="BN87" s="23"/>
      <c r="BO87" s="23"/>
      <c r="BP87" s="23"/>
      <c r="BQ87" s="23"/>
      <c r="BR87" s="23"/>
      <c r="BS87" s="23"/>
      <c r="BT87" s="23"/>
      <c r="BU87" s="23"/>
      <c r="BV87" s="23"/>
      <c r="BW87" s="23"/>
      <c r="BX87" s="23"/>
      <c r="BY87" s="23"/>
      <c r="BZ87" s="23"/>
      <c r="CA87" s="23"/>
      <c r="CB87" s="23"/>
      <c r="CC87" s="23"/>
      <c r="CD87" s="23"/>
      <c r="CE87" s="23"/>
      <c r="CF87" s="23"/>
      <c r="CG87" s="23"/>
      <c r="CH87" s="23"/>
      <c r="CI87" s="23"/>
      <c r="CJ87" s="23"/>
      <c r="CK87" s="23"/>
      <c r="CL87" s="23"/>
      <c r="CM87" s="23"/>
      <c r="CN87" s="23"/>
      <c r="CO87" s="23"/>
      <c r="CP87" s="23"/>
      <c r="CQ87" s="23"/>
      <c r="CR87" s="23"/>
      <c r="CS87" s="23"/>
      <c r="CT87" s="23"/>
      <c r="CU87" s="23"/>
      <c r="CV87" s="23"/>
      <c r="CW87" s="23"/>
      <c r="CX87" s="23"/>
      <c r="CY87" s="23"/>
      <c r="CZ87" s="23"/>
      <c r="DA87" s="23"/>
      <c r="DB87" s="23"/>
      <c r="DC87" s="23"/>
      <c r="DD87" s="23"/>
    </row>
    <row r="88" spans="1:108" x14ac:dyDescent="0.3">
      <c r="A88" s="13" t="s">
        <v>149</v>
      </c>
      <c r="B88" s="7" t="s">
        <v>312</v>
      </c>
      <c r="C88" s="80">
        <v>50</v>
      </c>
      <c r="D88" s="80">
        <v>50</v>
      </c>
      <c r="E88" s="80"/>
      <c r="F88" s="80"/>
      <c r="G88" s="80"/>
      <c r="H88" s="80"/>
      <c r="I88" s="80"/>
      <c r="J88" s="80"/>
      <c r="K88" s="80"/>
      <c r="L88" s="80"/>
      <c r="M88" s="39">
        <f t="shared" si="6"/>
        <v>100</v>
      </c>
    </row>
    <row r="89" spans="1:108" x14ac:dyDescent="0.3">
      <c r="B89" s="7" t="s">
        <v>313</v>
      </c>
      <c r="C89" s="80"/>
      <c r="D89" s="80"/>
      <c r="E89" s="80"/>
      <c r="F89" s="80"/>
      <c r="G89" s="80"/>
      <c r="H89" s="80"/>
      <c r="I89" s="80"/>
      <c r="J89" s="80"/>
      <c r="K89" s="80"/>
      <c r="L89" s="80"/>
      <c r="M89" s="39">
        <f t="shared" si="6"/>
        <v>0</v>
      </c>
    </row>
    <row r="90" spans="1:108" x14ac:dyDescent="0.3">
      <c r="B90" s="7" t="s">
        <v>314</v>
      </c>
      <c r="C90" s="80"/>
      <c r="D90" s="80"/>
      <c r="E90" s="80"/>
      <c r="F90" s="80"/>
      <c r="G90" s="80"/>
      <c r="H90" s="80"/>
      <c r="I90" s="80"/>
      <c r="J90" s="80"/>
      <c r="K90" s="80"/>
      <c r="L90" s="80"/>
      <c r="M90" s="39">
        <f t="shared" si="6"/>
        <v>0</v>
      </c>
    </row>
    <row r="91" spans="1:108" x14ac:dyDescent="0.3">
      <c r="B91" s="19" t="s">
        <v>328</v>
      </c>
      <c r="C91" s="39">
        <f>C88*'(ne pas modifier) BDD_REF'!$B$207 + (C89+C90)*'(ne pas modifier) BDD_REF'!$B$208</f>
        <v>0.8</v>
      </c>
      <c r="D91" s="39">
        <f>D88*'(ne pas modifier) BDD_REF'!$B$207 + (D89+D90)*'(ne pas modifier) BDD_REF'!$B$208</f>
        <v>0.8</v>
      </c>
      <c r="E91" s="39">
        <f>E88*'(ne pas modifier) BDD_REF'!$B$207 + (E89+E90)*'(ne pas modifier) BDD_REF'!$B$208</f>
        <v>0</v>
      </c>
      <c r="F91" s="39">
        <f>F88*'(ne pas modifier) BDD_REF'!$B$207 + (F89+F90)*'(ne pas modifier) BDD_REF'!$B$208</f>
        <v>0</v>
      </c>
      <c r="G91" s="39">
        <f>G88*'(ne pas modifier) BDD_REF'!$B$207 + (G89+G90)*'(ne pas modifier) BDD_REF'!$B$208</f>
        <v>0</v>
      </c>
      <c r="H91" s="39">
        <f>H88*'(ne pas modifier) BDD_REF'!$B$207 + (H89+H90)*'(ne pas modifier) BDD_REF'!$B$208</f>
        <v>0</v>
      </c>
      <c r="I91" s="39">
        <f>I88*'(ne pas modifier) BDD_REF'!$B$207 + (I89+I90)*'(ne pas modifier) BDD_REF'!$B$208</f>
        <v>0</v>
      </c>
      <c r="J91" s="39">
        <f>J88*'(ne pas modifier) BDD_REF'!$B$207 + (J89+J90)*'(ne pas modifier) BDD_REF'!$B$208</f>
        <v>0</v>
      </c>
      <c r="K91" s="39">
        <f>K88*'(ne pas modifier) BDD_REF'!$B$207 + (K89+K90)*'(ne pas modifier) BDD_REF'!$B$208</f>
        <v>0</v>
      </c>
      <c r="L91" s="39">
        <f>L88*'(ne pas modifier) BDD_REF'!$B$207 + (L89+L90)*'(ne pas modifier) BDD_REF'!$B$208</f>
        <v>0</v>
      </c>
      <c r="M91" s="39">
        <f t="shared" si="6"/>
        <v>1.6</v>
      </c>
    </row>
    <row r="92" spans="1:108" x14ac:dyDescent="0.3">
      <c r="B92" s="19" t="s">
        <v>329</v>
      </c>
      <c r="C92" s="39">
        <f>((C88*'(ne pas modifier) BDD_REF'!$B$220)+('RECeff + REIamont (2)'!C89+'RECeff + REIamont (2)'!C90)*'(ne pas modifier) BDD_REF'!$B$221)*'(ne pas modifier) BDD_REF'!$B$209</f>
        <v>5.5E-2</v>
      </c>
      <c r="D92" s="39">
        <f>((D88*'(ne pas modifier) BDD_REF'!$B$220)+('RECeff + REIamont (2)'!D89+'RECeff + REIamont (2)'!D90)*'(ne pas modifier) BDD_REF'!$B$221)*'(ne pas modifier) BDD_REF'!$B$209</f>
        <v>5.5E-2</v>
      </c>
      <c r="E92" s="39">
        <f>((E88*'(ne pas modifier) BDD_REF'!$B$220)+('RECeff + REIamont (2)'!E89+'RECeff + REIamont (2)'!E90)*'(ne pas modifier) BDD_REF'!$B$221)*'(ne pas modifier) BDD_REF'!$B$209</f>
        <v>0</v>
      </c>
      <c r="F92" s="39">
        <f>((F88*'(ne pas modifier) BDD_REF'!$B$220)+('RECeff + REIamont (2)'!F89+'RECeff + REIamont (2)'!F90)*'(ne pas modifier) BDD_REF'!$B$221)*'(ne pas modifier) BDD_REF'!$B$209</f>
        <v>0</v>
      </c>
      <c r="G92" s="39">
        <f>((G88*'(ne pas modifier) BDD_REF'!$B$220)+('RECeff + REIamont (2)'!G89+'RECeff + REIamont (2)'!G90)*'(ne pas modifier) BDD_REF'!$B$221)*'(ne pas modifier) BDD_REF'!$B$209</f>
        <v>0</v>
      </c>
      <c r="H92" s="39">
        <f>((H88*'(ne pas modifier) BDD_REF'!$B$220)+('RECeff + REIamont (2)'!H89+'RECeff + REIamont (2)'!H90)*'(ne pas modifier) BDD_REF'!$B$221)*'(ne pas modifier) BDD_REF'!$B$209</f>
        <v>0</v>
      </c>
      <c r="I92" s="39">
        <f>((I88*'(ne pas modifier) BDD_REF'!$B$220)+('RECeff + REIamont (2)'!I89+'RECeff + REIamont (2)'!I90)*'(ne pas modifier) BDD_REF'!$B$221)*'(ne pas modifier) BDD_REF'!$B$209</f>
        <v>0</v>
      </c>
      <c r="J92" s="39">
        <f>((J88*'(ne pas modifier) BDD_REF'!$B$220)+('RECeff + REIamont (2)'!J89+'RECeff + REIamont (2)'!J90)*'(ne pas modifier) BDD_REF'!$B$221)*'(ne pas modifier) BDD_REF'!$B$209</f>
        <v>0</v>
      </c>
      <c r="K92" s="39">
        <f>((K88*'(ne pas modifier) BDD_REF'!$B$220)+('RECeff + REIamont (2)'!K89+'RECeff + REIamont (2)'!K90)*'(ne pas modifier) BDD_REF'!$B$221)*'(ne pas modifier) BDD_REF'!$B$209</f>
        <v>0</v>
      </c>
      <c r="L92" s="39">
        <f>((L88*'(ne pas modifier) BDD_REF'!$B$220)+('RECeff + REIamont (2)'!L89+'RECeff + REIamont (2)'!L90)*'(ne pas modifier) BDD_REF'!$B$221)*'(ne pas modifier) BDD_REF'!$B$209</f>
        <v>0</v>
      </c>
      <c r="M92" s="39">
        <f t="shared" si="6"/>
        <v>0.11</v>
      </c>
    </row>
    <row r="93" spans="1:108" x14ac:dyDescent="0.3">
      <c r="B93" s="19" t="s">
        <v>330</v>
      </c>
      <c r="C93" s="39">
        <f>(C88+C89+C90)*'(ne pas modifier) BDD_REF'!$B$222*'(ne pas modifier) BDD_REF'!$B$210</f>
        <v>0.13200000000000001</v>
      </c>
      <c r="D93" s="39">
        <f>(D88+D89+D90)*'(ne pas modifier) BDD_REF'!$B$222*'(ne pas modifier) BDD_REF'!$B$210</f>
        <v>0.13200000000000001</v>
      </c>
      <c r="E93" s="39">
        <f>(E88+E89+E90)*'(ne pas modifier) BDD_REF'!$B$222*'(ne pas modifier) BDD_REF'!$B$210</f>
        <v>0</v>
      </c>
      <c r="F93" s="39">
        <f>(F88+F89+F90)*'(ne pas modifier) BDD_REF'!$B$222*'(ne pas modifier) BDD_REF'!$B$210</f>
        <v>0</v>
      </c>
      <c r="G93" s="39">
        <f>(G88+G89+G90)*'(ne pas modifier) BDD_REF'!$B$222*'(ne pas modifier) BDD_REF'!$B$210</f>
        <v>0</v>
      </c>
      <c r="H93" s="39">
        <f>(H88+H89+H90)*'(ne pas modifier) BDD_REF'!$B$222*'(ne pas modifier) BDD_REF'!$B$210</f>
        <v>0</v>
      </c>
      <c r="I93" s="39">
        <f>(I88+I89+I90)*'(ne pas modifier) BDD_REF'!$B$222*'(ne pas modifier) BDD_REF'!$B$210</f>
        <v>0</v>
      </c>
      <c r="J93" s="39">
        <f>(J88+J89+J90)*'(ne pas modifier) BDD_REF'!$B$222*'(ne pas modifier) BDD_REF'!$B$210</f>
        <v>0</v>
      </c>
      <c r="K93" s="39">
        <f>(K88+K89+K90)*'(ne pas modifier) BDD_REF'!$B$222*'(ne pas modifier) BDD_REF'!$B$210</f>
        <v>0</v>
      </c>
      <c r="L93" s="39">
        <f>(L88+L89+L90)*'(ne pas modifier) BDD_REF'!$B$222*'(ne pas modifier) BDD_REF'!$B$210</f>
        <v>0</v>
      </c>
      <c r="M93" s="39">
        <f t="shared" si="6"/>
        <v>0.26400000000000001</v>
      </c>
    </row>
    <row r="94" spans="1:108" x14ac:dyDescent="0.3">
      <c r="B94" s="7" t="s">
        <v>315</v>
      </c>
      <c r="C94" s="80"/>
      <c r="D94" s="80"/>
      <c r="E94" s="80"/>
      <c r="F94" s="80"/>
      <c r="G94" s="80"/>
      <c r="H94" s="80"/>
      <c r="I94" s="80"/>
      <c r="J94" s="80"/>
      <c r="K94" s="80"/>
      <c r="L94" s="80"/>
      <c r="M94" s="39">
        <f t="shared" si="6"/>
        <v>0</v>
      </c>
    </row>
    <row r="95" spans="1:108" x14ac:dyDescent="0.3">
      <c r="B95" s="7" t="s">
        <v>316</v>
      </c>
      <c r="C95" s="80">
        <v>141</v>
      </c>
      <c r="D95" s="80">
        <v>141</v>
      </c>
      <c r="E95" s="80"/>
      <c r="F95" s="80"/>
      <c r="G95" s="80"/>
      <c r="H95" s="80"/>
      <c r="I95" s="80"/>
      <c r="J95" s="80"/>
      <c r="K95" s="80"/>
      <c r="L95" s="80"/>
      <c r="M95" s="39">
        <f t="shared" si="6"/>
        <v>282</v>
      </c>
    </row>
    <row r="96" spans="1:108" x14ac:dyDescent="0.3">
      <c r="B96" s="7" t="s">
        <v>317</v>
      </c>
      <c r="C96" s="80"/>
      <c r="D96" s="80"/>
      <c r="E96" s="80"/>
      <c r="F96" s="80"/>
      <c r="G96" s="80"/>
      <c r="H96" s="80"/>
      <c r="I96" s="80"/>
      <c r="J96" s="80"/>
      <c r="K96" s="80"/>
      <c r="L96" s="80"/>
      <c r="M96" s="39">
        <f t="shared" si="6"/>
        <v>0</v>
      </c>
    </row>
    <row r="97" spans="1:108" x14ac:dyDescent="0.3">
      <c r="B97" s="7" t="s">
        <v>318</v>
      </c>
      <c r="C97" s="80">
        <v>0</v>
      </c>
      <c r="D97" s="80">
        <v>0</v>
      </c>
      <c r="E97" s="80">
        <v>0</v>
      </c>
      <c r="F97" s="80">
        <v>0</v>
      </c>
      <c r="G97" s="80">
        <v>0</v>
      </c>
      <c r="H97" s="80">
        <v>0</v>
      </c>
      <c r="I97" s="80">
        <v>0</v>
      </c>
      <c r="J97" s="80">
        <v>0</v>
      </c>
      <c r="K97" s="80">
        <v>0</v>
      </c>
      <c r="L97" s="80">
        <v>0</v>
      </c>
      <c r="M97" s="39">
        <f t="shared" si="6"/>
        <v>0</v>
      </c>
    </row>
    <row r="98" spans="1:108" x14ac:dyDescent="0.3">
      <c r="B98" s="7" t="s">
        <v>319</v>
      </c>
      <c r="C98" s="80">
        <v>0</v>
      </c>
      <c r="D98" s="80">
        <v>0</v>
      </c>
      <c r="E98" s="80">
        <v>0</v>
      </c>
      <c r="F98" s="80">
        <v>0</v>
      </c>
      <c r="G98" s="80">
        <v>0</v>
      </c>
      <c r="H98" s="80">
        <v>0</v>
      </c>
      <c r="I98" s="80">
        <v>0</v>
      </c>
      <c r="J98" s="80">
        <v>0</v>
      </c>
      <c r="K98" s="80">
        <v>0</v>
      </c>
      <c r="L98" s="80">
        <v>0</v>
      </c>
      <c r="M98" s="39">
        <f t="shared" si="6"/>
        <v>0</v>
      </c>
    </row>
    <row r="99" spans="1:108" x14ac:dyDescent="0.3">
      <c r="B99" s="7" t="s">
        <v>320</v>
      </c>
      <c r="C99" s="80">
        <v>0</v>
      </c>
      <c r="D99" s="80">
        <v>0</v>
      </c>
      <c r="E99" s="80">
        <v>0</v>
      </c>
      <c r="F99" s="80">
        <v>0</v>
      </c>
      <c r="G99" s="80">
        <v>0</v>
      </c>
      <c r="H99" s="80">
        <v>0</v>
      </c>
      <c r="I99" s="80">
        <v>0</v>
      </c>
      <c r="J99" s="80">
        <v>0</v>
      </c>
      <c r="K99" s="80">
        <v>0</v>
      </c>
      <c r="L99" s="80">
        <v>0</v>
      </c>
      <c r="M99" s="39">
        <f t="shared" si="6"/>
        <v>0</v>
      </c>
    </row>
    <row r="100" spans="1:108" x14ac:dyDescent="0.3">
      <c r="B100" s="3" t="s">
        <v>173</v>
      </c>
      <c r="C100" s="39">
        <f>(C94*'(ne pas modifier) BDD_REF'!$C$225+'RECeff + REIamont (2)'!C95*'(ne pas modifier) BDD_REF'!$C$226+'RECeff + REIamont (2)'!C96*'(ne pas modifier) BDD_REF'!$C$227+'RECeff + REIamont (2)'!C97*'(ne pas modifier) BDD_REF'!$C$228+'RECeff + REIamont (2)'!C98*'(ne pas modifier) BDD_REF'!$C$229+'RECeff + REIamont (2)'!C99*'(ne pas modifier) BDD_REF'!$C$230)/1000</f>
        <v>0.43301099999999998</v>
      </c>
      <c r="D100" s="39">
        <f>(D94*'(ne pas modifier) BDD_REF'!$C$225+'RECeff + REIamont (2)'!D95*'(ne pas modifier) BDD_REF'!$C$226+'RECeff + REIamont (2)'!D96*'(ne pas modifier) BDD_REF'!$C$227+'RECeff + REIamont (2)'!D97*'(ne pas modifier) BDD_REF'!$C$228+'RECeff + REIamont (2)'!D98*'(ne pas modifier) BDD_REF'!$C$229+'RECeff + REIamont (2)'!D99*'(ne pas modifier) BDD_REF'!$C$230)/1000</f>
        <v>0.43301099999999998</v>
      </c>
      <c r="E100" s="39">
        <f>(E94*'(ne pas modifier) BDD_REF'!$C$225+'RECeff + REIamont (2)'!E95*'(ne pas modifier) BDD_REF'!$C$226+'RECeff + REIamont (2)'!E96*'(ne pas modifier) BDD_REF'!$C$227+'RECeff + REIamont (2)'!E97*'(ne pas modifier) BDD_REF'!$C$228+'RECeff + REIamont (2)'!E98*'(ne pas modifier) BDD_REF'!$C$229+'RECeff + REIamont (2)'!E99*'(ne pas modifier) BDD_REF'!$C$230)/1000</f>
        <v>0</v>
      </c>
      <c r="F100" s="39">
        <f>(F94*'(ne pas modifier) BDD_REF'!$C$225+'RECeff + REIamont (2)'!F95*'(ne pas modifier) BDD_REF'!$C$226+'RECeff + REIamont (2)'!F96*'(ne pas modifier) BDD_REF'!$C$227+'RECeff + REIamont (2)'!F97*'(ne pas modifier) BDD_REF'!$C$228+'RECeff + REIamont (2)'!F98*'(ne pas modifier) BDD_REF'!$C$229+'RECeff + REIamont (2)'!F99*'(ne pas modifier) BDD_REF'!$C$230)/1000</f>
        <v>0</v>
      </c>
      <c r="G100" s="39">
        <f>(G94*'(ne pas modifier) BDD_REF'!$C$225+'RECeff + REIamont (2)'!G95*'(ne pas modifier) BDD_REF'!$C$226+'RECeff + REIamont (2)'!G96*'(ne pas modifier) BDD_REF'!$C$227+'RECeff + REIamont (2)'!G97*'(ne pas modifier) BDD_REF'!$C$228+'RECeff + REIamont (2)'!G98*'(ne pas modifier) BDD_REF'!$C$229+'RECeff + REIamont (2)'!G99*'(ne pas modifier) BDD_REF'!$C$230)/1000</f>
        <v>0</v>
      </c>
      <c r="H100" s="39">
        <f>(H94*'(ne pas modifier) BDD_REF'!$C$225+'RECeff + REIamont (2)'!H95*'(ne pas modifier) BDD_REF'!$C$226+'RECeff + REIamont (2)'!H96*'(ne pas modifier) BDD_REF'!$C$227+'RECeff + REIamont (2)'!H97*'(ne pas modifier) BDD_REF'!$C$228+'RECeff + REIamont (2)'!H98*'(ne pas modifier) BDD_REF'!$C$229+'RECeff + REIamont (2)'!H99*'(ne pas modifier) BDD_REF'!$C$230)/1000</f>
        <v>0</v>
      </c>
      <c r="I100" s="39">
        <f>(I94*'(ne pas modifier) BDD_REF'!$C$225+'RECeff + REIamont (2)'!I95*'(ne pas modifier) BDD_REF'!$C$226+'RECeff + REIamont (2)'!I96*'(ne pas modifier) BDD_REF'!$C$227+'RECeff + REIamont (2)'!I97*'(ne pas modifier) BDD_REF'!$C$228+'RECeff + REIamont (2)'!I98*'(ne pas modifier) BDD_REF'!$C$229+'RECeff + REIamont (2)'!I99*'(ne pas modifier) BDD_REF'!$C$230)/1000</f>
        <v>0</v>
      </c>
      <c r="J100" s="39">
        <f>(J94*'(ne pas modifier) BDD_REF'!$C$225+'RECeff + REIamont (2)'!J95*'(ne pas modifier) BDD_REF'!$C$226+'RECeff + REIamont (2)'!J96*'(ne pas modifier) BDD_REF'!$C$227+'RECeff + REIamont (2)'!J97*'(ne pas modifier) BDD_REF'!$C$228+'RECeff + REIamont (2)'!J98*'(ne pas modifier) BDD_REF'!$C$229+'RECeff + REIamont (2)'!J99*'(ne pas modifier) BDD_REF'!$C$230)/1000</f>
        <v>0</v>
      </c>
      <c r="K100" s="39">
        <f>(K94*'(ne pas modifier) BDD_REF'!$C$225+'RECeff + REIamont (2)'!K95*'(ne pas modifier) BDD_REF'!$C$226+'RECeff + REIamont (2)'!K96*'(ne pas modifier) BDD_REF'!$C$227+'RECeff + REIamont (2)'!K97*'(ne pas modifier) BDD_REF'!$C$228+'RECeff + REIamont (2)'!K98*'(ne pas modifier) BDD_REF'!$C$229+'RECeff + REIamont (2)'!K99*'(ne pas modifier) BDD_REF'!$C$230)/1000</f>
        <v>0</v>
      </c>
      <c r="L100" s="39">
        <f>(L94*'(ne pas modifier) BDD_REF'!$C$225+'RECeff + REIamont (2)'!L95*'(ne pas modifier) BDD_REF'!$C$226+'RECeff + REIamont (2)'!L96*'(ne pas modifier) BDD_REF'!$C$227+'RECeff + REIamont (2)'!L97*'(ne pas modifier) BDD_REF'!$C$228+'RECeff + REIamont (2)'!L98*'(ne pas modifier) BDD_REF'!$C$229+'RECeff + REIamont (2)'!L99*'(ne pas modifier) BDD_REF'!$C$230)/1000</f>
        <v>0</v>
      </c>
      <c r="M100" s="39">
        <f t="shared" si="6"/>
        <v>0.86602199999999996</v>
      </c>
    </row>
    <row r="101" spans="1:108" x14ac:dyDescent="0.3">
      <c r="B101" s="7" t="s">
        <v>321</v>
      </c>
      <c r="C101" s="80">
        <v>150</v>
      </c>
      <c r="D101" s="80">
        <v>150</v>
      </c>
      <c r="E101" s="80"/>
      <c r="F101" s="80"/>
      <c r="G101" s="80"/>
      <c r="H101" s="80"/>
      <c r="I101" s="80"/>
      <c r="J101" s="80"/>
      <c r="K101" s="80"/>
      <c r="L101" s="80"/>
      <c r="M101" s="39">
        <f t="shared" si="6"/>
        <v>300</v>
      </c>
    </row>
    <row r="102" spans="1:108" x14ac:dyDescent="0.3">
      <c r="B102" s="3" t="s">
        <v>184</v>
      </c>
      <c r="C102" s="39">
        <f>(C101*'(ne pas modifier) BDD_REF'!$B$211)/1000</f>
        <v>8.5500000000000003E-3</v>
      </c>
      <c r="D102" s="39">
        <f>(D101*'(ne pas modifier) BDD_REF'!$B$211)/1000</f>
        <v>8.5500000000000003E-3</v>
      </c>
      <c r="E102" s="39">
        <f>(E101*'(ne pas modifier) BDD_REF'!$B$211)/1000</f>
        <v>0</v>
      </c>
      <c r="F102" s="39">
        <f>(F101*'(ne pas modifier) BDD_REF'!$B$211)/1000</f>
        <v>0</v>
      </c>
      <c r="G102" s="39">
        <f>(G101*'(ne pas modifier) BDD_REF'!$B$211)/1000</f>
        <v>0</v>
      </c>
      <c r="H102" s="39">
        <f>(H101*'(ne pas modifier) BDD_REF'!$B$211)/1000</f>
        <v>0</v>
      </c>
      <c r="I102" s="39">
        <f>(I101*'(ne pas modifier) BDD_REF'!$B$211)/1000</f>
        <v>0</v>
      </c>
      <c r="J102" s="39">
        <f>(J101*'(ne pas modifier) BDD_REF'!$B$211)/1000</f>
        <v>0</v>
      </c>
      <c r="K102" s="39">
        <f>(K101*'(ne pas modifier) BDD_REF'!$B$211)/1000</f>
        <v>0</v>
      </c>
      <c r="L102" s="39">
        <f>(L101*'(ne pas modifier) BDD_REF'!$B$211)/1000</f>
        <v>0</v>
      </c>
      <c r="M102" s="39">
        <f t="shared" si="6"/>
        <v>1.7100000000000001E-2</v>
      </c>
    </row>
    <row r="103" spans="1:108" s="16" customFormat="1" x14ac:dyDescent="0.3">
      <c r="A103" s="18"/>
      <c r="B103" s="19" t="s">
        <v>185</v>
      </c>
      <c r="C103" s="81">
        <f>C100+C102</f>
        <v>0.44156099999999998</v>
      </c>
      <c r="D103" s="81">
        <f t="shared" ref="D103:L103" si="9">D100+D102</f>
        <v>0.44156099999999998</v>
      </c>
      <c r="E103" s="81">
        <f t="shared" si="9"/>
        <v>0</v>
      </c>
      <c r="F103" s="81">
        <f t="shared" si="9"/>
        <v>0</v>
      </c>
      <c r="G103" s="81">
        <f t="shared" si="9"/>
        <v>0</v>
      </c>
      <c r="H103" s="81">
        <f t="shared" si="9"/>
        <v>0</v>
      </c>
      <c r="I103" s="81">
        <f t="shared" si="9"/>
        <v>0</v>
      </c>
      <c r="J103" s="81">
        <f t="shared" si="9"/>
        <v>0</v>
      </c>
      <c r="K103" s="81">
        <f t="shared" si="9"/>
        <v>0</v>
      </c>
      <c r="L103" s="81">
        <f t="shared" si="9"/>
        <v>0</v>
      </c>
      <c r="M103" s="39">
        <f t="shared" ref="M103:M134" si="10">SUM(C103:L103)</f>
        <v>0.88312199999999996</v>
      </c>
      <c r="P103" s="23"/>
      <c r="Q103" s="23"/>
      <c r="R103" s="23"/>
      <c r="S103" s="23"/>
      <c r="T103" s="23"/>
      <c r="U103" s="23"/>
      <c r="V103" s="23"/>
      <c r="W103" s="23"/>
      <c r="X103" s="23"/>
      <c r="Y103" s="23"/>
      <c r="Z103" s="23"/>
      <c r="AA103" s="23"/>
      <c r="AB103" s="23"/>
      <c r="AC103" s="23"/>
      <c r="AD103" s="23"/>
      <c r="AE103" s="23"/>
      <c r="AF103" s="23"/>
      <c r="AG103" s="23"/>
      <c r="AH103" s="23"/>
      <c r="AI103" s="23"/>
      <c r="AJ103" s="23"/>
      <c r="AK103" s="23"/>
      <c r="AL103" s="23"/>
      <c r="AM103" s="23"/>
      <c r="AN103" s="23"/>
      <c r="AO103" s="23"/>
      <c r="AP103" s="23"/>
      <c r="AQ103" s="23"/>
      <c r="AR103" s="23"/>
      <c r="AS103" s="23"/>
      <c r="AT103" s="23"/>
      <c r="AU103" s="23"/>
      <c r="AV103" s="23"/>
      <c r="AW103" s="23"/>
      <c r="AX103" s="23"/>
      <c r="AY103" s="23"/>
      <c r="AZ103" s="23"/>
      <c r="BA103" s="23"/>
      <c r="BB103" s="23"/>
      <c r="BC103" s="23"/>
      <c r="BD103" s="23"/>
      <c r="BE103" s="23"/>
      <c r="BF103" s="23"/>
      <c r="BG103" s="23"/>
      <c r="BH103" s="23"/>
      <c r="BI103" s="23"/>
      <c r="BJ103" s="23"/>
      <c r="BK103" s="23"/>
      <c r="BL103" s="23"/>
      <c r="BM103" s="23"/>
      <c r="BN103" s="23"/>
      <c r="BO103" s="23"/>
      <c r="BP103" s="23"/>
      <c r="BQ103" s="23"/>
      <c r="BR103" s="23"/>
      <c r="BS103" s="23"/>
      <c r="BT103" s="23"/>
      <c r="BU103" s="23"/>
      <c r="BV103" s="23"/>
      <c r="BW103" s="23"/>
      <c r="BX103" s="23"/>
      <c r="BY103" s="23"/>
      <c r="BZ103" s="23"/>
      <c r="CA103" s="23"/>
      <c r="CB103" s="23"/>
      <c r="CC103" s="23"/>
      <c r="CD103" s="23"/>
      <c r="CE103" s="23"/>
      <c r="CF103" s="23"/>
      <c r="CG103" s="23"/>
      <c r="CH103" s="23"/>
      <c r="CI103" s="23"/>
      <c r="CJ103" s="23"/>
      <c r="CK103" s="23"/>
      <c r="CL103" s="23"/>
      <c r="CM103" s="23"/>
      <c r="CN103" s="23"/>
      <c r="CO103" s="23"/>
      <c r="CP103" s="23"/>
      <c r="CQ103" s="23"/>
      <c r="CR103" s="23"/>
      <c r="CS103" s="23"/>
      <c r="CT103" s="23"/>
      <c r="CU103" s="23"/>
      <c r="CV103" s="23"/>
      <c r="CW103" s="23"/>
      <c r="CX103" s="23"/>
      <c r="CY103" s="23"/>
      <c r="CZ103" s="23"/>
      <c r="DA103" s="23"/>
      <c r="DB103" s="23"/>
      <c r="DC103" s="23"/>
      <c r="DD103" s="23"/>
    </row>
    <row r="104" spans="1:108" x14ac:dyDescent="0.3">
      <c r="B104" s="7" t="s">
        <v>322</v>
      </c>
      <c r="C104" s="80">
        <v>18</v>
      </c>
      <c r="D104" s="80">
        <v>18</v>
      </c>
      <c r="E104" s="80"/>
      <c r="F104" s="80"/>
      <c r="G104" s="80"/>
      <c r="H104" s="80"/>
      <c r="I104" s="80"/>
      <c r="J104" s="80"/>
      <c r="K104" s="80"/>
      <c r="L104" s="80"/>
      <c r="M104" s="39">
        <f t="shared" si="10"/>
        <v>36</v>
      </c>
    </row>
    <row r="105" spans="1:108" x14ac:dyDescent="0.3">
      <c r="B105" s="7" t="s">
        <v>323</v>
      </c>
      <c r="C105" s="80">
        <v>10</v>
      </c>
      <c r="D105" s="80">
        <v>10</v>
      </c>
      <c r="E105" s="80"/>
      <c r="F105" s="80"/>
      <c r="G105" s="80"/>
      <c r="H105" s="80"/>
      <c r="I105" s="80"/>
      <c r="J105" s="80"/>
      <c r="K105" s="80"/>
      <c r="L105" s="80"/>
      <c r="M105" s="39">
        <f t="shared" si="10"/>
        <v>20</v>
      </c>
    </row>
    <row r="106" spans="1:108" x14ac:dyDescent="0.3">
      <c r="B106" s="3" t="s">
        <v>292</v>
      </c>
      <c r="C106" s="39">
        <f>(C88*'(ne pas modifier) BDD_REF'!$B$212+'RECeff + REIamont (2)'!C104*'(ne pas modifier) BDD_REF'!$B$213+'RECeff + REIamont (2)'!C105*'(ne pas modifier) BDD_REF'!$B$214)/1000</f>
        <v>0.25869999999999999</v>
      </c>
      <c r="D106" s="39">
        <f>(D88*'(ne pas modifier) BDD_REF'!$B$212+'RECeff + REIamont (2)'!D104*'(ne pas modifier) BDD_REF'!$B$213+'RECeff + REIamont (2)'!D105*'(ne pas modifier) BDD_REF'!$B$214)/1000</f>
        <v>0.25869999999999999</v>
      </c>
      <c r="E106" s="39">
        <f>(E88*'(ne pas modifier) BDD_REF'!$B$212+'RECeff + REIamont (2)'!E104*'(ne pas modifier) BDD_REF'!$B$213+'RECeff + REIamont (2)'!E105*'(ne pas modifier) BDD_REF'!$B$214)/1000</f>
        <v>0</v>
      </c>
      <c r="F106" s="39">
        <f>(F88*'(ne pas modifier) BDD_REF'!$B$212+'RECeff + REIamont (2)'!F104*'(ne pas modifier) BDD_REF'!$B$213+'RECeff + REIamont (2)'!F105*'(ne pas modifier) BDD_REF'!$B$214)/1000</f>
        <v>0</v>
      </c>
      <c r="G106" s="39">
        <f>(G88*'(ne pas modifier) BDD_REF'!$B$212+'RECeff + REIamont (2)'!G104*'(ne pas modifier) BDD_REF'!$B$213+'RECeff + REIamont (2)'!G105*'(ne pas modifier) BDD_REF'!$B$214)/1000</f>
        <v>0</v>
      </c>
      <c r="H106" s="39">
        <f>(H88*'(ne pas modifier) BDD_REF'!$B$212+'RECeff + REIamont (2)'!H104*'(ne pas modifier) BDD_REF'!$B$213+'RECeff + REIamont (2)'!H105*'(ne pas modifier) BDD_REF'!$B$214)/1000</f>
        <v>0</v>
      </c>
      <c r="I106" s="39">
        <f>(I88*'(ne pas modifier) BDD_REF'!$B$212+'RECeff + REIamont (2)'!I104*'(ne pas modifier) BDD_REF'!$B$213+'RECeff + REIamont (2)'!I105*'(ne pas modifier) BDD_REF'!$B$214)/1000</f>
        <v>0</v>
      </c>
      <c r="J106" s="39">
        <f>(J88*'(ne pas modifier) BDD_REF'!$B$212+'RECeff + REIamont (2)'!J104*'(ne pas modifier) BDD_REF'!$B$213+'RECeff + REIamont (2)'!J105*'(ne pas modifier) BDD_REF'!$B$214)/1000</f>
        <v>0</v>
      </c>
      <c r="K106" s="39">
        <f>(K88*'(ne pas modifier) BDD_REF'!$B$212+'RECeff + REIamont (2)'!K104*'(ne pas modifier) BDD_REF'!$B$213+'RECeff + REIamont (2)'!K105*'(ne pas modifier) BDD_REF'!$B$214)/1000</f>
        <v>0</v>
      </c>
      <c r="L106" s="39">
        <f>(L88*'(ne pas modifier) BDD_REF'!$B$212+'RECeff + REIamont (2)'!L104*'(ne pas modifier) BDD_REF'!$B$213+'RECeff + REIamont (2)'!L105*'(ne pas modifier) BDD_REF'!$B$214)/1000</f>
        <v>0</v>
      </c>
      <c r="M106" s="39">
        <f t="shared" si="10"/>
        <v>0.51739999999999997</v>
      </c>
    </row>
    <row r="107" spans="1:108" hidden="1" x14ac:dyDescent="0.3">
      <c r="A107" s="17" t="s">
        <v>179</v>
      </c>
      <c r="B107" s="3" t="s">
        <v>175</v>
      </c>
      <c r="C107" s="82"/>
      <c r="D107" s="82"/>
      <c r="E107" s="82"/>
      <c r="F107" s="82"/>
      <c r="G107" s="82"/>
      <c r="H107" s="82"/>
      <c r="I107" s="82"/>
      <c r="J107" s="82"/>
      <c r="K107" s="82"/>
      <c r="L107" s="82"/>
      <c r="M107" s="39">
        <f t="shared" si="10"/>
        <v>0</v>
      </c>
    </row>
    <row r="108" spans="1:108" x14ac:dyDescent="0.3">
      <c r="B108" s="7" t="s">
        <v>324</v>
      </c>
      <c r="C108" s="80">
        <v>0.1875</v>
      </c>
      <c r="D108" s="80">
        <v>0.1875</v>
      </c>
      <c r="E108" s="80"/>
      <c r="F108" s="80"/>
      <c r="G108" s="80"/>
      <c r="H108" s="80"/>
      <c r="I108" s="80"/>
      <c r="J108" s="80"/>
      <c r="K108" s="80"/>
      <c r="L108" s="80"/>
      <c r="M108" s="39">
        <f t="shared" si="10"/>
        <v>0.375</v>
      </c>
    </row>
    <row r="109" spans="1:108" x14ac:dyDescent="0.3">
      <c r="B109" s="7" t="s">
        <v>325</v>
      </c>
      <c r="C109" s="80">
        <v>3.1</v>
      </c>
      <c r="D109" s="80">
        <v>3.1</v>
      </c>
      <c r="E109" s="80"/>
      <c r="F109" s="80"/>
      <c r="G109" s="80"/>
      <c r="H109" s="80"/>
      <c r="I109" s="80"/>
      <c r="J109" s="80"/>
      <c r="K109" s="80"/>
      <c r="L109" s="80"/>
      <c r="M109" s="39">
        <f t="shared" si="10"/>
        <v>6.2</v>
      </c>
    </row>
    <row r="110" spans="1:108" x14ac:dyDescent="0.3">
      <c r="B110" s="7" t="s">
        <v>326</v>
      </c>
      <c r="C110" s="80">
        <v>7.68</v>
      </c>
      <c r="D110" s="80">
        <v>7.68</v>
      </c>
      <c r="E110" s="80"/>
      <c r="F110" s="80"/>
      <c r="G110" s="80"/>
      <c r="H110" s="80"/>
      <c r="I110" s="80"/>
      <c r="J110" s="80"/>
      <c r="K110" s="80"/>
      <c r="L110" s="80"/>
      <c r="M110" s="39">
        <f t="shared" si="10"/>
        <v>15.36</v>
      </c>
    </row>
    <row r="111" spans="1:108" x14ac:dyDescent="0.3">
      <c r="B111" s="7" t="s">
        <v>327</v>
      </c>
      <c r="C111" s="80"/>
      <c r="D111" s="80"/>
      <c r="E111" s="80"/>
      <c r="F111" s="80"/>
      <c r="G111" s="80"/>
      <c r="H111" s="80"/>
      <c r="I111" s="80"/>
      <c r="J111" s="80"/>
      <c r="K111" s="80"/>
      <c r="L111" s="80"/>
      <c r="M111" s="39">
        <f t="shared" si="10"/>
        <v>0</v>
      </c>
    </row>
    <row r="112" spans="1:108" x14ac:dyDescent="0.3">
      <c r="B112" s="3" t="s">
        <v>294</v>
      </c>
      <c r="C112" s="39">
        <f>(C108*'(ne pas modifier) BDD_REF'!$B$215+'RECeff + REIamont (2)'!C109*'(ne pas modifier) BDD_REF'!$B$216+'RECeff + REIamont (2)'!C110*'(ne pas modifier) BDD_REF'!$B$217+'RECeff + REIamont (2)'!C111*'(ne pas modifier) BDD_REF'!$B$218)/1000</f>
        <v>0.2220093075</v>
      </c>
      <c r="D112" s="39">
        <f>(D108*'(ne pas modifier) BDD_REF'!$B$215+'RECeff + REIamont (2)'!D109*'(ne pas modifier) BDD_REF'!$B$216+'RECeff + REIamont (2)'!D110*'(ne pas modifier) BDD_REF'!$B$217+'RECeff + REIamont (2)'!D111*'(ne pas modifier) BDD_REF'!$B$218)/1000</f>
        <v>0.2220093075</v>
      </c>
      <c r="E112" s="39">
        <f>(E108*'(ne pas modifier) BDD_REF'!$B$215+'RECeff + REIamont (2)'!E109*'(ne pas modifier) BDD_REF'!$B$216+'RECeff + REIamont (2)'!E110*'(ne pas modifier) BDD_REF'!$B$217+'RECeff + REIamont (2)'!E111*'(ne pas modifier) BDD_REF'!$B$218)/1000</f>
        <v>0</v>
      </c>
      <c r="F112" s="39">
        <f>(F108*'(ne pas modifier) BDD_REF'!$B$215+'RECeff + REIamont (2)'!F109*'(ne pas modifier) BDD_REF'!$B$216+'RECeff + REIamont (2)'!F110*'(ne pas modifier) BDD_REF'!$B$217+'RECeff + REIamont (2)'!F111*'(ne pas modifier) BDD_REF'!$B$218)/1000</f>
        <v>0</v>
      </c>
      <c r="G112" s="39">
        <f>(G108*'(ne pas modifier) BDD_REF'!$B$215+'RECeff + REIamont (2)'!G109*'(ne pas modifier) BDD_REF'!$B$216+'RECeff + REIamont (2)'!G110*'(ne pas modifier) BDD_REF'!$B$217+'RECeff + REIamont (2)'!G111*'(ne pas modifier) BDD_REF'!$B$218)/1000</f>
        <v>0</v>
      </c>
      <c r="H112" s="39">
        <f>(H108*'(ne pas modifier) BDD_REF'!$B$215+'RECeff + REIamont (2)'!H109*'(ne pas modifier) BDD_REF'!$B$216+'RECeff + REIamont (2)'!H110*'(ne pas modifier) BDD_REF'!$B$217+'RECeff + REIamont (2)'!H111*'(ne pas modifier) BDD_REF'!$B$218)/1000</f>
        <v>0</v>
      </c>
      <c r="I112" s="39">
        <f>(I108*'(ne pas modifier) BDD_REF'!$B$215+'RECeff + REIamont (2)'!I109*'(ne pas modifier) BDD_REF'!$B$216+'RECeff + REIamont (2)'!I110*'(ne pas modifier) BDD_REF'!$B$217+'RECeff + REIamont (2)'!I111*'(ne pas modifier) BDD_REF'!$B$218)/1000</f>
        <v>0</v>
      </c>
      <c r="J112" s="39">
        <f>(J108*'(ne pas modifier) BDD_REF'!$B$215+'RECeff + REIamont (2)'!J109*'(ne pas modifier) BDD_REF'!$B$216+'RECeff + REIamont (2)'!J110*'(ne pas modifier) BDD_REF'!$B$217+'RECeff + REIamont (2)'!J111*'(ne pas modifier) BDD_REF'!$B$218)/1000</f>
        <v>0</v>
      </c>
      <c r="K112" s="39">
        <f>(K108*'(ne pas modifier) BDD_REF'!$B$215+'RECeff + REIamont (2)'!K109*'(ne pas modifier) BDD_REF'!$B$216+'RECeff + REIamont (2)'!K110*'(ne pas modifier) BDD_REF'!$B$217+'RECeff + REIamont (2)'!K111*'(ne pas modifier) BDD_REF'!$B$218)/1000</f>
        <v>0</v>
      </c>
      <c r="L112" s="39">
        <f>(L108*'(ne pas modifier) BDD_REF'!$B$215+'RECeff + REIamont (2)'!L109*'(ne pas modifier) BDD_REF'!$B$216+'RECeff + REIamont (2)'!L110*'(ne pas modifier) BDD_REF'!$B$217+'RECeff + REIamont (2)'!L111*'(ne pas modifier) BDD_REF'!$B$218)/1000</f>
        <v>0</v>
      </c>
      <c r="M112" s="39">
        <f t="shared" si="10"/>
        <v>0.44401861500000001</v>
      </c>
    </row>
    <row r="113" spans="1:108" s="16" customFormat="1" x14ac:dyDescent="0.3">
      <c r="A113" s="18"/>
      <c r="B113" s="19" t="s">
        <v>186</v>
      </c>
      <c r="C113" s="81">
        <f>C106+C107+C112</f>
        <v>0.48070930749999996</v>
      </c>
      <c r="D113" s="81">
        <f t="shared" ref="D113:L113" si="11">D106+D107+D112</f>
        <v>0.48070930749999996</v>
      </c>
      <c r="E113" s="81">
        <f t="shared" si="11"/>
        <v>0</v>
      </c>
      <c r="F113" s="81">
        <f t="shared" si="11"/>
        <v>0</v>
      </c>
      <c r="G113" s="81">
        <f t="shared" si="11"/>
        <v>0</v>
      </c>
      <c r="H113" s="81">
        <f t="shared" si="11"/>
        <v>0</v>
      </c>
      <c r="I113" s="81">
        <f t="shared" si="11"/>
        <v>0</v>
      </c>
      <c r="J113" s="81">
        <f t="shared" si="11"/>
        <v>0</v>
      </c>
      <c r="K113" s="81">
        <f t="shared" si="11"/>
        <v>0</v>
      </c>
      <c r="L113" s="81">
        <f t="shared" si="11"/>
        <v>0</v>
      </c>
      <c r="M113" s="39">
        <f t="shared" si="10"/>
        <v>0.96141861499999992</v>
      </c>
      <c r="P113" s="23"/>
      <c r="Q113" s="23"/>
      <c r="R113" s="23"/>
      <c r="S113" s="23"/>
      <c r="T113" s="23"/>
      <c r="U113" s="23"/>
      <c r="V113" s="23"/>
      <c r="W113" s="23"/>
      <c r="X113" s="23"/>
      <c r="Y113" s="23"/>
      <c r="Z113" s="23"/>
      <c r="AA113" s="23"/>
      <c r="AB113" s="23"/>
      <c r="AC113" s="23"/>
      <c r="AD113" s="23"/>
      <c r="AE113" s="23"/>
      <c r="AF113" s="23"/>
      <c r="AG113" s="23"/>
      <c r="AH113" s="23"/>
      <c r="AI113" s="23"/>
      <c r="AJ113" s="23"/>
      <c r="AK113" s="23"/>
      <c r="AL113" s="23"/>
      <c r="AM113" s="23"/>
      <c r="AN113" s="23"/>
      <c r="AO113" s="23"/>
      <c r="AP113" s="23"/>
      <c r="AQ113" s="23"/>
      <c r="AR113" s="23"/>
      <c r="AS113" s="23"/>
      <c r="AT113" s="23"/>
      <c r="AU113" s="23"/>
      <c r="AV113" s="23"/>
      <c r="AW113" s="23"/>
      <c r="AX113" s="23"/>
      <c r="AY113" s="23"/>
      <c r="AZ113" s="23"/>
      <c r="BA113" s="23"/>
      <c r="BB113" s="23"/>
      <c r="BC113" s="23"/>
      <c r="BD113" s="23"/>
      <c r="BE113" s="23"/>
      <c r="BF113" s="23"/>
      <c r="BG113" s="23"/>
      <c r="BH113" s="23"/>
      <c r="BI113" s="23"/>
      <c r="BJ113" s="23"/>
      <c r="BK113" s="23"/>
      <c r="BL113" s="23"/>
      <c r="BM113" s="23"/>
      <c r="BN113" s="23"/>
      <c r="BO113" s="23"/>
      <c r="BP113" s="23"/>
      <c r="BQ113" s="23"/>
      <c r="BR113" s="23"/>
      <c r="BS113" s="23"/>
      <c r="BT113" s="23"/>
      <c r="BU113" s="23"/>
      <c r="BV113" s="23"/>
      <c r="BW113" s="23"/>
      <c r="BX113" s="23"/>
      <c r="BY113" s="23"/>
      <c r="BZ113" s="23"/>
      <c r="CA113" s="23"/>
      <c r="CB113" s="23"/>
      <c r="CC113" s="23"/>
      <c r="CD113" s="23"/>
      <c r="CE113" s="23"/>
      <c r="CF113" s="23"/>
      <c r="CG113" s="23"/>
      <c r="CH113" s="23"/>
      <c r="CI113" s="23"/>
      <c r="CJ113" s="23"/>
      <c r="CK113" s="23"/>
      <c r="CL113" s="23"/>
      <c r="CM113" s="23"/>
      <c r="CN113" s="23"/>
      <c r="CO113" s="23"/>
      <c r="CP113" s="23"/>
      <c r="CQ113" s="23"/>
      <c r="CR113" s="23"/>
      <c r="CS113" s="23"/>
      <c r="CT113" s="23"/>
      <c r="CU113" s="23"/>
      <c r="CV113" s="23"/>
      <c r="CW113" s="23"/>
      <c r="CX113" s="23"/>
      <c r="CY113" s="23"/>
      <c r="CZ113" s="23"/>
      <c r="DA113" s="23"/>
      <c r="DB113" s="23"/>
      <c r="DC113" s="23"/>
      <c r="DD113" s="23"/>
    </row>
    <row r="114" spans="1:108" s="16" customFormat="1" x14ac:dyDescent="0.3">
      <c r="A114" s="18"/>
      <c r="B114" s="20" t="s">
        <v>144</v>
      </c>
      <c r="C114" s="20">
        <f>((C91+C92+C93)/1000*44/28*'(ne pas modifier) BDD_REF'!$B$232)+'RECeff + REIamont (2)'!C103+'RECeff + REIamont (2)'!C113</f>
        <v>1.3332853075</v>
      </c>
      <c r="D114" s="20">
        <f>((D91+D92+D93)/1000*44/28*'(ne pas modifier) BDD_REF'!$B$232)+'RECeff + REIamont (2)'!D103+'RECeff + REIamont (2)'!D113</f>
        <v>1.3332853075</v>
      </c>
      <c r="E114" s="20">
        <f>((E91+E92+E93)/1000*44/28*'(ne pas modifier) BDD_REF'!$B$232)+'RECeff + REIamont (2)'!E103+'RECeff + REIamont (2)'!E113</f>
        <v>0</v>
      </c>
      <c r="F114" s="20">
        <f>((F91+F92+F93)/1000*44/28*'(ne pas modifier) BDD_REF'!$B$232)+'RECeff + REIamont (2)'!F103+'RECeff + REIamont (2)'!F113</f>
        <v>0</v>
      </c>
      <c r="G114" s="20">
        <f>((G91+G92+G93)/1000*44/28*'(ne pas modifier) BDD_REF'!$B$232)+'RECeff + REIamont (2)'!G103+'RECeff + REIamont (2)'!G113</f>
        <v>0</v>
      </c>
      <c r="H114" s="20">
        <f>((H91+H92+H93)/1000*44/28*'(ne pas modifier) BDD_REF'!$B$232)+'RECeff + REIamont (2)'!H103+'RECeff + REIamont (2)'!H113</f>
        <v>0</v>
      </c>
      <c r="I114" s="20">
        <f>((I91+I92+I93)/1000*44/28*'(ne pas modifier) BDD_REF'!$B$232)+'RECeff + REIamont (2)'!I103+'RECeff + REIamont (2)'!I113</f>
        <v>0</v>
      </c>
      <c r="J114" s="20">
        <f>((J91+J92+J93)/1000*44/28*'(ne pas modifier) BDD_REF'!$B$232)+'RECeff + REIamont (2)'!J103+'RECeff + REIamont (2)'!J113</f>
        <v>0</v>
      </c>
      <c r="K114" s="20">
        <f>((K91+K92+K93)/1000*44/28*'(ne pas modifier) BDD_REF'!$B$232)+'RECeff + REIamont (2)'!K103+'RECeff + REIamont (2)'!K113</f>
        <v>0</v>
      </c>
      <c r="L114" s="20">
        <f>((L91+L92+L93)/1000*44/28*'(ne pas modifier) BDD_REF'!$B$232)+'RECeff + REIamont (2)'!L103+'RECeff + REIamont (2)'!L113</f>
        <v>0</v>
      </c>
      <c r="M114" s="20">
        <f t="shared" si="10"/>
        <v>2.6665706149999999</v>
      </c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  <c r="AA114" s="23"/>
      <c r="AB114" s="23"/>
      <c r="AC114" s="23"/>
      <c r="AD114" s="23"/>
      <c r="AE114" s="23"/>
      <c r="AF114" s="23"/>
      <c r="AG114" s="23"/>
      <c r="AH114" s="23"/>
      <c r="AI114" s="23"/>
      <c r="AJ114" s="23"/>
      <c r="AK114" s="23"/>
      <c r="AL114" s="23"/>
      <c r="AM114" s="23"/>
      <c r="AN114" s="23"/>
      <c r="AO114" s="23"/>
      <c r="AP114" s="23"/>
      <c r="AQ114" s="23"/>
      <c r="AR114" s="23"/>
      <c r="AS114" s="23"/>
      <c r="AT114" s="23"/>
      <c r="AU114" s="23"/>
      <c r="AV114" s="23"/>
      <c r="AW114" s="23"/>
      <c r="AX114" s="23"/>
      <c r="AY114" s="23"/>
      <c r="AZ114" s="23"/>
      <c r="BA114" s="23"/>
      <c r="BB114" s="23"/>
      <c r="BC114" s="23"/>
      <c r="BD114" s="23"/>
      <c r="BE114" s="23"/>
      <c r="BF114" s="23"/>
      <c r="BG114" s="23"/>
      <c r="BH114" s="23"/>
      <c r="BI114" s="23"/>
      <c r="BJ114" s="23"/>
      <c r="BK114" s="23"/>
      <c r="BL114" s="23"/>
      <c r="BM114" s="23"/>
      <c r="BN114" s="23"/>
      <c r="BO114" s="23"/>
      <c r="BP114" s="23"/>
      <c r="BQ114" s="23"/>
      <c r="BR114" s="23"/>
      <c r="BS114" s="23"/>
      <c r="BT114" s="23"/>
      <c r="BU114" s="23"/>
      <c r="BV114" s="23"/>
      <c r="BW114" s="23"/>
      <c r="BX114" s="23"/>
      <c r="BY114" s="23"/>
      <c r="BZ114" s="23"/>
      <c r="CA114" s="23"/>
      <c r="CB114" s="23"/>
      <c r="CC114" s="23"/>
      <c r="CD114" s="23"/>
      <c r="CE114" s="23"/>
      <c r="CF114" s="23"/>
      <c r="CG114" s="23"/>
      <c r="CH114" s="23"/>
      <c r="CI114" s="23"/>
      <c r="CJ114" s="23"/>
      <c r="CK114" s="23"/>
      <c r="CL114" s="23"/>
      <c r="CM114" s="23"/>
      <c r="CN114" s="23"/>
      <c r="CO114" s="23"/>
      <c r="CP114" s="23"/>
      <c r="CQ114" s="23"/>
      <c r="CR114" s="23"/>
      <c r="CS114" s="23"/>
      <c r="CT114" s="23"/>
      <c r="CU114" s="23"/>
      <c r="CV114" s="23"/>
      <c r="CW114" s="23"/>
      <c r="CX114" s="23"/>
      <c r="CY114" s="23"/>
      <c r="CZ114" s="23"/>
      <c r="DA114" s="23"/>
      <c r="DB114" s="23"/>
      <c r="DC114" s="23"/>
      <c r="DD114" s="23"/>
    </row>
    <row r="115" spans="1:108" x14ac:dyDescent="0.3">
      <c r="A115" s="13" t="s">
        <v>150</v>
      </c>
      <c r="B115" s="7" t="s">
        <v>312</v>
      </c>
      <c r="C115" s="80">
        <v>60</v>
      </c>
      <c r="D115" s="80">
        <v>60</v>
      </c>
      <c r="E115" s="80"/>
      <c r="F115" s="80"/>
      <c r="G115" s="80"/>
      <c r="H115" s="80"/>
      <c r="I115" s="80"/>
      <c r="J115" s="80"/>
      <c r="K115" s="80"/>
      <c r="L115" s="80"/>
      <c r="M115" s="39">
        <f t="shared" si="10"/>
        <v>120</v>
      </c>
    </row>
    <row r="116" spans="1:108" x14ac:dyDescent="0.3">
      <c r="B116" s="7" t="s">
        <v>313</v>
      </c>
      <c r="C116" s="80"/>
      <c r="D116" s="80"/>
      <c r="E116" s="80"/>
      <c r="F116" s="80"/>
      <c r="G116" s="80"/>
      <c r="H116" s="80"/>
      <c r="I116" s="80"/>
      <c r="J116" s="80"/>
      <c r="K116" s="80"/>
      <c r="L116" s="80"/>
      <c r="M116" s="39">
        <f t="shared" si="10"/>
        <v>0</v>
      </c>
    </row>
    <row r="117" spans="1:108" x14ac:dyDescent="0.3">
      <c r="B117" s="7" t="s">
        <v>314</v>
      </c>
      <c r="C117" s="80"/>
      <c r="D117" s="80"/>
      <c r="E117" s="80"/>
      <c r="F117" s="80"/>
      <c r="G117" s="80"/>
      <c r="H117" s="80"/>
      <c r="I117" s="80"/>
      <c r="J117" s="80"/>
      <c r="K117" s="80"/>
      <c r="L117" s="80"/>
      <c r="M117" s="39">
        <f t="shared" si="10"/>
        <v>0</v>
      </c>
    </row>
    <row r="118" spans="1:108" x14ac:dyDescent="0.3">
      <c r="B118" s="19" t="s">
        <v>328</v>
      </c>
      <c r="C118" s="39">
        <f>C115*'(ne pas modifier) BDD_REF'!$B$207 + (C116+C117)*'(ne pas modifier) BDD_REF'!$B$208</f>
        <v>0.96</v>
      </c>
      <c r="D118" s="39">
        <f>D115*'(ne pas modifier) BDD_REF'!$B$207 + (D116+D117)*'(ne pas modifier) BDD_REF'!$B$208</f>
        <v>0.96</v>
      </c>
      <c r="E118" s="39">
        <f>E115*'(ne pas modifier) BDD_REF'!$B$207 + (E116+E117)*'(ne pas modifier) BDD_REF'!$B$208</f>
        <v>0</v>
      </c>
      <c r="F118" s="39">
        <f>F115*'(ne pas modifier) BDD_REF'!$B$207 + (F116+F117)*'(ne pas modifier) BDD_REF'!$B$208</f>
        <v>0</v>
      </c>
      <c r="G118" s="39">
        <f>G115*'(ne pas modifier) BDD_REF'!$B$207 + (G116+G117)*'(ne pas modifier) BDD_REF'!$B$208</f>
        <v>0</v>
      </c>
      <c r="H118" s="39">
        <f>H115*'(ne pas modifier) BDD_REF'!$B$207 + (H116+H117)*'(ne pas modifier) BDD_REF'!$B$208</f>
        <v>0</v>
      </c>
      <c r="I118" s="39">
        <f>I115*'(ne pas modifier) BDD_REF'!$B$207 + (I116+I117)*'(ne pas modifier) BDD_REF'!$B$208</f>
        <v>0</v>
      </c>
      <c r="J118" s="39">
        <f>J115*'(ne pas modifier) BDD_REF'!$B$207 + (J116+J117)*'(ne pas modifier) BDD_REF'!$B$208</f>
        <v>0</v>
      </c>
      <c r="K118" s="39">
        <f>K115*'(ne pas modifier) BDD_REF'!$B$207 + (K116+K117)*'(ne pas modifier) BDD_REF'!$B$208</f>
        <v>0</v>
      </c>
      <c r="L118" s="39">
        <f>L115*'(ne pas modifier) BDD_REF'!$B$207 + (L116+L117)*'(ne pas modifier) BDD_REF'!$B$208</f>
        <v>0</v>
      </c>
      <c r="M118" s="39">
        <f t="shared" si="10"/>
        <v>1.92</v>
      </c>
    </row>
    <row r="119" spans="1:108" x14ac:dyDescent="0.3">
      <c r="B119" s="19" t="s">
        <v>329</v>
      </c>
      <c r="C119" s="39">
        <f>((C115*'(ne pas modifier) BDD_REF'!$B$220)+('RECeff + REIamont (2)'!C116+'RECeff + REIamont (2)'!C117)*'(ne pas modifier) BDD_REF'!$B$221)*'(ne pas modifier) BDD_REF'!$B$209</f>
        <v>6.6000000000000003E-2</v>
      </c>
      <c r="D119" s="39">
        <f>((D115*'(ne pas modifier) BDD_REF'!$B$220)+('RECeff + REIamont (2)'!D116+'RECeff + REIamont (2)'!D117)*'(ne pas modifier) BDD_REF'!$B$221)*'(ne pas modifier) BDD_REF'!$B$209</f>
        <v>6.6000000000000003E-2</v>
      </c>
      <c r="E119" s="39">
        <f>((E115*'(ne pas modifier) BDD_REF'!$B$220)+('RECeff + REIamont (2)'!E116+'RECeff + REIamont (2)'!E117)*'(ne pas modifier) BDD_REF'!$B$221)*'(ne pas modifier) BDD_REF'!$B$209</f>
        <v>0</v>
      </c>
      <c r="F119" s="39">
        <f>((F115*'(ne pas modifier) BDD_REF'!$B$220)+('RECeff + REIamont (2)'!F116+'RECeff + REIamont (2)'!F117)*'(ne pas modifier) BDD_REF'!$B$221)*'(ne pas modifier) BDD_REF'!$B$209</f>
        <v>0</v>
      </c>
      <c r="G119" s="39">
        <f>((G115*'(ne pas modifier) BDD_REF'!$B$220)+('RECeff + REIamont (2)'!G116+'RECeff + REIamont (2)'!G117)*'(ne pas modifier) BDD_REF'!$B$221)*'(ne pas modifier) BDD_REF'!$B$209</f>
        <v>0</v>
      </c>
      <c r="H119" s="39">
        <f>((H115*'(ne pas modifier) BDD_REF'!$B$220)+('RECeff + REIamont (2)'!H116+'RECeff + REIamont (2)'!H117)*'(ne pas modifier) BDD_REF'!$B$221)*'(ne pas modifier) BDD_REF'!$B$209</f>
        <v>0</v>
      </c>
      <c r="I119" s="39">
        <f>((I115*'(ne pas modifier) BDD_REF'!$B$220)+('RECeff + REIamont (2)'!I116+'RECeff + REIamont (2)'!I117)*'(ne pas modifier) BDD_REF'!$B$221)*'(ne pas modifier) BDD_REF'!$B$209</f>
        <v>0</v>
      </c>
      <c r="J119" s="39">
        <f>((J115*'(ne pas modifier) BDD_REF'!$B$220)+('RECeff + REIamont (2)'!J116+'RECeff + REIamont (2)'!J117)*'(ne pas modifier) BDD_REF'!$B$221)*'(ne pas modifier) BDD_REF'!$B$209</f>
        <v>0</v>
      </c>
      <c r="K119" s="39">
        <f>((K115*'(ne pas modifier) BDD_REF'!$B$220)+('RECeff + REIamont (2)'!K116+'RECeff + REIamont (2)'!K117)*'(ne pas modifier) BDD_REF'!$B$221)*'(ne pas modifier) BDD_REF'!$B$209</f>
        <v>0</v>
      </c>
      <c r="L119" s="39">
        <f>((L115*'(ne pas modifier) BDD_REF'!$B$220)+('RECeff + REIamont (2)'!L116+'RECeff + REIamont (2)'!L117)*'(ne pas modifier) BDD_REF'!$B$221)*'(ne pas modifier) BDD_REF'!$B$209</f>
        <v>0</v>
      </c>
      <c r="M119" s="39">
        <f t="shared" si="10"/>
        <v>0.13200000000000001</v>
      </c>
    </row>
    <row r="120" spans="1:108" x14ac:dyDescent="0.3">
      <c r="B120" s="19" t="s">
        <v>330</v>
      </c>
      <c r="C120" s="39">
        <f>(C115+C116+C117)*'(ne pas modifier) BDD_REF'!$B$222*'(ne pas modifier) BDD_REF'!$B$210</f>
        <v>0.15839999999999999</v>
      </c>
      <c r="D120" s="39">
        <f>(D115+D116+D117)*'(ne pas modifier) BDD_REF'!$B$222*'(ne pas modifier) BDD_REF'!$B$210</f>
        <v>0.15839999999999999</v>
      </c>
      <c r="E120" s="39">
        <f>(E115+E116+E117)*'(ne pas modifier) BDD_REF'!$B$222*'(ne pas modifier) BDD_REF'!$B$210</f>
        <v>0</v>
      </c>
      <c r="F120" s="39">
        <f>(F115+F116+F117)*'(ne pas modifier) BDD_REF'!$B$222*'(ne pas modifier) BDD_REF'!$B$210</f>
        <v>0</v>
      </c>
      <c r="G120" s="39">
        <f>(G115+G116+G117)*'(ne pas modifier) BDD_REF'!$B$222*'(ne pas modifier) BDD_REF'!$B$210</f>
        <v>0</v>
      </c>
      <c r="H120" s="39">
        <f>(H115+H116+H117)*'(ne pas modifier) BDD_REF'!$B$222*'(ne pas modifier) BDD_REF'!$B$210</f>
        <v>0</v>
      </c>
      <c r="I120" s="39">
        <f>(I115+I116+I117)*'(ne pas modifier) BDD_REF'!$B$222*'(ne pas modifier) BDD_REF'!$B$210</f>
        <v>0</v>
      </c>
      <c r="J120" s="39">
        <f>(J115+J116+J117)*'(ne pas modifier) BDD_REF'!$B$222*'(ne pas modifier) BDD_REF'!$B$210</f>
        <v>0</v>
      </c>
      <c r="K120" s="39">
        <f>(K115+K116+K117)*'(ne pas modifier) BDD_REF'!$B$222*'(ne pas modifier) BDD_REF'!$B$210</f>
        <v>0</v>
      </c>
      <c r="L120" s="39">
        <f>(L115+L116+L117)*'(ne pas modifier) BDD_REF'!$B$222*'(ne pas modifier) BDD_REF'!$B$210</f>
        <v>0</v>
      </c>
      <c r="M120" s="39">
        <f t="shared" si="10"/>
        <v>0.31679999999999997</v>
      </c>
    </row>
    <row r="121" spans="1:108" x14ac:dyDescent="0.3">
      <c r="B121" s="7" t="s">
        <v>315</v>
      </c>
      <c r="C121" s="80"/>
      <c r="D121" s="80"/>
      <c r="E121" s="80"/>
      <c r="F121" s="80"/>
      <c r="G121" s="80"/>
      <c r="H121" s="80"/>
      <c r="I121" s="80"/>
      <c r="J121" s="80"/>
      <c r="K121" s="80"/>
      <c r="L121" s="80"/>
      <c r="M121" s="39">
        <f t="shared" si="10"/>
        <v>0</v>
      </c>
    </row>
    <row r="122" spans="1:108" x14ac:dyDescent="0.3">
      <c r="B122" s="7" t="s">
        <v>316</v>
      </c>
      <c r="C122" s="80">
        <v>157</v>
      </c>
      <c r="D122" s="80">
        <v>157</v>
      </c>
      <c r="E122" s="80"/>
      <c r="F122" s="80"/>
      <c r="G122" s="80"/>
      <c r="H122" s="80"/>
      <c r="I122" s="80"/>
      <c r="J122" s="80"/>
      <c r="K122" s="80"/>
      <c r="L122" s="80"/>
      <c r="M122" s="39">
        <f t="shared" si="10"/>
        <v>314</v>
      </c>
    </row>
    <row r="123" spans="1:108" x14ac:dyDescent="0.3">
      <c r="B123" s="7" t="s">
        <v>317</v>
      </c>
      <c r="C123" s="80"/>
      <c r="D123" s="80"/>
      <c r="E123" s="80"/>
      <c r="F123" s="80"/>
      <c r="G123" s="80"/>
      <c r="H123" s="80"/>
      <c r="I123" s="80"/>
      <c r="J123" s="80"/>
      <c r="K123" s="80"/>
      <c r="L123" s="80"/>
      <c r="M123" s="39">
        <f t="shared" si="10"/>
        <v>0</v>
      </c>
    </row>
    <row r="124" spans="1:108" x14ac:dyDescent="0.3">
      <c r="B124" s="7" t="s">
        <v>318</v>
      </c>
      <c r="C124" s="80">
        <v>0</v>
      </c>
      <c r="D124" s="80">
        <v>0</v>
      </c>
      <c r="E124" s="80">
        <v>0</v>
      </c>
      <c r="F124" s="80">
        <v>0</v>
      </c>
      <c r="G124" s="80">
        <v>0</v>
      </c>
      <c r="H124" s="80">
        <v>0</v>
      </c>
      <c r="I124" s="80">
        <v>0</v>
      </c>
      <c r="J124" s="80">
        <v>0</v>
      </c>
      <c r="K124" s="80">
        <v>0</v>
      </c>
      <c r="L124" s="80">
        <v>0</v>
      </c>
      <c r="M124" s="39">
        <f t="shared" si="10"/>
        <v>0</v>
      </c>
    </row>
    <row r="125" spans="1:108" x14ac:dyDescent="0.3">
      <c r="B125" s="7" t="s">
        <v>319</v>
      </c>
      <c r="C125" s="80">
        <v>0</v>
      </c>
      <c r="D125" s="80">
        <v>0</v>
      </c>
      <c r="E125" s="80">
        <v>0</v>
      </c>
      <c r="F125" s="80">
        <v>0</v>
      </c>
      <c r="G125" s="80">
        <v>0</v>
      </c>
      <c r="H125" s="80">
        <v>0</v>
      </c>
      <c r="I125" s="80">
        <v>0</v>
      </c>
      <c r="J125" s="80">
        <v>0</v>
      </c>
      <c r="K125" s="80">
        <v>0</v>
      </c>
      <c r="L125" s="80">
        <v>0</v>
      </c>
      <c r="M125" s="39">
        <f t="shared" si="10"/>
        <v>0</v>
      </c>
    </row>
    <row r="126" spans="1:108" x14ac:dyDescent="0.3">
      <c r="B126" s="7" t="s">
        <v>320</v>
      </c>
      <c r="C126" s="80">
        <v>0</v>
      </c>
      <c r="D126" s="80">
        <v>0</v>
      </c>
      <c r="E126" s="80">
        <v>0</v>
      </c>
      <c r="F126" s="80">
        <v>0</v>
      </c>
      <c r="G126" s="80">
        <v>0</v>
      </c>
      <c r="H126" s="80">
        <v>0</v>
      </c>
      <c r="I126" s="80">
        <v>0</v>
      </c>
      <c r="J126" s="80">
        <v>0</v>
      </c>
      <c r="K126" s="80">
        <v>0</v>
      </c>
      <c r="L126" s="80">
        <v>0</v>
      </c>
      <c r="M126" s="39">
        <f t="shared" si="10"/>
        <v>0</v>
      </c>
    </row>
    <row r="127" spans="1:108" x14ac:dyDescent="0.3">
      <c r="B127" s="3" t="s">
        <v>173</v>
      </c>
      <c r="C127" s="39">
        <f>(C121*'(ne pas modifier) BDD_REF'!$C$225+'RECeff + REIamont (2)'!C122*'(ne pas modifier) BDD_REF'!$C$226+'RECeff + REIamont (2)'!C123*'(ne pas modifier) BDD_REF'!$C$227+'RECeff + REIamont (2)'!C124*'(ne pas modifier) BDD_REF'!$C$228+'RECeff + REIamont (2)'!C125*'(ne pas modifier) BDD_REF'!$C$229+'RECeff + REIamont (2)'!C126*'(ne pas modifier) BDD_REF'!$C$230)/1000</f>
        <v>0.48214699999999994</v>
      </c>
      <c r="D127" s="39">
        <f>(D121*'(ne pas modifier) BDD_REF'!$C$225+'RECeff + REIamont (2)'!D122*'(ne pas modifier) BDD_REF'!$C$226+'RECeff + REIamont (2)'!D123*'(ne pas modifier) BDD_REF'!$C$227+'RECeff + REIamont (2)'!D124*'(ne pas modifier) BDD_REF'!$C$228+'RECeff + REIamont (2)'!D125*'(ne pas modifier) BDD_REF'!$C$229+'RECeff + REIamont (2)'!D126*'(ne pas modifier) BDD_REF'!$C$230)/1000</f>
        <v>0.48214699999999994</v>
      </c>
      <c r="E127" s="39">
        <f>(E121*'(ne pas modifier) BDD_REF'!$C$225+'RECeff + REIamont (2)'!E122*'(ne pas modifier) BDD_REF'!$C$226+'RECeff + REIamont (2)'!E123*'(ne pas modifier) BDD_REF'!$C$227+'RECeff + REIamont (2)'!E124*'(ne pas modifier) BDD_REF'!$C$228+'RECeff + REIamont (2)'!E125*'(ne pas modifier) BDD_REF'!$C$229+'RECeff + REIamont (2)'!E126*'(ne pas modifier) BDD_REF'!$C$230)/1000</f>
        <v>0</v>
      </c>
      <c r="F127" s="39">
        <f>(F121*'(ne pas modifier) BDD_REF'!$C$225+'RECeff + REIamont (2)'!F122*'(ne pas modifier) BDD_REF'!$C$226+'RECeff + REIamont (2)'!F123*'(ne pas modifier) BDD_REF'!$C$227+'RECeff + REIamont (2)'!F124*'(ne pas modifier) BDD_REF'!$C$228+'RECeff + REIamont (2)'!F125*'(ne pas modifier) BDD_REF'!$C$229+'RECeff + REIamont (2)'!F126*'(ne pas modifier) BDD_REF'!$C$230)/1000</f>
        <v>0</v>
      </c>
      <c r="G127" s="39">
        <f>(G121*'(ne pas modifier) BDD_REF'!$C$225+'RECeff + REIamont (2)'!G122*'(ne pas modifier) BDD_REF'!$C$226+'RECeff + REIamont (2)'!G123*'(ne pas modifier) BDD_REF'!$C$227+'RECeff + REIamont (2)'!G124*'(ne pas modifier) BDD_REF'!$C$228+'RECeff + REIamont (2)'!G125*'(ne pas modifier) BDD_REF'!$C$229+'RECeff + REIamont (2)'!G126*'(ne pas modifier) BDD_REF'!$C$230)/1000</f>
        <v>0</v>
      </c>
      <c r="H127" s="39">
        <f>(H121*'(ne pas modifier) BDD_REF'!$C$225+'RECeff + REIamont (2)'!H122*'(ne pas modifier) BDD_REF'!$C$226+'RECeff + REIamont (2)'!H123*'(ne pas modifier) BDD_REF'!$C$227+'RECeff + REIamont (2)'!H124*'(ne pas modifier) BDD_REF'!$C$228+'RECeff + REIamont (2)'!H125*'(ne pas modifier) BDD_REF'!$C$229+'RECeff + REIamont (2)'!H126*'(ne pas modifier) BDD_REF'!$C$230)/1000</f>
        <v>0</v>
      </c>
      <c r="I127" s="39">
        <f>(I121*'(ne pas modifier) BDD_REF'!$C$225+'RECeff + REIamont (2)'!I122*'(ne pas modifier) BDD_REF'!$C$226+'RECeff + REIamont (2)'!I123*'(ne pas modifier) BDD_REF'!$C$227+'RECeff + REIamont (2)'!I124*'(ne pas modifier) BDD_REF'!$C$228+'RECeff + REIamont (2)'!I125*'(ne pas modifier) BDD_REF'!$C$229+'RECeff + REIamont (2)'!I126*'(ne pas modifier) BDD_REF'!$C$230)/1000</f>
        <v>0</v>
      </c>
      <c r="J127" s="39">
        <f>(J121*'(ne pas modifier) BDD_REF'!$C$225+'RECeff + REIamont (2)'!J122*'(ne pas modifier) BDD_REF'!$C$226+'RECeff + REIamont (2)'!J123*'(ne pas modifier) BDD_REF'!$C$227+'RECeff + REIamont (2)'!J124*'(ne pas modifier) BDD_REF'!$C$228+'RECeff + REIamont (2)'!J125*'(ne pas modifier) BDD_REF'!$C$229+'RECeff + REIamont (2)'!J126*'(ne pas modifier) BDD_REF'!$C$230)/1000</f>
        <v>0</v>
      </c>
      <c r="K127" s="39">
        <f>(K121*'(ne pas modifier) BDD_REF'!$C$225+'RECeff + REIamont (2)'!K122*'(ne pas modifier) BDD_REF'!$C$226+'RECeff + REIamont (2)'!K123*'(ne pas modifier) BDD_REF'!$C$227+'RECeff + REIamont (2)'!K124*'(ne pas modifier) BDD_REF'!$C$228+'RECeff + REIamont (2)'!K125*'(ne pas modifier) BDD_REF'!$C$229+'RECeff + REIamont (2)'!K126*'(ne pas modifier) BDD_REF'!$C$230)/1000</f>
        <v>0</v>
      </c>
      <c r="L127" s="39">
        <f>(L121*'(ne pas modifier) BDD_REF'!$C$225+'RECeff + REIamont (2)'!L122*'(ne pas modifier) BDD_REF'!$C$226+'RECeff + REIamont (2)'!L123*'(ne pas modifier) BDD_REF'!$C$227+'RECeff + REIamont (2)'!L124*'(ne pas modifier) BDD_REF'!$C$228+'RECeff + REIamont (2)'!L125*'(ne pas modifier) BDD_REF'!$C$229+'RECeff + REIamont (2)'!L126*'(ne pas modifier) BDD_REF'!$C$230)/1000</f>
        <v>0</v>
      </c>
      <c r="M127" s="39">
        <f t="shared" si="10"/>
        <v>0.96429399999999987</v>
      </c>
    </row>
    <row r="128" spans="1:108" x14ac:dyDescent="0.3">
      <c r="B128" s="7" t="s">
        <v>321</v>
      </c>
      <c r="C128" s="80">
        <v>180</v>
      </c>
      <c r="D128" s="80">
        <v>180</v>
      </c>
      <c r="E128" s="80"/>
      <c r="F128" s="80"/>
      <c r="G128" s="80"/>
      <c r="H128" s="80"/>
      <c r="I128" s="80"/>
      <c r="J128" s="80"/>
      <c r="K128" s="80"/>
      <c r="L128" s="80"/>
      <c r="M128" s="39">
        <f t="shared" si="10"/>
        <v>360</v>
      </c>
    </row>
    <row r="129" spans="1:108" x14ac:dyDescent="0.3">
      <c r="B129" s="3" t="s">
        <v>184</v>
      </c>
      <c r="C129" s="39">
        <f>(C128*'(ne pas modifier) BDD_REF'!$B$211)/1000</f>
        <v>1.026E-2</v>
      </c>
      <c r="D129" s="39">
        <f>(D128*'(ne pas modifier) BDD_REF'!$B$211)/1000</f>
        <v>1.026E-2</v>
      </c>
      <c r="E129" s="39">
        <f>(E128*'(ne pas modifier) BDD_REF'!$B$211)/1000</f>
        <v>0</v>
      </c>
      <c r="F129" s="39">
        <f>(F128*'(ne pas modifier) BDD_REF'!$B$211)/1000</f>
        <v>0</v>
      </c>
      <c r="G129" s="39">
        <f>(G128*'(ne pas modifier) BDD_REF'!$B$211)/1000</f>
        <v>0</v>
      </c>
      <c r="H129" s="39">
        <f>(H128*'(ne pas modifier) BDD_REF'!$B$211)/1000</f>
        <v>0</v>
      </c>
      <c r="I129" s="39">
        <f>(I128*'(ne pas modifier) BDD_REF'!$B$211)/1000</f>
        <v>0</v>
      </c>
      <c r="J129" s="39">
        <f>(J128*'(ne pas modifier) BDD_REF'!$B$211)/1000</f>
        <v>0</v>
      </c>
      <c r="K129" s="39">
        <f>(K128*'(ne pas modifier) BDD_REF'!$B$211)/1000</f>
        <v>0</v>
      </c>
      <c r="L129" s="39">
        <f>(L128*'(ne pas modifier) BDD_REF'!$B$211)/1000</f>
        <v>0</v>
      </c>
      <c r="M129" s="39">
        <f t="shared" si="10"/>
        <v>2.052E-2</v>
      </c>
    </row>
    <row r="130" spans="1:108" s="16" customFormat="1" x14ac:dyDescent="0.3">
      <c r="A130" s="18"/>
      <c r="B130" s="19" t="s">
        <v>185</v>
      </c>
      <c r="C130" s="81">
        <f>C127+C129</f>
        <v>0.49240699999999993</v>
      </c>
      <c r="D130" s="81">
        <f t="shared" ref="D130:L130" si="12">D127+D129</f>
        <v>0.49240699999999993</v>
      </c>
      <c r="E130" s="81">
        <f t="shared" si="12"/>
        <v>0</v>
      </c>
      <c r="F130" s="81">
        <f t="shared" si="12"/>
        <v>0</v>
      </c>
      <c r="G130" s="81">
        <f t="shared" si="12"/>
        <v>0</v>
      </c>
      <c r="H130" s="81">
        <f t="shared" si="12"/>
        <v>0</v>
      </c>
      <c r="I130" s="81">
        <f t="shared" si="12"/>
        <v>0</v>
      </c>
      <c r="J130" s="81">
        <f t="shared" si="12"/>
        <v>0</v>
      </c>
      <c r="K130" s="81">
        <f t="shared" si="12"/>
        <v>0</v>
      </c>
      <c r="L130" s="81">
        <f t="shared" si="12"/>
        <v>0</v>
      </c>
      <c r="M130" s="39">
        <f t="shared" si="10"/>
        <v>0.98481399999999986</v>
      </c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  <c r="AA130" s="23"/>
      <c r="AB130" s="23"/>
      <c r="AC130" s="23"/>
      <c r="AD130" s="23"/>
      <c r="AE130" s="23"/>
      <c r="AF130" s="23"/>
      <c r="AG130" s="23"/>
      <c r="AH130" s="23"/>
      <c r="AI130" s="23"/>
      <c r="AJ130" s="23"/>
      <c r="AK130" s="23"/>
      <c r="AL130" s="23"/>
      <c r="AM130" s="23"/>
      <c r="AN130" s="23"/>
      <c r="AO130" s="23"/>
      <c r="AP130" s="23"/>
      <c r="AQ130" s="23"/>
      <c r="AR130" s="23"/>
      <c r="AS130" s="23"/>
      <c r="AT130" s="23"/>
      <c r="AU130" s="23"/>
      <c r="AV130" s="23"/>
      <c r="AW130" s="23"/>
      <c r="AX130" s="23"/>
      <c r="AY130" s="23"/>
      <c r="AZ130" s="23"/>
      <c r="BA130" s="23"/>
      <c r="BB130" s="23"/>
      <c r="BC130" s="23"/>
      <c r="BD130" s="23"/>
      <c r="BE130" s="23"/>
      <c r="BF130" s="23"/>
      <c r="BG130" s="23"/>
      <c r="BH130" s="23"/>
      <c r="BI130" s="23"/>
      <c r="BJ130" s="23"/>
      <c r="BK130" s="23"/>
      <c r="BL130" s="23"/>
      <c r="BM130" s="23"/>
      <c r="BN130" s="23"/>
      <c r="BO130" s="23"/>
      <c r="BP130" s="23"/>
      <c r="BQ130" s="23"/>
      <c r="BR130" s="23"/>
      <c r="BS130" s="23"/>
      <c r="BT130" s="23"/>
      <c r="BU130" s="23"/>
      <c r="BV130" s="23"/>
      <c r="BW130" s="23"/>
      <c r="BX130" s="23"/>
      <c r="BY130" s="23"/>
      <c r="BZ130" s="23"/>
      <c r="CA130" s="23"/>
      <c r="CB130" s="23"/>
      <c r="CC130" s="23"/>
      <c r="CD130" s="23"/>
      <c r="CE130" s="23"/>
      <c r="CF130" s="23"/>
      <c r="CG130" s="23"/>
      <c r="CH130" s="23"/>
      <c r="CI130" s="23"/>
      <c r="CJ130" s="23"/>
      <c r="CK130" s="23"/>
      <c r="CL130" s="23"/>
      <c r="CM130" s="23"/>
      <c r="CN130" s="23"/>
      <c r="CO130" s="23"/>
      <c r="CP130" s="23"/>
      <c r="CQ130" s="23"/>
      <c r="CR130" s="23"/>
      <c r="CS130" s="23"/>
      <c r="CT130" s="23"/>
      <c r="CU130" s="23"/>
      <c r="CV130" s="23"/>
      <c r="CW130" s="23"/>
      <c r="CX130" s="23"/>
      <c r="CY130" s="23"/>
      <c r="CZ130" s="23"/>
      <c r="DA130" s="23"/>
      <c r="DB130" s="23"/>
      <c r="DC130" s="23"/>
      <c r="DD130" s="23"/>
    </row>
    <row r="131" spans="1:108" x14ac:dyDescent="0.3">
      <c r="B131" s="7" t="s">
        <v>322</v>
      </c>
      <c r="C131" s="80">
        <v>18</v>
      </c>
      <c r="D131" s="80">
        <v>18</v>
      </c>
      <c r="E131" s="80"/>
      <c r="F131" s="80"/>
      <c r="G131" s="80"/>
      <c r="H131" s="80"/>
      <c r="I131" s="80"/>
      <c r="J131" s="80"/>
      <c r="K131" s="80"/>
      <c r="L131" s="80"/>
      <c r="M131" s="39">
        <f t="shared" si="10"/>
        <v>36</v>
      </c>
    </row>
    <row r="132" spans="1:108" x14ac:dyDescent="0.3">
      <c r="B132" s="7" t="s">
        <v>323</v>
      </c>
      <c r="C132" s="80">
        <v>20</v>
      </c>
      <c r="D132" s="80">
        <v>20</v>
      </c>
      <c r="E132" s="80"/>
      <c r="F132" s="80"/>
      <c r="G132" s="80"/>
      <c r="H132" s="80"/>
      <c r="I132" s="80"/>
      <c r="J132" s="80"/>
      <c r="K132" s="80"/>
      <c r="L132" s="80"/>
      <c r="M132" s="39">
        <f t="shared" si="10"/>
        <v>40</v>
      </c>
    </row>
    <row r="133" spans="1:108" x14ac:dyDescent="0.3">
      <c r="B133" s="3" t="s">
        <v>292</v>
      </c>
      <c r="C133" s="39">
        <f>(C115*'(ne pas modifier) BDD_REF'!$B$212+'RECeff + REIamont (2)'!C131*'(ne pas modifier) BDD_REF'!$B$213+'RECeff + REIamont (2)'!C132*'(ne pas modifier) BDD_REF'!$B$214)/1000</f>
        <v>0.31089999999999995</v>
      </c>
      <c r="D133" s="39">
        <f>(D115*'(ne pas modifier) BDD_REF'!$B$212+'RECeff + REIamont (2)'!D131*'(ne pas modifier) BDD_REF'!$B$213+'RECeff + REIamont (2)'!D132*'(ne pas modifier) BDD_REF'!$B$214)/1000</f>
        <v>0.31089999999999995</v>
      </c>
      <c r="E133" s="39">
        <f>(E115*'(ne pas modifier) BDD_REF'!$B$212+'RECeff + REIamont (2)'!E131*'(ne pas modifier) BDD_REF'!$B$213+'RECeff + REIamont (2)'!E132*'(ne pas modifier) BDD_REF'!$B$214)/1000</f>
        <v>0</v>
      </c>
      <c r="F133" s="39">
        <f>(F115*'(ne pas modifier) BDD_REF'!$B$212+'RECeff + REIamont (2)'!F131*'(ne pas modifier) BDD_REF'!$B$213+'RECeff + REIamont (2)'!F132*'(ne pas modifier) BDD_REF'!$B$214)/1000</f>
        <v>0</v>
      </c>
      <c r="G133" s="39">
        <f>(G115*'(ne pas modifier) BDD_REF'!$B$212+'RECeff + REIamont (2)'!G131*'(ne pas modifier) BDD_REF'!$B$213+'RECeff + REIamont (2)'!G132*'(ne pas modifier) BDD_REF'!$B$214)/1000</f>
        <v>0</v>
      </c>
      <c r="H133" s="39">
        <f>(H115*'(ne pas modifier) BDD_REF'!$B$212+'RECeff + REIamont (2)'!H131*'(ne pas modifier) BDD_REF'!$B$213+'RECeff + REIamont (2)'!H132*'(ne pas modifier) BDD_REF'!$B$214)/1000</f>
        <v>0</v>
      </c>
      <c r="I133" s="39">
        <f>(I115*'(ne pas modifier) BDD_REF'!$B$212+'RECeff + REIamont (2)'!I131*'(ne pas modifier) BDD_REF'!$B$213+'RECeff + REIamont (2)'!I132*'(ne pas modifier) BDD_REF'!$B$214)/1000</f>
        <v>0</v>
      </c>
      <c r="J133" s="39">
        <f>(J115*'(ne pas modifier) BDD_REF'!$B$212+'RECeff + REIamont (2)'!J131*'(ne pas modifier) BDD_REF'!$B$213+'RECeff + REIamont (2)'!J132*'(ne pas modifier) BDD_REF'!$B$214)/1000</f>
        <v>0</v>
      </c>
      <c r="K133" s="39">
        <f>(K115*'(ne pas modifier) BDD_REF'!$B$212+'RECeff + REIamont (2)'!K131*'(ne pas modifier) BDD_REF'!$B$213+'RECeff + REIamont (2)'!K132*'(ne pas modifier) BDD_REF'!$B$214)/1000</f>
        <v>0</v>
      </c>
      <c r="L133" s="39">
        <f>(L115*'(ne pas modifier) BDD_REF'!$B$212+'RECeff + REIamont (2)'!L131*'(ne pas modifier) BDD_REF'!$B$213+'RECeff + REIamont (2)'!L132*'(ne pas modifier) BDD_REF'!$B$214)/1000</f>
        <v>0</v>
      </c>
      <c r="M133" s="39">
        <f t="shared" si="10"/>
        <v>0.62179999999999991</v>
      </c>
    </row>
    <row r="134" spans="1:108" hidden="1" x14ac:dyDescent="0.3">
      <c r="A134" s="17" t="s">
        <v>179</v>
      </c>
      <c r="B134" s="3" t="s">
        <v>175</v>
      </c>
      <c r="C134" s="82"/>
      <c r="D134" s="82"/>
      <c r="E134" s="82"/>
      <c r="F134" s="82"/>
      <c r="G134" s="82"/>
      <c r="H134" s="82"/>
      <c r="I134" s="82"/>
      <c r="J134" s="82"/>
      <c r="K134" s="82"/>
      <c r="L134" s="82"/>
      <c r="M134" s="39">
        <f t="shared" si="10"/>
        <v>0</v>
      </c>
    </row>
    <row r="135" spans="1:108" x14ac:dyDescent="0.3">
      <c r="B135" s="7" t="s">
        <v>324</v>
      </c>
      <c r="C135" s="80">
        <v>0.1875</v>
      </c>
      <c r="D135" s="80">
        <v>0.1875</v>
      </c>
      <c r="E135" s="80"/>
      <c r="F135" s="80"/>
      <c r="G135" s="80"/>
      <c r="H135" s="80"/>
      <c r="I135" s="80"/>
      <c r="J135" s="80"/>
      <c r="K135" s="80"/>
      <c r="L135" s="80"/>
      <c r="M135" s="39">
        <f t="shared" ref="M135:M142" si="13">SUM(C135:L135)</f>
        <v>0.375</v>
      </c>
    </row>
    <row r="136" spans="1:108" x14ac:dyDescent="0.3">
      <c r="B136" s="7" t="s">
        <v>325</v>
      </c>
      <c r="C136" s="80">
        <v>3.55</v>
      </c>
      <c r="D136" s="80">
        <v>3.55</v>
      </c>
      <c r="E136" s="80"/>
      <c r="F136" s="80"/>
      <c r="G136" s="80"/>
      <c r="H136" s="80"/>
      <c r="I136" s="80"/>
      <c r="J136" s="80"/>
      <c r="K136" s="80"/>
      <c r="L136" s="80"/>
      <c r="M136" s="39">
        <f t="shared" si="13"/>
        <v>7.1</v>
      </c>
    </row>
    <row r="137" spans="1:108" x14ac:dyDescent="0.3">
      <c r="B137" s="7" t="s">
        <v>326</v>
      </c>
      <c r="C137" s="80">
        <v>9.9</v>
      </c>
      <c r="D137" s="80">
        <v>9.9</v>
      </c>
      <c r="E137" s="80"/>
      <c r="F137" s="80"/>
      <c r="G137" s="80"/>
      <c r="H137" s="80"/>
      <c r="I137" s="80"/>
      <c r="J137" s="80"/>
      <c r="K137" s="80"/>
      <c r="L137" s="80"/>
      <c r="M137" s="39">
        <f t="shared" si="13"/>
        <v>19.8</v>
      </c>
    </row>
    <row r="138" spans="1:108" x14ac:dyDescent="0.3">
      <c r="B138" s="7" t="s">
        <v>327</v>
      </c>
      <c r="C138" s="80"/>
      <c r="D138" s="80"/>
      <c r="E138" s="80"/>
      <c r="F138" s="80"/>
      <c r="G138" s="80"/>
      <c r="H138" s="80"/>
      <c r="I138" s="80"/>
      <c r="J138" s="80"/>
      <c r="K138" s="80"/>
      <c r="L138" s="80"/>
      <c r="M138" s="39">
        <f t="shared" si="13"/>
        <v>0</v>
      </c>
    </row>
    <row r="139" spans="1:108" x14ac:dyDescent="0.3">
      <c r="B139" s="3" t="s">
        <v>294</v>
      </c>
      <c r="C139" s="39">
        <f>(C135*'(ne pas modifier) BDD_REF'!$B$215+'RECeff + REIamont (2)'!C136*'(ne pas modifier) BDD_REF'!$B$216+'RECeff + REIamont (2)'!C137*'(ne pas modifier) BDD_REF'!$B$217+'RECeff + REIamont (2)'!C138*'(ne pas modifier) BDD_REF'!$B$218)/1000</f>
        <v>0.28185003749999998</v>
      </c>
      <c r="D139" s="39">
        <f>(D135*'(ne pas modifier) BDD_REF'!$B$215+'RECeff + REIamont (2)'!D136*'(ne pas modifier) BDD_REF'!$B$216+'RECeff + REIamont (2)'!D137*'(ne pas modifier) BDD_REF'!$B$217+'RECeff + REIamont (2)'!D138*'(ne pas modifier) BDD_REF'!$B$218)/1000</f>
        <v>0.28185003749999998</v>
      </c>
      <c r="E139" s="39">
        <f>(E135*'(ne pas modifier) BDD_REF'!$B$215+'RECeff + REIamont (2)'!E136*'(ne pas modifier) BDD_REF'!$B$216+'RECeff + REIamont (2)'!E137*'(ne pas modifier) BDD_REF'!$B$217+'RECeff + REIamont (2)'!E138*'(ne pas modifier) BDD_REF'!$B$218)/1000</f>
        <v>0</v>
      </c>
      <c r="F139" s="39">
        <f>(F135*'(ne pas modifier) BDD_REF'!$B$215+'RECeff + REIamont (2)'!F136*'(ne pas modifier) BDD_REF'!$B$216+'RECeff + REIamont (2)'!F137*'(ne pas modifier) BDD_REF'!$B$217+'RECeff + REIamont (2)'!F138*'(ne pas modifier) BDD_REF'!$B$218)/1000</f>
        <v>0</v>
      </c>
      <c r="G139" s="39">
        <f>(G135*'(ne pas modifier) BDD_REF'!$B$215+'RECeff + REIamont (2)'!G136*'(ne pas modifier) BDD_REF'!$B$216+'RECeff + REIamont (2)'!G137*'(ne pas modifier) BDD_REF'!$B$217+'RECeff + REIamont (2)'!G138*'(ne pas modifier) BDD_REF'!$B$218)/1000</f>
        <v>0</v>
      </c>
      <c r="H139" s="39">
        <f>(H135*'(ne pas modifier) BDD_REF'!$B$215+'RECeff + REIamont (2)'!H136*'(ne pas modifier) BDD_REF'!$B$216+'RECeff + REIamont (2)'!H137*'(ne pas modifier) BDD_REF'!$B$217+'RECeff + REIamont (2)'!H138*'(ne pas modifier) BDD_REF'!$B$218)/1000</f>
        <v>0</v>
      </c>
      <c r="I139" s="39">
        <f>(I135*'(ne pas modifier) BDD_REF'!$B$215+'RECeff + REIamont (2)'!I136*'(ne pas modifier) BDD_REF'!$B$216+'RECeff + REIamont (2)'!I137*'(ne pas modifier) BDD_REF'!$B$217+'RECeff + REIamont (2)'!I138*'(ne pas modifier) BDD_REF'!$B$218)/1000</f>
        <v>0</v>
      </c>
      <c r="J139" s="39">
        <f>(J135*'(ne pas modifier) BDD_REF'!$B$215+'RECeff + REIamont (2)'!J136*'(ne pas modifier) BDD_REF'!$B$216+'RECeff + REIamont (2)'!J137*'(ne pas modifier) BDD_REF'!$B$217+'RECeff + REIamont (2)'!J138*'(ne pas modifier) BDD_REF'!$B$218)/1000</f>
        <v>0</v>
      </c>
      <c r="K139" s="39">
        <f>(K135*'(ne pas modifier) BDD_REF'!$B$215+'RECeff + REIamont (2)'!K136*'(ne pas modifier) BDD_REF'!$B$216+'RECeff + REIamont (2)'!K137*'(ne pas modifier) BDD_REF'!$B$217+'RECeff + REIamont (2)'!K138*'(ne pas modifier) BDD_REF'!$B$218)/1000</f>
        <v>0</v>
      </c>
      <c r="L139" s="39">
        <f>(L135*'(ne pas modifier) BDD_REF'!$B$215+'RECeff + REIamont (2)'!L136*'(ne pas modifier) BDD_REF'!$B$216+'RECeff + REIamont (2)'!L137*'(ne pas modifier) BDD_REF'!$B$217+'RECeff + REIamont (2)'!L138*'(ne pas modifier) BDD_REF'!$B$218)/1000</f>
        <v>0</v>
      </c>
      <c r="M139" s="39">
        <f t="shared" si="13"/>
        <v>0.56370007499999997</v>
      </c>
    </row>
    <row r="140" spans="1:108" s="16" customFormat="1" x14ac:dyDescent="0.3">
      <c r="A140" s="18"/>
      <c r="B140" s="19" t="s">
        <v>186</v>
      </c>
      <c r="C140" s="81">
        <f>C133+C134+C139</f>
        <v>0.59275003749999988</v>
      </c>
      <c r="D140" s="81">
        <f t="shared" ref="D140:L140" si="14">D133+D134+D139</f>
        <v>0.59275003749999988</v>
      </c>
      <c r="E140" s="81">
        <f t="shared" si="14"/>
        <v>0</v>
      </c>
      <c r="F140" s="81">
        <f t="shared" si="14"/>
        <v>0</v>
      </c>
      <c r="G140" s="81">
        <f t="shared" si="14"/>
        <v>0</v>
      </c>
      <c r="H140" s="81">
        <f t="shared" si="14"/>
        <v>0</v>
      </c>
      <c r="I140" s="81">
        <f t="shared" si="14"/>
        <v>0</v>
      </c>
      <c r="J140" s="81">
        <f t="shared" si="14"/>
        <v>0</v>
      </c>
      <c r="K140" s="81">
        <f t="shared" si="14"/>
        <v>0</v>
      </c>
      <c r="L140" s="81">
        <f t="shared" si="14"/>
        <v>0</v>
      </c>
      <c r="M140" s="39">
        <f t="shared" si="13"/>
        <v>1.1855000749999998</v>
      </c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  <c r="AA140" s="23"/>
      <c r="AB140" s="23"/>
      <c r="AC140" s="23"/>
      <c r="AD140" s="23"/>
      <c r="AE140" s="23"/>
      <c r="AF140" s="23"/>
      <c r="AG140" s="23"/>
      <c r="AH140" s="23"/>
      <c r="AI140" s="23"/>
      <c r="AJ140" s="23"/>
      <c r="AK140" s="23"/>
      <c r="AL140" s="23"/>
      <c r="AM140" s="23"/>
      <c r="AN140" s="23"/>
      <c r="AO140" s="23"/>
      <c r="AP140" s="23"/>
      <c r="AQ140" s="23"/>
      <c r="AR140" s="23"/>
      <c r="AS140" s="23"/>
      <c r="AT140" s="23"/>
      <c r="AU140" s="23"/>
      <c r="AV140" s="23"/>
      <c r="AW140" s="23"/>
      <c r="AX140" s="23"/>
      <c r="AY140" s="23"/>
      <c r="AZ140" s="23"/>
      <c r="BA140" s="23"/>
      <c r="BB140" s="23"/>
      <c r="BC140" s="23"/>
      <c r="BD140" s="23"/>
      <c r="BE140" s="23"/>
      <c r="BF140" s="23"/>
      <c r="BG140" s="23"/>
      <c r="BH140" s="23"/>
      <c r="BI140" s="23"/>
      <c r="BJ140" s="23"/>
      <c r="BK140" s="23"/>
      <c r="BL140" s="23"/>
      <c r="BM140" s="23"/>
      <c r="BN140" s="23"/>
      <c r="BO140" s="23"/>
      <c r="BP140" s="23"/>
      <c r="BQ140" s="23"/>
      <c r="BR140" s="23"/>
      <c r="BS140" s="23"/>
      <c r="BT140" s="23"/>
      <c r="BU140" s="23"/>
      <c r="BV140" s="23"/>
      <c r="BW140" s="23"/>
      <c r="BX140" s="23"/>
      <c r="BY140" s="23"/>
      <c r="BZ140" s="23"/>
      <c r="CA140" s="23"/>
      <c r="CB140" s="23"/>
      <c r="CC140" s="23"/>
      <c r="CD140" s="23"/>
      <c r="CE140" s="23"/>
      <c r="CF140" s="23"/>
      <c r="CG140" s="23"/>
      <c r="CH140" s="23"/>
      <c r="CI140" s="23"/>
      <c r="CJ140" s="23"/>
      <c r="CK140" s="23"/>
      <c r="CL140" s="23"/>
      <c r="CM140" s="23"/>
      <c r="CN140" s="23"/>
      <c r="CO140" s="23"/>
      <c r="CP140" s="23"/>
      <c r="CQ140" s="23"/>
      <c r="CR140" s="23"/>
      <c r="CS140" s="23"/>
      <c r="CT140" s="23"/>
      <c r="CU140" s="23"/>
      <c r="CV140" s="23"/>
      <c r="CW140" s="23"/>
      <c r="CX140" s="23"/>
      <c r="CY140" s="23"/>
      <c r="CZ140" s="23"/>
      <c r="DA140" s="23"/>
      <c r="DB140" s="23"/>
      <c r="DC140" s="23"/>
      <c r="DD140" s="23"/>
    </row>
    <row r="141" spans="1:108" s="16" customFormat="1" x14ac:dyDescent="0.3">
      <c r="A141" s="18"/>
      <c r="B141" s="20" t="s">
        <v>144</v>
      </c>
      <c r="C141" s="20">
        <f>((C118+C119+C120)/1000*44/28*'(ne pas modifier) BDD_REF'!$B$232)+'RECeff + REIamont (2)'!C130+'RECeff + REIamont (2)'!C140</f>
        <v>1.5783750374999999</v>
      </c>
      <c r="D141" s="20">
        <f>((D118+D119+D120)/1000*44/28*'(ne pas modifier) BDD_REF'!$B$232)+'RECeff + REIamont (2)'!D130+'RECeff + REIamont (2)'!D140</f>
        <v>1.5783750374999999</v>
      </c>
      <c r="E141" s="20">
        <f>((E118+E119+E120)/1000*44/28*'(ne pas modifier) BDD_REF'!$B$232)+'RECeff + REIamont (2)'!E130+'RECeff + REIamont (2)'!E140</f>
        <v>0</v>
      </c>
      <c r="F141" s="20">
        <f>((F118+F119+F120)/1000*44/28*'(ne pas modifier) BDD_REF'!$B$232)+'RECeff + REIamont (2)'!F130+'RECeff + REIamont (2)'!F140</f>
        <v>0</v>
      </c>
      <c r="G141" s="20">
        <f>((G118+G119+G120)/1000*44/28*'(ne pas modifier) BDD_REF'!$B$232)+'RECeff + REIamont (2)'!G130+'RECeff + REIamont (2)'!G140</f>
        <v>0</v>
      </c>
      <c r="H141" s="20">
        <f>((H118+H119+H120)/1000*44/28*'(ne pas modifier) BDD_REF'!$B$232)+'RECeff + REIamont (2)'!H130+'RECeff + REIamont (2)'!H140</f>
        <v>0</v>
      </c>
      <c r="I141" s="20">
        <f>((I118+I119+I120)/1000*44/28*'(ne pas modifier) BDD_REF'!$B$232)+'RECeff + REIamont (2)'!I130+'RECeff + REIamont (2)'!I140</f>
        <v>0</v>
      </c>
      <c r="J141" s="20">
        <f>((J118+J119+J120)/1000*44/28*'(ne pas modifier) BDD_REF'!$B$232)+'RECeff + REIamont (2)'!J130+'RECeff + REIamont (2)'!J140</f>
        <v>0</v>
      </c>
      <c r="K141" s="20">
        <f>((K118+K119+K120)/1000*44/28*'(ne pas modifier) BDD_REF'!$B$232)+'RECeff + REIamont (2)'!K130+'RECeff + REIamont (2)'!K140</f>
        <v>0</v>
      </c>
      <c r="L141" s="20">
        <f>((L118+L119+L120)/1000*44/28*'(ne pas modifier) BDD_REF'!$B$232)+'RECeff + REIamont (2)'!L130+'RECeff + REIamont (2)'!L140</f>
        <v>0</v>
      </c>
      <c r="M141" s="20">
        <f t="shared" si="13"/>
        <v>3.1567500749999997</v>
      </c>
      <c r="P141" s="23"/>
      <c r="Q141" s="23"/>
      <c r="R141" s="23"/>
      <c r="S141" s="23"/>
      <c r="T141" s="23"/>
      <c r="U141" s="23"/>
      <c r="V141" s="23"/>
      <c r="W141" s="23"/>
      <c r="X141" s="23"/>
      <c r="Y141" s="23"/>
      <c r="Z141" s="23"/>
      <c r="AA141" s="23"/>
      <c r="AB141" s="23"/>
      <c r="AC141" s="23"/>
      <c r="AD141" s="23"/>
      <c r="AE141" s="23"/>
      <c r="AF141" s="23"/>
      <c r="AG141" s="23"/>
      <c r="AH141" s="23"/>
      <c r="AI141" s="23"/>
      <c r="AJ141" s="23"/>
      <c r="AK141" s="23"/>
      <c r="AL141" s="23"/>
      <c r="AM141" s="23"/>
      <c r="AN141" s="23"/>
      <c r="AO141" s="23"/>
      <c r="AP141" s="23"/>
      <c r="AQ141" s="23"/>
      <c r="AR141" s="23"/>
      <c r="AS141" s="23"/>
      <c r="AT141" s="23"/>
      <c r="AU141" s="23"/>
      <c r="AV141" s="23"/>
      <c r="AW141" s="23"/>
      <c r="AX141" s="23"/>
      <c r="AY141" s="23"/>
      <c r="AZ141" s="23"/>
      <c r="BA141" s="23"/>
      <c r="BB141" s="23"/>
      <c r="BC141" s="23"/>
      <c r="BD141" s="23"/>
      <c r="BE141" s="23"/>
      <c r="BF141" s="23"/>
      <c r="BG141" s="23"/>
      <c r="BH141" s="23"/>
      <c r="BI141" s="23"/>
      <c r="BJ141" s="23"/>
      <c r="BK141" s="23"/>
      <c r="BL141" s="23"/>
      <c r="BM141" s="23"/>
      <c r="BN141" s="23"/>
      <c r="BO141" s="23"/>
      <c r="BP141" s="23"/>
      <c r="BQ141" s="23"/>
      <c r="BR141" s="23"/>
      <c r="BS141" s="23"/>
      <c r="BT141" s="23"/>
      <c r="BU141" s="23"/>
      <c r="BV141" s="23"/>
      <c r="BW141" s="23"/>
      <c r="BX141" s="23"/>
      <c r="BY141" s="23"/>
      <c r="BZ141" s="23"/>
      <c r="CA141" s="23"/>
      <c r="CB141" s="23"/>
      <c r="CC141" s="23"/>
      <c r="CD141" s="23"/>
      <c r="CE141" s="23"/>
      <c r="CF141" s="23"/>
      <c r="CG141" s="23"/>
      <c r="CH141" s="23"/>
      <c r="CI141" s="23"/>
      <c r="CJ141" s="23"/>
      <c r="CK141" s="23"/>
      <c r="CL141" s="23"/>
      <c r="CM141" s="23"/>
      <c r="CN141" s="23"/>
      <c r="CO141" s="23"/>
      <c r="CP141" s="23"/>
      <c r="CQ141" s="23"/>
      <c r="CR141" s="23"/>
      <c r="CS141" s="23"/>
      <c r="CT141" s="23"/>
      <c r="CU141" s="23"/>
      <c r="CV141" s="23"/>
      <c r="CW141" s="23"/>
      <c r="CX141" s="23"/>
      <c r="CY141" s="23"/>
      <c r="CZ141" s="23"/>
      <c r="DA141" s="23"/>
      <c r="DB141" s="23"/>
      <c r="DC141" s="23"/>
      <c r="DD141" s="23"/>
    </row>
    <row r="142" spans="1:108" x14ac:dyDescent="0.3">
      <c r="B142" s="71" t="s">
        <v>189</v>
      </c>
      <c r="C142" s="71">
        <f>C33+C60+C87+C114+C141</f>
        <v>4.9285265824999991</v>
      </c>
      <c r="D142" s="71">
        <f t="shared" ref="D142:L142" si="15">D33+D60+D87+D114+D141</f>
        <v>4.9285265824999991</v>
      </c>
      <c r="E142" s="71">
        <f t="shared" si="15"/>
        <v>0</v>
      </c>
      <c r="F142" s="71">
        <f t="shared" si="15"/>
        <v>0</v>
      </c>
      <c r="G142" s="71">
        <f t="shared" si="15"/>
        <v>0</v>
      </c>
      <c r="H142" s="71">
        <f t="shared" si="15"/>
        <v>0</v>
      </c>
      <c r="I142" s="71">
        <f t="shared" si="15"/>
        <v>0</v>
      </c>
      <c r="J142" s="71">
        <f t="shared" si="15"/>
        <v>0</v>
      </c>
      <c r="K142" s="71">
        <f t="shared" si="15"/>
        <v>0</v>
      </c>
      <c r="L142" s="71">
        <f t="shared" si="15"/>
        <v>0</v>
      </c>
      <c r="M142" s="71">
        <f t="shared" si="13"/>
        <v>9.8570531649999982</v>
      </c>
    </row>
    <row r="143" spans="1:108" x14ac:dyDescent="0.3">
      <c r="B143" s="71" t="s">
        <v>222</v>
      </c>
      <c r="C143" s="71">
        <f>(C142-C5*5)</f>
        <v>-6.8005805202000014</v>
      </c>
      <c r="D143" s="71">
        <f t="shared" ref="D143:L143" si="16">(D142-D5*5)</f>
        <v>-8.460685455850669</v>
      </c>
      <c r="E143" s="71">
        <f t="shared" si="16"/>
        <v>0</v>
      </c>
      <c r="F143" s="71">
        <f t="shared" si="16"/>
        <v>0</v>
      </c>
      <c r="G143" s="71">
        <f t="shared" si="16"/>
        <v>0</v>
      </c>
      <c r="H143" s="71">
        <f t="shared" si="16"/>
        <v>0</v>
      </c>
      <c r="I143" s="71">
        <f t="shared" si="16"/>
        <v>0</v>
      </c>
      <c r="J143" s="71">
        <f t="shared" si="16"/>
        <v>0</v>
      </c>
      <c r="K143" s="71">
        <f t="shared" si="16"/>
        <v>0</v>
      </c>
      <c r="L143" s="71">
        <f t="shared" si="16"/>
        <v>0</v>
      </c>
      <c r="M143" s="71"/>
    </row>
    <row r="144" spans="1:108" x14ac:dyDescent="0.3">
      <c r="B144" s="21" t="s">
        <v>188</v>
      </c>
      <c r="C144" s="21">
        <f>C143*Eligibilité_projet!B8</f>
        <v>-23.12197376868</v>
      </c>
      <c r="D144" s="21">
        <f>D143*Eligibilité_projet!C8</f>
        <v>-8.0376511830581343</v>
      </c>
      <c r="E144" s="21">
        <f>E143*Eligibilité_projet!D8</f>
        <v>0</v>
      </c>
      <c r="F144" s="21">
        <f>F143*Eligibilité_projet!E8</f>
        <v>0</v>
      </c>
      <c r="G144" s="21">
        <f>G143*Eligibilité_projet!F8</f>
        <v>0</v>
      </c>
      <c r="H144" s="21">
        <f>H143*Eligibilité_projet!G8</f>
        <v>0</v>
      </c>
      <c r="I144" s="21">
        <f>I143*Eligibilité_projet!H8</f>
        <v>0</v>
      </c>
      <c r="J144" s="21">
        <f>J143*Eligibilité_projet!I8</f>
        <v>0</v>
      </c>
      <c r="K144" s="21">
        <f>K143*Eligibilité_projet!J8</f>
        <v>0</v>
      </c>
      <c r="L144" s="21">
        <f>L143*Eligibilité_projet!K8</f>
        <v>0</v>
      </c>
      <c r="M144" s="21">
        <f>SUM(C144:L144)</f>
        <v>-31.159624951738135</v>
      </c>
    </row>
    <row r="145" spans="1:13" x14ac:dyDescent="0.3">
      <c r="B145" s="2"/>
      <c r="M145" s="2"/>
    </row>
    <row r="146" spans="1:13" x14ac:dyDescent="0.3">
      <c r="B146" s="2"/>
      <c r="M146" s="2"/>
    </row>
    <row r="147" spans="1:13" x14ac:dyDescent="0.3">
      <c r="B147" s="2"/>
      <c r="M147" s="2"/>
    </row>
    <row r="148" spans="1:13" x14ac:dyDescent="0.3">
      <c r="B148" s="2"/>
      <c r="M148" s="2"/>
    </row>
    <row r="149" spans="1:13" customFormat="1" x14ac:dyDescent="0.3">
      <c r="A149" s="17"/>
    </row>
    <row r="150" spans="1:13" customFormat="1" x14ac:dyDescent="0.3">
      <c r="A150" s="17"/>
    </row>
    <row r="151" spans="1:13" customFormat="1" x14ac:dyDescent="0.3">
      <c r="A151" s="17"/>
    </row>
    <row r="152" spans="1:13" customFormat="1" x14ac:dyDescent="0.3">
      <c r="A152" s="17"/>
    </row>
    <row r="153" spans="1:13" customFormat="1" x14ac:dyDescent="0.3">
      <c r="A153" s="17"/>
    </row>
    <row r="154" spans="1:13" customFormat="1" x14ac:dyDescent="0.3">
      <c r="A154" s="17"/>
    </row>
    <row r="155" spans="1:13" customFormat="1" x14ac:dyDescent="0.3">
      <c r="A155" s="17"/>
    </row>
    <row r="156" spans="1:13" customFormat="1" x14ac:dyDescent="0.3">
      <c r="A156" s="17"/>
    </row>
    <row r="157" spans="1:13" customFormat="1" x14ac:dyDescent="0.3">
      <c r="A157" s="17"/>
    </row>
    <row r="158" spans="1:13" customFormat="1" x14ac:dyDescent="0.3">
      <c r="A158" s="17"/>
    </row>
    <row r="159" spans="1:13" customFormat="1" x14ac:dyDescent="0.3">
      <c r="A159" s="17"/>
    </row>
    <row r="160" spans="1:13" customFormat="1" x14ac:dyDescent="0.3">
      <c r="A160" s="17"/>
    </row>
    <row r="161" spans="1:1" customFormat="1" x14ac:dyDescent="0.3">
      <c r="A161" s="17"/>
    </row>
    <row r="162" spans="1:1" customFormat="1" x14ac:dyDescent="0.3">
      <c r="A162" s="17"/>
    </row>
    <row r="163" spans="1:1" customFormat="1" x14ac:dyDescent="0.3">
      <c r="A163" s="17"/>
    </row>
    <row r="164" spans="1:1" customFormat="1" x14ac:dyDescent="0.3">
      <c r="A164" s="17"/>
    </row>
    <row r="165" spans="1:1" customFormat="1" x14ac:dyDescent="0.3">
      <c r="A165" s="17"/>
    </row>
    <row r="166" spans="1:1" customFormat="1" x14ac:dyDescent="0.3">
      <c r="A166" s="17"/>
    </row>
    <row r="167" spans="1:1" customFormat="1" x14ac:dyDescent="0.3">
      <c r="A167" s="17"/>
    </row>
    <row r="168" spans="1:1" customFormat="1" x14ac:dyDescent="0.3">
      <c r="A168" s="17"/>
    </row>
    <row r="169" spans="1:1" customFormat="1" x14ac:dyDescent="0.3">
      <c r="A169" s="17"/>
    </row>
    <row r="170" spans="1:1" customFormat="1" x14ac:dyDescent="0.3">
      <c r="A170" s="17"/>
    </row>
    <row r="171" spans="1:1" customFormat="1" x14ac:dyDescent="0.3">
      <c r="A171" s="17"/>
    </row>
    <row r="172" spans="1:1" customFormat="1" x14ac:dyDescent="0.3">
      <c r="A172" s="17"/>
    </row>
    <row r="173" spans="1:1" customFormat="1" x14ac:dyDescent="0.3">
      <c r="A173" s="17"/>
    </row>
    <row r="174" spans="1:1" customFormat="1" x14ac:dyDescent="0.3">
      <c r="A174" s="17"/>
    </row>
    <row r="175" spans="1:1" customFormat="1" x14ac:dyDescent="0.3">
      <c r="A175" s="17"/>
    </row>
    <row r="176" spans="1:1" customFormat="1" x14ac:dyDescent="0.3">
      <c r="A176" s="17"/>
    </row>
    <row r="177" spans="1:1" customFormat="1" x14ac:dyDescent="0.3">
      <c r="A177" s="17"/>
    </row>
    <row r="178" spans="1:1" customFormat="1" x14ac:dyDescent="0.3">
      <c r="A178" s="17"/>
    </row>
    <row r="179" spans="1:1" customFormat="1" x14ac:dyDescent="0.3">
      <c r="A179" s="17"/>
    </row>
    <row r="180" spans="1:1" customFormat="1" x14ac:dyDescent="0.3">
      <c r="A180" s="17"/>
    </row>
    <row r="181" spans="1:1" customFormat="1" x14ac:dyDescent="0.3">
      <c r="A181" s="17"/>
    </row>
    <row r="182" spans="1:1" customFormat="1" x14ac:dyDescent="0.3">
      <c r="A182" s="17"/>
    </row>
    <row r="183" spans="1:1" customFormat="1" x14ac:dyDescent="0.3">
      <c r="A183" s="17"/>
    </row>
    <row r="184" spans="1:1" customFormat="1" x14ac:dyDescent="0.3">
      <c r="A184" s="17"/>
    </row>
    <row r="185" spans="1:1" customFormat="1" x14ac:dyDescent="0.3">
      <c r="A185" s="17"/>
    </row>
    <row r="186" spans="1:1" customFormat="1" x14ac:dyDescent="0.3">
      <c r="A186" s="17"/>
    </row>
    <row r="187" spans="1:1" customFormat="1" x14ac:dyDescent="0.3">
      <c r="A187" s="17"/>
    </row>
    <row r="188" spans="1:1" customFormat="1" x14ac:dyDescent="0.3">
      <c r="A188" s="17"/>
    </row>
    <row r="189" spans="1:1" customFormat="1" x14ac:dyDescent="0.3">
      <c r="A189" s="17"/>
    </row>
    <row r="190" spans="1:1" customFormat="1" x14ac:dyDescent="0.3">
      <c r="A190" s="17"/>
    </row>
    <row r="191" spans="1:1" customFormat="1" x14ac:dyDescent="0.3">
      <c r="A191" s="17"/>
    </row>
    <row r="192" spans="1:1" customFormat="1" x14ac:dyDescent="0.3">
      <c r="A192" s="17"/>
    </row>
    <row r="193" spans="1:1" customFormat="1" x14ac:dyDescent="0.3">
      <c r="A193" s="17"/>
    </row>
    <row r="194" spans="1:1" customFormat="1" x14ac:dyDescent="0.3">
      <c r="A194" s="17"/>
    </row>
    <row r="195" spans="1:1" customFormat="1" x14ac:dyDescent="0.3">
      <c r="A195" s="17"/>
    </row>
    <row r="196" spans="1:1" customFormat="1" x14ac:dyDescent="0.3">
      <c r="A196" s="17"/>
    </row>
    <row r="197" spans="1:1" customFormat="1" x14ac:dyDescent="0.3">
      <c r="A197" s="17"/>
    </row>
    <row r="198" spans="1:1" customFormat="1" x14ac:dyDescent="0.3">
      <c r="A198" s="17"/>
    </row>
    <row r="199" spans="1:1" customFormat="1" x14ac:dyDescent="0.3">
      <c r="A199" s="17"/>
    </row>
    <row r="200" spans="1:1" customFormat="1" x14ac:dyDescent="0.3">
      <c r="A200" s="17"/>
    </row>
    <row r="201" spans="1:1" customFormat="1" x14ac:dyDescent="0.3">
      <c r="A201" s="17"/>
    </row>
    <row r="202" spans="1:1" customFormat="1" x14ac:dyDescent="0.3">
      <c r="A202" s="17"/>
    </row>
    <row r="203" spans="1:1" customFormat="1" x14ac:dyDescent="0.3">
      <c r="A203" s="17"/>
    </row>
    <row r="204" spans="1:1" customFormat="1" x14ac:dyDescent="0.3">
      <c r="A204" s="17"/>
    </row>
    <row r="205" spans="1:1" customFormat="1" x14ac:dyDescent="0.3">
      <c r="A205" s="17"/>
    </row>
    <row r="206" spans="1:1" customFormat="1" x14ac:dyDescent="0.3">
      <c r="A206" s="17"/>
    </row>
    <row r="207" spans="1:1" customFormat="1" x14ac:dyDescent="0.3">
      <c r="A207" s="17"/>
    </row>
    <row r="208" spans="1:1" customFormat="1" x14ac:dyDescent="0.3">
      <c r="A208" s="17"/>
    </row>
    <row r="209" spans="1:1" customFormat="1" x14ac:dyDescent="0.3">
      <c r="A209" s="17"/>
    </row>
    <row r="210" spans="1:1" customFormat="1" x14ac:dyDescent="0.3">
      <c r="A210" s="17"/>
    </row>
    <row r="211" spans="1:1" customFormat="1" x14ac:dyDescent="0.3">
      <c r="A211" s="17"/>
    </row>
    <row r="212" spans="1:1" customFormat="1" x14ac:dyDescent="0.3">
      <c r="A212" s="17"/>
    </row>
    <row r="213" spans="1:1" customFormat="1" x14ac:dyDescent="0.3">
      <c r="A213" s="17"/>
    </row>
    <row r="214" spans="1:1" customFormat="1" x14ac:dyDescent="0.3">
      <c r="A214" s="17"/>
    </row>
    <row r="215" spans="1:1" customFormat="1" x14ac:dyDescent="0.3">
      <c r="A215" s="17"/>
    </row>
    <row r="216" spans="1:1" customFormat="1" x14ac:dyDescent="0.3">
      <c r="A216" s="17"/>
    </row>
    <row r="217" spans="1:1" customFormat="1" x14ac:dyDescent="0.3">
      <c r="A217" s="17"/>
    </row>
    <row r="218" spans="1:1" customFormat="1" x14ac:dyDescent="0.3">
      <c r="A218" s="17"/>
    </row>
    <row r="219" spans="1:1" customFormat="1" x14ac:dyDescent="0.3">
      <c r="A219" s="17"/>
    </row>
    <row r="220" spans="1:1" customFormat="1" x14ac:dyDescent="0.3">
      <c r="A220" s="17"/>
    </row>
    <row r="221" spans="1:1" customFormat="1" x14ac:dyDescent="0.3">
      <c r="A221" s="17"/>
    </row>
    <row r="222" spans="1:1" customFormat="1" x14ac:dyDescent="0.3">
      <c r="A222" s="17"/>
    </row>
    <row r="223" spans="1:1" customFormat="1" x14ac:dyDescent="0.3">
      <c r="A223" s="17"/>
    </row>
    <row r="224" spans="1:1" customFormat="1" x14ac:dyDescent="0.3">
      <c r="A224" s="17"/>
    </row>
    <row r="225" spans="1:1" customFormat="1" x14ac:dyDescent="0.3">
      <c r="A225" s="17"/>
    </row>
    <row r="226" spans="1:1" customFormat="1" x14ac:dyDescent="0.3">
      <c r="A226" s="17"/>
    </row>
    <row r="227" spans="1:1" customFormat="1" x14ac:dyDescent="0.3">
      <c r="A227" s="17"/>
    </row>
    <row r="228" spans="1:1" customFormat="1" x14ac:dyDescent="0.3">
      <c r="A228" s="17"/>
    </row>
    <row r="229" spans="1:1" customFormat="1" x14ac:dyDescent="0.3">
      <c r="A229" s="17"/>
    </row>
    <row r="230" spans="1:1" customFormat="1" x14ac:dyDescent="0.3">
      <c r="A230" s="17"/>
    </row>
    <row r="231" spans="1:1" customFormat="1" x14ac:dyDescent="0.3">
      <c r="A231" s="17"/>
    </row>
    <row r="232" spans="1:1" customFormat="1" x14ac:dyDescent="0.3">
      <c r="A232" s="17"/>
    </row>
    <row r="233" spans="1:1" customFormat="1" x14ac:dyDescent="0.3">
      <c r="A233" s="17"/>
    </row>
    <row r="234" spans="1:1" customFormat="1" x14ac:dyDescent="0.3">
      <c r="A234" s="17"/>
    </row>
    <row r="235" spans="1:1" customFormat="1" x14ac:dyDescent="0.3">
      <c r="A235" s="17"/>
    </row>
    <row r="236" spans="1:1" customFormat="1" x14ac:dyDescent="0.3">
      <c r="A236" s="17"/>
    </row>
    <row r="237" spans="1:1" customFormat="1" x14ac:dyDescent="0.3">
      <c r="A237" s="17"/>
    </row>
    <row r="238" spans="1:1" customFormat="1" x14ac:dyDescent="0.3">
      <c r="A238" s="17"/>
    </row>
    <row r="239" spans="1:1" customFormat="1" x14ac:dyDescent="0.3">
      <c r="A239" s="17"/>
    </row>
    <row r="240" spans="1:1" customFormat="1" x14ac:dyDescent="0.3">
      <c r="A240" s="17"/>
    </row>
    <row r="241" spans="1:1" customFormat="1" x14ac:dyDescent="0.3">
      <c r="A241" s="17"/>
    </row>
    <row r="242" spans="1:1" customFormat="1" x14ac:dyDescent="0.3">
      <c r="A242" s="17"/>
    </row>
    <row r="243" spans="1:1" customFormat="1" x14ac:dyDescent="0.3">
      <c r="A243" s="17"/>
    </row>
    <row r="244" spans="1:1" customFormat="1" x14ac:dyDescent="0.3">
      <c r="A244" s="17"/>
    </row>
    <row r="245" spans="1:1" customFormat="1" x14ac:dyDescent="0.3">
      <c r="A245" s="17"/>
    </row>
    <row r="246" spans="1:1" customFormat="1" x14ac:dyDescent="0.3">
      <c r="A246" s="17"/>
    </row>
    <row r="247" spans="1:1" customFormat="1" x14ac:dyDescent="0.3">
      <c r="A247" s="17"/>
    </row>
    <row r="248" spans="1:1" customFormat="1" x14ac:dyDescent="0.3">
      <c r="A248" s="17"/>
    </row>
    <row r="249" spans="1:1" customFormat="1" x14ac:dyDescent="0.3">
      <c r="A249" s="17"/>
    </row>
    <row r="250" spans="1:1" customFormat="1" x14ac:dyDescent="0.3">
      <c r="A250" s="17"/>
    </row>
    <row r="251" spans="1:1" customFormat="1" x14ac:dyDescent="0.3">
      <c r="A251" s="17"/>
    </row>
    <row r="252" spans="1:1" customFormat="1" x14ac:dyDescent="0.3">
      <c r="A252" s="17"/>
    </row>
    <row r="253" spans="1:1" customFormat="1" x14ac:dyDescent="0.3">
      <c r="A253" s="17"/>
    </row>
    <row r="254" spans="1:1" customFormat="1" x14ac:dyDescent="0.3">
      <c r="A254" s="17"/>
    </row>
    <row r="255" spans="1:1" customFormat="1" x14ac:dyDescent="0.3">
      <c r="A255" s="17"/>
    </row>
    <row r="256" spans="1:1" customFormat="1" x14ac:dyDescent="0.3">
      <c r="A256" s="17"/>
    </row>
    <row r="257" spans="1:1" customFormat="1" x14ac:dyDescent="0.3">
      <c r="A257" s="17"/>
    </row>
    <row r="258" spans="1:1" customFormat="1" x14ac:dyDescent="0.3">
      <c r="A258" s="17"/>
    </row>
    <row r="259" spans="1:1" customFormat="1" x14ac:dyDescent="0.3">
      <c r="A259" s="17"/>
    </row>
    <row r="260" spans="1:1" customFormat="1" x14ac:dyDescent="0.3">
      <c r="A260" s="17"/>
    </row>
    <row r="261" spans="1:1" customFormat="1" x14ac:dyDescent="0.3">
      <c r="A261" s="17"/>
    </row>
    <row r="262" spans="1:1" customFormat="1" x14ac:dyDescent="0.3">
      <c r="A262" s="17"/>
    </row>
    <row r="263" spans="1:1" customFormat="1" x14ac:dyDescent="0.3">
      <c r="A263" s="17"/>
    </row>
    <row r="264" spans="1:1" customFormat="1" x14ac:dyDescent="0.3">
      <c r="A264" s="17"/>
    </row>
    <row r="265" spans="1:1" customFormat="1" x14ac:dyDescent="0.3">
      <c r="A265" s="17"/>
    </row>
    <row r="266" spans="1:1" customFormat="1" x14ac:dyDescent="0.3">
      <c r="A266" s="17"/>
    </row>
    <row r="267" spans="1:1" customFormat="1" x14ac:dyDescent="0.3">
      <c r="A267" s="17"/>
    </row>
    <row r="268" spans="1:1" customFormat="1" x14ac:dyDescent="0.3">
      <c r="A268" s="17"/>
    </row>
    <row r="269" spans="1:1" customFormat="1" x14ac:dyDescent="0.3">
      <c r="A269" s="17"/>
    </row>
    <row r="270" spans="1:1" customFormat="1" x14ac:dyDescent="0.3">
      <c r="A270" s="17"/>
    </row>
    <row r="271" spans="1:1" customFormat="1" x14ac:dyDescent="0.3">
      <c r="A271" s="17"/>
    </row>
    <row r="272" spans="1:1" customFormat="1" x14ac:dyDescent="0.3">
      <c r="A272" s="17"/>
    </row>
    <row r="273" spans="1:1" customFormat="1" x14ac:dyDescent="0.3">
      <c r="A273" s="17"/>
    </row>
    <row r="274" spans="1:1" customFormat="1" x14ac:dyDescent="0.3">
      <c r="A274" s="17"/>
    </row>
    <row r="275" spans="1:1" customFormat="1" x14ac:dyDescent="0.3">
      <c r="A275" s="17"/>
    </row>
    <row r="276" spans="1:1" customFormat="1" x14ac:dyDescent="0.3">
      <c r="A276" s="17"/>
    </row>
    <row r="277" spans="1:1" customFormat="1" x14ac:dyDescent="0.3">
      <c r="A277" s="17"/>
    </row>
    <row r="278" spans="1:1" customFormat="1" x14ac:dyDescent="0.3">
      <c r="A278" s="17"/>
    </row>
    <row r="279" spans="1:1" customFormat="1" x14ac:dyDescent="0.3">
      <c r="A279" s="17"/>
    </row>
    <row r="280" spans="1:1" customFormat="1" x14ac:dyDescent="0.3">
      <c r="A280" s="17"/>
    </row>
    <row r="281" spans="1:1" customFormat="1" x14ac:dyDescent="0.3">
      <c r="A281" s="17"/>
    </row>
    <row r="282" spans="1:1" customFormat="1" x14ac:dyDescent="0.3">
      <c r="A282" s="17"/>
    </row>
    <row r="283" spans="1:1" customFormat="1" x14ac:dyDescent="0.3">
      <c r="A283" s="17"/>
    </row>
    <row r="284" spans="1:1" customFormat="1" x14ac:dyDescent="0.3">
      <c r="A284" s="17"/>
    </row>
    <row r="285" spans="1:1" customFormat="1" x14ac:dyDescent="0.3">
      <c r="A285" s="17"/>
    </row>
    <row r="286" spans="1:1" customFormat="1" x14ac:dyDescent="0.3">
      <c r="A286" s="17"/>
    </row>
    <row r="287" spans="1:1" customFormat="1" x14ac:dyDescent="0.3">
      <c r="A287" s="17"/>
    </row>
    <row r="288" spans="1:1" customFormat="1" x14ac:dyDescent="0.3">
      <c r="A288" s="17"/>
    </row>
    <row r="289" spans="1:1" customFormat="1" x14ac:dyDescent="0.3">
      <c r="A289" s="17"/>
    </row>
    <row r="290" spans="1:1" customFormat="1" x14ac:dyDescent="0.3">
      <c r="A290" s="17"/>
    </row>
    <row r="291" spans="1:1" customFormat="1" x14ac:dyDescent="0.3">
      <c r="A291" s="17"/>
    </row>
    <row r="292" spans="1:1" customFormat="1" x14ac:dyDescent="0.3">
      <c r="A292" s="17"/>
    </row>
    <row r="293" spans="1:1" customFormat="1" x14ac:dyDescent="0.3">
      <c r="A293" s="17"/>
    </row>
    <row r="294" spans="1:1" customFormat="1" x14ac:dyDescent="0.3">
      <c r="A294" s="17"/>
    </row>
    <row r="295" spans="1:1" customFormat="1" x14ac:dyDescent="0.3">
      <c r="A295" s="17"/>
    </row>
    <row r="296" spans="1:1" customFormat="1" x14ac:dyDescent="0.3">
      <c r="A296" s="17"/>
    </row>
    <row r="297" spans="1:1" customFormat="1" x14ac:dyDescent="0.3">
      <c r="A297" s="17"/>
    </row>
    <row r="298" spans="1:1" customFormat="1" x14ac:dyDescent="0.3">
      <c r="A298" s="17"/>
    </row>
    <row r="299" spans="1:1" customFormat="1" x14ac:dyDescent="0.3">
      <c r="A299" s="17"/>
    </row>
    <row r="300" spans="1:1" customFormat="1" x14ac:dyDescent="0.3">
      <c r="A300" s="17"/>
    </row>
    <row r="301" spans="1:1" customFormat="1" x14ac:dyDescent="0.3">
      <c r="A301" s="17"/>
    </row>
    <row r="302" spans="1:1" customFormat="1" x14ac:dyDescent="0.3">
      <c r="A302" s="17"/>
    </row>
    <row r="303" spans="1:1" customFormat="1" x14ac:dyDescent="0.3">
      <c r="A303" s="17"/>
    </row>
    <row r="304" spans="1:1" customFormat="1" x14ac:dyDescent="0.3">
      <c r="A304" s="17"/>
    </row>
    <row r="305" spans="1:1" customFormat="1" x14ac:dyDescent="0.3">
      <c r="A305" s="17"/>
    </row>
    <row r="306" spans="1:1" customFormat="1" x14ac:dyDescent="0.3">
      <c r="A306" s="17"/>
    </row>
    <row r="307" spans="1:1" customFormat="1" x14ac:dyDescent="0.3">
      <c r="A307" s="17"/>
    </row>
    <row r="308" spans="1:1" customFormat="1" x14ac:dyDescent="0.3">
      <c r="A308" s="17"/>
    </row>
    <row r="309" spans="1:1" customFormat="1" x14ac:dyDescent="0.3">
      <c r="A309" s="17"/>
    </row>
    <row r="310" spans="1:1" customFormat="1" x14ac:dyDescent="0.3">
      <c r="A310" s="17"/>
    </row>
    <row r="311" spans="1:1" customFormat="1" x14ac:dyDescent="0.3">
      <c r="A311" s="17"/>
    </row>
    <row r="312" spans="1:1" customFormat="1" x14ac:dyDescent="0.3">
      <c r="A312" s="17"/>
    </row>
    <row r="313" spans="1:1" customFormat="1" x14ac:dyDescent="0.3">
      <c r="A313" s="17"/>
    </row>
    <row r="314" spans="1:1" customFormat="1" x14ac:dyDescent="0.3">
      <c r="A314" s="17"/>
    </row>
    <row r="315" spans="1:1" customFormat="1" x14ac:dyDescent="0.3">
      <c r="A315" s="17"/>
    </row>
    <row r="316" spans="1:1" customFormat="1" x14ac:dyDescent="0.3">
      <c r="A316" s="17"/>
    </row>
    <row r="317" spans="1:1" customFormat="1" x14ac:dyDescent="0.3">
      <c r="A317" s="17"/>
    </row>
    <row r="318" spans="1:1" customFormat="1" x14ac:dyDescent="0.3">
      <c r="A318" s="17"/>
    </row>
    <row r="319" spans="1:1" customFormat="1" x14ac:dyDescent="0.3">
      <c r="A319" s="17"/>
    </row>
    <row r="320" spans="1:1" customFormat="1" x14ac:dyDescent="0.3">
      <c r="A320" s="17"/>
    </row>
    <row r="321" spans="1:1" customFormat="1" x14ac:dyDescent="0.3">
      <c r="A321" s="17"/>
    </row>
    <row r="322" spans="1:1" customFormat="1" x14ac:dyDescent="0.3">
      <c r="A322" s="17"/>
    </row>
    <row r="323" spans="1:1" customFormat="1" x14ac:dyDescent="0.3">
      <c r="A323" s="17"/>
    </row>
    <row r="324" spans="1:1" customFormat="1" x14ac:dyDescent="0.3">
      <c r="A324" s="17"/>
    </row>
    <row r="325" spans="1:1" customFormat="1" x14ac:dyDescent="0.3">
      <c r="A325" s="17"/>
    </row>
    <row r="326" spans="1:1" customFormat="1" x14ac:dyDescent="0.3">
      <c r="A326" s="17"/>
    </row>
    <row r="327" spans="1:1" customFormat="1" x14ac:dyDescent="0.3">
      <c r="A327" s="17"/>
    </row>
    <row r="328" spans="1:1" customFormat="1" x14ac:dyDescent="0.3">
      <c r="A328" s="17"/>
    </row>
    <row r="329" spans="1:1" customFormat="1" x14ac:dyDescent="0.3">
      <c r="A329" s="17"/>
    </row>
    <row r="330" spans="1:1" customFormat="1" x14ac:dyDescent="0.3">
      <c r="A330" s="17"/>
    </row>
    <row r="331" spans="1:1" customFormat="1" x14ac:dyDescent="0.3">
      <c r="A331" s="17"/>
    </row>
    <row r="332" spans="1:1" customFormat="1" x14ac:dyDescent="0.3">
      <c r="A332" s="17"/>
    </row>
    <row r="333" spans="1:1" customFormat="1" x14ac:dyDescent="0.3">
      <c r="A333" s="17"/>
    </row>
    <row r="334" spans="1:1" customFormat="1" x14ac:dyDescent="0.3">
      <c r="A334" s="17"/>
    </row>
    <row r="335" spans="1:1" customFormat="1" x14ac:dyDescent="0.3">
      <c r="A335" s="17"/>
    </row>
    <row r="336" spans="1:1" customFormat="1" x14ac:dyDescent="0.3">
      <c r="A336" s="17"/>
    </row>
    <row r="337" spans="1:1" customFormat="1" x14ac:dyDescent="0.3">
      <c r="A337" s="17"/>
    </row>
    <row r="338" spans="1:1" customFormat="1" x14ac:dyDescent="0.3">
      <c r="A338" s="17"/>
    </row>
    <row r="339" spans="1:1" customFormat="1" x14ac:dyDescent="0.3">
      <c r="A339" s="17"/>
    </row>
    <row r="340" spans="1:1" customFormat="1" x14ac:dyDescent="0.3">
      <c r="A340" s="17"/>
    </row>
    <row r="341" spans="1:1" customFormat="1" x14ac:dyDescent="0.3">
      <c r="A341" s="17"/>
    </row>
    <row r="342" spans="1:1" customFormat="1" x14ac:dyDescent="0.3">
      <c r="A342" s="17"/>
    </row>
    <row r="343" spans="1:1" customFormat="1" x14ac:dyDescent="0.3">
      <c r="A343" s="17"/>
    </row>
    <row r="344" spans="1:1" customFormat="1" x14ac:dyDescent="0.3">
      <c r="A344" s="17"/>
    </row>
    <row r="345" spans="1:1" customFormat="1" x14ac:dyDescent="0.3">
      <c r="A345" s="17"/>
    </row>
    <row r="346" spans="1:1" customFormat="1" x14ac:dyDescent="0.3">
      <c r="A346" s="17"/>
    </row>
    <row r="347" spans="1:1" customFormat="1" x14ac:dyDescent="0.3">
      <c r="A347" s="17"/>
    </row>
    <row r="348" spans="1:1" customFormat="1" x14ac:dyDescent="0.3">
      <c r="A348" s="17"/>
    </row>
    <row r="349" spans="1:1" customFormat="1" x14ac:dyDescent="0.3">
      <c r="A349" s="17"/>
    </row>
    <row r="350" spans="1:1" customFormat="1" x14ac:dyDescent="0.3">
      <c r="A350" s="17"/>
    </row>
    <row r="351" spans="1:1" customFormat="1" x14ac:dyDescent="0.3">
      <c r="A351" s="17"/>
    </row>
    <row r="352" spans="1:1" customFormat="1" x14ac:dyDescent="0.3">
      <c r="A352" s="17"/>
    </row>
    <row r="353" spans="1:1" customFormat="1" x14ac:dyDescent="0.3">
      <c r="A353" s="17"/>
    </row>
    <row r="354" spans="1:1" customFormat="1" x14ac:dyDescent="0.3">
      <c r="A354" s="17"/>
    </row>
    <row r="355" spans="1:1" customFormat="1" x14ac:dyDescent="0.3">
      <c r="A355" s="17"/>
    </row>
    <row r="356" spans="1:1" customFormat="1" x14ac:dyDescent="0.3">
      <c r="A356" s="17"/>
    </row>
    <row r="357" spans="1:1" customFormat="1" x14ac:dyDescent="0.3">
      <c r="A357" s="17"/>
    </row>
    <row r="358" spans="1:1" customFormat="1" x14ac:dyDescent="0.3">
      <c r="A358" s="17"/>
    </row>
    <row r="359" spans="1:1" customFormat="1" x14ac:dyDescent="0.3">
      <c r="A359" s="17"/>
    </row>
    <row r="360" spans="1:1" customFormat="1" x14ac:dyDescent="0.3">
      <c r="A360" s="17"/>
    </row>
    <row r="361" spans="1:1" customFormat="1" x14ac:dyDescent="0.3">
      <c r="A361" s="17"/>
    </row>
    <row r="362" spans="1:1" customFormat="1" x14ac:dyDescent="0.3">
      <c r="A362" s="17"/>
    </row>
    <row r="363" spans="1:1" customFormat="1" x14ac:dyDescent="0.3">
      <c r="A363" s="17"/>
    </row>
    <row r="364" spans="1:1" customFormat="1" x14ac:dyDescent="0.3">
      <c r="A364" s="17"/>
    </row>
    <row r="365" spans="1:1" customFormat="1" x14ac:dyDescent="0.3">
      <c r="A365" s="17"/>
    </row>
    <row r="366" spans="1:1" customFormat="1" x14ac:dyDescent="0.3">
      <c r="A366" s="17"/>
    </row>
    <row r="367" spans="1:1" customFormat="1" x14ac:dyDescent="0.3">
      <c r="A367" s="17"/>
    </row>
    <row r="368" spans="1:1" customFormat="1" x14ac:dyDescent="0.3">
      <c r="A368" s="17"/>
    </row>
    <row r="369" spans="1:1" customFormat="1" x14ac:dyDescent="0.3">
      <c r="A369" s="17"/>
    </row>
    <row r="370" spans="1:1" customFormat="1" x14ac:dyDescent="0.3">
      <c r="A370" s="17"/>
    </row>
    <row r="371" spans="1:1" customFormat="1" x14ac:dyDescent="0.3">
      <c r="A371" s="17"/>
    </row>
    <row r="372" spans="1:1" customFormat="1" x14ac:dyDescent="0.3">
      <c r="A372" s="17"/>
    </row>
    <row r="373" spans="1:1" customFormat="1" x14ac:dyDescent="0.3">
      <c r="A373" s="17"/>
    </row>
    <row r="374" spans="1:1" customFormat="1" x14ac:dyDescent="0.3">
      <c r="A374" s="17"/>
    </row>
    <row r="375" spans="1:1" customFormat="1" x14ac:dyDescent="0.3">
      <c r="A375" s="17"/>
    </row>
    <row r="376" spans="1:1" customFormat="1" x14ac:dyDescent="0.3">
      <c r="A376" s="17"/>
    </row>
    <row r="377" spans="1:1" customFormat="1" x14ac:dyDescent="0.3">
      <c r="A377" s="17"/>
    </row>
    <row r="378" spans="1:1" customFormat="1" x14ac:dyDescent="0.3">
      <c r="A378" s="17"/>
    </row>
    <row r="379" spans="1:1" customFormat="1" x14ac:dyDescent="0.3">
      <c r="A379" s="17"/>
    </row>
    <row r="380" spans="1:1" customFormat="1" x14ac:dyDescent="0.3">
      <c r="A380" s="17"/>
    </row>
    <row r="381" spans="1:1" customFormat="1" x14ac:dyDescent="0.3">
      <c r="A381" s="17"/>
    </row>
    <row r="382" spans="1:1" customFormat="1" x14ac:dyDescent="0.3">
      <c r="A382" s="17"/>
    </row>
    <row r="383" spans="1:1" customFormat="1" x14ac:dyDescent="0.3">
      <c r="A383" s="17"/>
    </row>
    <row r="384" spans="1:1" customFormat="1" x14ac:dyDescent="0.3">
      <c r="A384" s="17"/>
    </row>
    <row r="385" spans="1:1" customFormat="1" x14ac:dyDescent="0.3">
      <c r="A385" s="17"/>
    </row>
    <row r="386" spans="1:1" customFormat="1" x14ac:dyDescent="0.3">
      <c r="A386" s="17"/>
    </row>
    <row r="387" spans="1:1" customFormat="1" x14ac:dyDescent="0.3">
      <c r="A387" s="17"/>
    </row>
    <row r="388" spans="1:1" customFormat="1" x14ac:dyDescent="0.3">
      <c r="A388" s="17"/>
    </row>
    <row r="389" spans="1:1" customFormat="1" x14ac:dyDescent="0.3">
      <c r="A389" s="17"/>
    </row>
    <row r="390" spans="1:1" customFormat="1" x14ac:dyDescent="0.3">
      <c r="A390" s="17"/>
    </row>
    <row r="391" spans="1:1" customFormat="1" x14ac:dyDescent="0.3">
      <c r="A391" s="17"/>
    </row>
    <row r="392" spans="1:1" customFormat="1" x14ac:dyDescent="0.3">
      <c r="A392" s="17"/>
    </row>
    <row r="393" spans="1:1" customFormat="1" x14ac:dyDescent="0.3">
      <c r="A393" s="17"/>
    </row>
    <row r="394" spans="1:1" customFormat="1" x14ac:dyDescent="0.3">
      <c r="A394" s="17"/>
    </row>
    <row r="395" spans="1:1" customFormat="1" x14ac:dyDescent="0.3">
      <c r="A395" s="17"/>
    </row>
    <row r="396" spans="1:1" customFormat="1" x14ac:dyDescent="0.3">
      <c r="A396" s="17"/>
    </row>
    <row r="397" spans="1:1" customFormat="1" x14ac:dyDescent="0.3">
      <c r="A397" s="17"/>
    </row>
    <row r="398" spans="1:1" customFormat="1" x14ac:dyDescent="0.3">
      <c r="A398" s="17"/>
    </row>
    <row r="399" spans="1:1" customFormat="1" x14ac:dyDescent="0.3">
      <c r="A399" s="17"/>
    </row>
    <row r="400" spans="1:1" customFormat="1" x14ac:dyDescent="0.3">
      <c r="A400" s="17"/>
    </row>
    <row r="401" spans="1:1" customFormat="1" x14ac:dyDescent="0.3">
      <c r="A401" s="17"/>
    </row>
    <row r="402" spans="1:1" customFormat="1" x14ac:dyDescent="0.3">
      <c r="A402" s="17"/>
    </row>
    <row r="403" spans="1:1" customFormat="1" x14ac:dyDescent="0.3">
      <c r="A403" s="17"/>
    </row>
    <row r="404" spans="1:1" customFormat="1" x14ac:dyDescent="0.3">
      <c r="A404" s="17"/>
    </row>
    <row r="405" spans="1:1" customFormat="1" x14ac:dyDescent="0.3">
      <c r="A405" s="17"/>
    </row>
    <row r="406" spans="1:1" customFormat="1" x14ac:dyDescent="0.3">
      <c r="A406" s="17"/>
    </row>
    <row r="407" spans="1:1" customFormat="1" x14ac:dyDescent="0.3">
      <c r="A407" s="17"/>
    </row>
    <row r="408" spans="1:1" customFormat="1" x14ac:dyDescent="0.3">
      <c r="A408" s="17"/>
    </row>
    <row r="409" spans="1:1" customFormat="1" x14ac:dyDescent="0.3">
      <c r="A409" s="17"/>
    </row>
    <row r="410" spans="1:1" customFormat="1" x14ac:dyDescent="0.3">
      <c r="A410" s="17"/>
    </row>
    <row r="411" spans="1:1" customFormat="1" x14ac:dyDescent="0.3">
      <c r="A411" s="17"/>
    </row>
    <row r="412" spans="1:1" customFormat="1" x14ac:dyDescent="0.3">
      <c r="A412" s="17"/>
    </row>
    <row r="413" spans="1:1" customFormat="1" x14ac:dyDescent="0.3">
      <c r="A413" s="17"/>
    </row>
    <row r="414" spans="1:1" customFormat="1" x14ac:dyDescent="0.3">
      <c r="A414" s="17"/>
    </row>
    <row r="415" spans="1:1" customFormat="1" x14ac:dyDescent="0.3">
      <c r="A415" s="17"/>
    </row>
    <row r="416" spans="1:1" customFormat="1" x14ac:dyDescent="0.3">
      <c r="A416" s="17"/>
    </row>
    <row r="417" spans="1:1" customFormat="1" x14ac:dyDescent="0.3">
      <c r="A417" s="17"/>
    </row>
    <row r="418" spans="1:1" customFormat="1" x14ac:dyDescent="0.3">
      <c r="A418" s="17"/>
    </row>
    <row r="419" spans="1:1" customFormat="1" x14ac:dyDescent="0.3">
      <c r="A419" s="17"/>
    </row>
    <row r="420" spans="1:1" customFormat="1" x14ac:dyDescent="0.3">
      <c r="A420" s="17"/>
    </row>
    <row r="421" spans="1:1" customFormat="1" x14ac:dyDescent="0.3">
      <c r="A421" s="17"/>
    </row>
    <row r="422" spans="1:1" customFormat="1" x14ac:dyDescent="0.3">
      <c r="A422" s="17"/>
    </row>
    <row r="423" spans="1:1" customFormat="1" x14ac:dyDescent="0.3">
      <c r="A423" s="17"/>
    </row>
    <row r="424" spans="1:1" customFormat="1" x14ac:dyDescent="0.3">
      <c r="A424" s="17"/>
    </row>
    <row r="425" spans="1:1" customFormat="1" x14ac:dyDescent="0.3">
      <c r="A425" s="17"/>
    </row>
    <row r="426" spans="1:1" customFormat="1" x14ac:dyDescent="0.3">
      <c r="A426" s="17"/>
    </row>
    <row r="427" spans="1:1" customFormat="1" x14ac:dyDescent="0.3">
      <c r="A427" s="17"/>
    </row>
    <row r="428" spans="1:1" customFormat="1" x14ac:dyDescent="0.3">
      <c r="A428" s="17"/>
    </row>
    <row r="429" spans="1:1" customFormat="1" x14ac:dyDescent="0.3">
      <c r="A429" s="17"/>
    </row>
    <row r="430" spans="1:1" customFormat="1" x14ac:dyDescent="0.3">
      <c r="A430" s="17"/>
    </row>
    <row r="431" spans="1:1" customFormat="1" x14ac:dyDescent="0.3">
      <c r="A431" s="17"/>
    </row>
    <row r="432" spans="1:1" customFormat="1" x14ac:dyDescent="0.3">
      <c r="A432" s="17"/>
    </row>
    <row r="433" spans="1:1" customFormat="1" x14ac:dyDescent="0.3">
      <c r="A433" s="17"/>
    </row>
    <row r="434" spans="1:1" customFormat="1" x14ac:dyDescent="0.3">
      <c r="A434" s="17"/>
    </row>
    <row r="435" spans="1:1" customFormat="1" x14ac:dyDescent="0.3">
      <c r="A435" s="17"/>
    </row>
    <row r="436" spans="1:1" customFormat="1" x14ac:dyDescent="0.3">
      <c r="A436" s="17"/>
    </row>
    <row r="437" spans="1:1" customFormat="1" x14ac:dyDescent="0.3">
      <c r="A437" s="17"/>
    </row>
    <row r="438" spans="1:1" customFormat="1" x14ac:dyDescent="0.3">
      <c r="A438" s="17"/>
    </row>
    <row r="439" spans="1:1" customFormat="1" x14ac:dyDescent="0.3">
      <c r="A439" s="17"/>
    </row>
    <row r="440" spans="1:1" customFormat="1" x14ac:dyDescent="0.3">
      <c r="A440" s="17"/>
    </row>
    <row r="441" spans="1:1" customFormat="1" x14ac:dyDescent="0.3">
      <c r="A441" s="17"/>
    </row>
    <row r="442" spans="1:1" customFormat="1" x14ac:dyDescent="0.3">
      <c r="A442" s="17"/>
    </row>
    <row r="443" spans="1:1" customFormat="1" x14ac:dyDescent="0.3">
      <c r="A443" s="17"/>
    </row>
    <row r="444" spans="1:1" customFormat="1" x14ac:dyDescent="0.3">
      <c r="A444" s="17"/>
    </row>
    <row r="445" spans="1:1" customFormat="1" x14ac:dyDescent="0.3">
      <c r="A445" s="17"/>
    </row>
    <row r="446" spans="1:1" customFormat="1" x14ac:dyDescent="0.3">
      <c r="A446" s="17"/>
    </row>
    <row r="447" spans="1:1" customFormat="1" x14ac:dyDescent="0.3">
      <c r="A447" s="17"/>
    </row>
    <row r="448" spans="1:1" customFormat="1" x14ac:dyDescent="0.3">
      <c r="A448" s="17"/>
    </row>
    <row r="449" spans="1:1" customFormat="1" x14ac:dyDescent="0.3">
      <c r="A449" s="17"/>
    </row>
    <row r="450" spans="1:1" customFormat="1" x14ac:dyDescent="0.3">
      <c r="A450" s="17"/>
    </row>
    <row r="451" spans="1:1" customFormat="1" x14ac:dyDescent="0.3">
      <c r="A451" s="17"/>
    </row>
    <row r="452" spans="1:1" customFormat="1" x14ac:dyDescent="0.3">
      <c r="A452" s="17"/>
    </row>
    <row r="453" spans="1:1" customFormat="1" x14ac:dyDescent="0.3">
      <c r="A453" s="17"/>
    </row>
    <row r="454" spans="1:1" customFormat="1" x14ac:dyDescent="0.3">
      <c r="A454" s="17"/>
    </row>
    <row r="455" spans="1:1" customFormat="1" x14ac:dyDescent="0.3">
      <c r="A455" s="17"/>
    </row>
    <row r="456" spans="1:1" customFormat="1" x14ac:dyDescent="0.3">
      <c r="A456" s="17"/>
    </row>
    <row r="457" spans="1:1" customFormat="1" x14ac:dyDescent="0.3">
      <c r="A457" s="17"/>
    </row>
    <row r="458" spans="1:1" customFormat="1" x14ac:dyDescent="0.3">
      <c r="A458" s="17"/>
    </row>
    <row r="459" spans="1:1" customFormat="1" x14ac:dyDescent="0.3">
      <c r="A459" s="17"/>
    </row>
    <row r="460" spans="1:1" customFormat="1" x14ac:dyDescent="0.3">
      <c r="A460" s="17"/>
    </row>
    <row r="461" spans="1:1" customFormat="1" x14ac:dyDescent="0.3">
      <c r="A461" s="17"/>
    </row>
    <row r="462" spans="1:1" customFormat="1" x14ac:dyDescent="0.3">
      <c r="A462" s="17"/>
    </row>
    <row r="463" spans="1:1" customFormat="1" x14ac:dyDescent="0.3">
      <c r="A463" s="17"/>
    </row>
    <row r="464" spans="1:1" customFormat="1" x14ac:dyDescent="0.3">
      <c r="A464" s="17"/>
    </row>
    <row r="465" spans="1:1" customFormat="1" x14ac:dyDescent="0.3">
      <c r="A465" s="17"/>
    </row>
    <row r="466" spans="1:1" customFormat="1" x14ac:dyDescent="0.3">
      <c r="A466" s="17"/>
    </row>
    <row r="467" spans="1:1" customFormat="1" x14ac:dyDescent="0.3">
      <c r="A467" s="17"/>
    </row>
    <row r="468" spans="1:1" customFormat="1" x14ac:dyDescent="0.3">
      <c r="A468" s="17"/>
    </row>
    <row r="469" spans="1:1" customFormat="1" x14ac:dyDescent="0.3">
      <c r="A469" s="17"/>
    </row>
    <row r="470" spans="1:1" customFormat="1" x14ac:dyDescent="0.3">
      <c r="A470" s="17"/>
    </row>
    <row r="471" spans="1:1" customFormat="1" x14ac:dyDescent="0.3">
      <c r="A471" s="17"/>
    </row>
    <row r="472" spans="1:1" customFormat="1" x14ac:dyDescent="0.3">
      <c r="A472" s="17"/>
    </row>
    <row r="473" spans="1:1" customFormat="1" x14ac:dyDescent="0.3">
      <c r="A473" s="17"/>
    </row>
    <row r="474" spans="1:1" customFormat="1" x14ac:dyDescent="0.3">
      <c r="A474" s="17"/>
    </row>
    <row r="475" spans="1:1" customFormat="1" x14ac:dyDescent="0.3">
      <c r="A475" s="17"/>
    </row>
    <row r="476" spans="1:1" customFormat="1" x14ac:dyDescent="0.3">
      <c r="A476" s="17"/>
    </row>
    <row r="477" spans="1:1" customFormat="1" x14ac:dyDescent="0.3">
      <c r="A477" s="17"/>
    </row>
    <row r="478" spans="1:1" customFormat="1" x14ac:dyDescent="0.3">
      <c r="A478" s="17"/>
    </row>
    <row r="479" spans="1:1" customFormat="1" x14ac:dyDescent="0.3">
      <c r="A479" s="17"/>
    </row>
    <row r="480" spans="1:1" customFormat="1" x14ac:dyDescent="0.3">
      <c r="A480" s="17"/>
    </row>
    <row r="481" spans="1:1" customFormat="1" x14ac:dyDescent="0.3">
      <c r="A481" s="17"/>
    </row>
    <row r="482" spans="1:1" customFormat="1" x14ac:dyDescent="0.3">
      <c r="A482" s="17"/>
    </row>
    <row r="483" spans="1:1" customFormat="1" x14ac:dyDescent="0.3">
      <c r="A483" s="17"/>
    </row>
    <row r="484" spans="1:1" customFormat="1" x14ac:dyDescent="0.3">
      <c r="A484" s="17"/>
    </row>
    <row r="485" spans="1:1" customFormat="1" x14ac:dyDescent="0.3">
      <c r="A485" s="17"/>
    </row>
    <row r="486" spans="1:1" customFormat="1" x14ac:dyDescent="0.3">
      <c r="A486" s="17"/>
    </row>
    <row r="487" spans="1:1" customFormat="1" x14ac:dyDescent="0.3">
      <c r="A487" s="17"/>
    </row>
    <row r="488" spans="1:1" customFormat="1" x14ac:dyDescent="0.3">
      <c r="A488" s="17"/>
    </row>
    <row r="489" spans="1:1" customFormat="1" x14ac:dyDescent="0.3">
      <c r="A489" s="17"/>
    </row>
    <row r="490" spans="1:1" customFormat="1" x14ac:dyDescent="0.3">
      <c r="A490" s="17"/>
    </row>
    <row r="491" spans="1:1" customFormat="1" x14ac:dyDescent="0.3">
      <c r="A491" s="17"/>
    </row>
    <row r="492" spans="1:1" customFormat="1" x14ac:dyDescent="0.3">
      <c r="A492" s="17"/>
    </row>
    <row r="493" spans="1:1" customFormat="1" x14ac:dyDescent="0.3">
      <c r="A493" s="17"/>
    </row>
    <row r="494" spans="1:1" customFormat="1" x14ac:dyDescent="0.3">
      <c r="A494" s="17"/>
    </row>
    <row r="495" spans="1:1" customFormat="1" x14ac:dyDescent="0.3">
      <c r="A495" s="17"/>
    </row>
    <row r="496" spans="1:1" customFormat="1" x14ac:dyDescent="0.3">
      <c r="A496" s="17"/>
    </row>
    <row r="497" spans="1:1" customFormat="1" x14ac:dyDescent="0.3">
      <c r="A497" s="17"/>
    </row>
    <row r="498" spans="1:1" customFormat="1" x14ac:dyDescent="0.3">
      <c r="A498" s="17"/>
    </row>
    <row r="499" spans="1:1" customFormat="1" x14ac:dyDescent="0.3">
      <c r="A499" s="17"/>
    </row>
    <row r="500" spans="1:1" customFormat="1" x14ac:dyDescent="0.3">
      <c r="A500" s="17"/>
    </row>
    <row r="501" spans="1:1" customFormat="1" x14ac:dyDescent="0.3">
      <c r="A501" s="17"/>
    </row>
    <row r="502" spans="1:1" customFormat="1" x14ac:dyDescent="0.3">
      <c r="A502" s="17"/>
    </row>
    <row r="503" spans="1:1" customFormat="1" x14ac:dyDescent="0.3">
      <c r="A503" s="17"/>
    </row>
    <row r="504" spans="1:1" customFormat="1" x14ac:dyDescent="0.3">
      <c r="A504" s="17"/>
    </row>
    <row r="505" spans="1:1" customFormat="1" x14ac:dyDescent="0.3">
      <c r="A505" s="17"/>
    </row>
    <row r="506" spans="1:1" customFormat="1" x14ac:dyDescent="0.3">
      <c r="A506" s="17"/>
    </row>
    <row r="507" spans="1:1" customFormat="1" x14ac:dyDescent="0.3">
      <c r="A507" s="17"/>
    </row>
    <row r="508" spans="1:1" customFormat="1" x14ac:dyDescent="0.3">
      <c r="A508" s="17"/>
    </row>
    <row r="509" spans="1:1" customFormat="1" x14ac:dyDescent="0.3">
      <c r="A509" s="17"/>
    </row>
    <row r="510" spans="1:1" customFormat="1" x14ac:dyDescent="0.3">
      <c r="A510" s="17"/>
    </row>
    <row r="511" spans="1:1" customFormat="1" x14ac:dyDescent="0.3">
      <c r="A511" s="17"/>
    </row>
    <row r="512" spans="1:1" customFormat="1" x14ac:dyDescent="0.3">
      <c r="A512" s="17"/>
    </row>
    <row r="513" spans="1:1" customFormat="1" x14ac:dyDescent="0.3">
      <c r="A513" s="17"/>
    </row>
    <row r="514" spans="1:1" customFormat="1" x14ac:dyDescent="0.3">
      <c r="A514" s="17"/>
    </row>
    <row r="515" spans="1:1" customFormat="1" x14ac:dyDescent="0.3">
      <c r="A515" s="17"/>
    </row>
    <row r="516" spans="1:1" customFormat="1" x14ac:dyDescent="0.3">
      <c r="A516" s="17"/>
    </row>
    <row r="517" spans="1:1" customFormat="1" x14ac:dyDescent="0.3">
      <c r="A517" s="17"/>
    </row>
    <row r="518" spans="1:1" customFormat="1" x14ac:dyDescent="0.3">
      <c r="A518" s="17"/>
    </row>
    <row r="519" spans="1:1" customFormat="1" x14ac:dyDescent="0.3">
      <c r="A519" s="17"/>
    </row>
    <row r="520" spans="1:1" customFormat="1" x14ac:dyDescent="0.3">
      <c r="A520" s="17"/>
    </row>
    <row r="521" spans="1:1" customFormat="1" x14ac:dyDescent="0.3">
      <c r="A521" s="17"/>
    </row>
    <row r="522" spans="1:1" customFormat="1" x14ac:dyDescent="0.3">
      <c r="A522" s="17"/>
    </row>
    <row r="523" spans="1:1" customFormat="1" x14ac:dyDescent="0.3">
      <c r="A523" s="17"/>
    </row>
    <row r="524" spans="1:1" customFormat="1" x14ac:dyDescent="0.3">
      <c r="A524" s="17"/>
    </row>
    <row r="525" spans="1:1" customFormat="1" x14ac:dyDescent="0.3">
      <c r="A525" s="17"/>
    </row>
    <row r="526" spans="1:1" customFormat="1" x14ac:dyDescent="0.3">
      <c r="A526" s="17"/>
    </row>
    <row r="527" spans="1:1" customFormat="1" x14ac:dyDescent="0.3">
      <c r="A527" s="17"/>
    </row>
    <row r="528" spans="1:1" customFormat="1" x14ac:dyDescent="0.3">
      <c r="A528" s="17"/>
    </row>
    <row r="529" spans="1:1" customFormat="1" x14ac:dyDescent="0.3">
      <c r="A529" s="17"/>
    </row>
    <row r="530" spans="1:1" customFormat="1" x14ac:dyDescent="0.3">
      <c r="A530" s="17"/>
    </row>
    <row r="531" spans="1:1" customFormat="1" x14ac:dyDescent="0.3">
      <c r="A531" s="17"/>
    </row>
    <row r="532" spans="1:1" customFormat="1" x14ac:dyDescent="0.3">
      <c r="A532" s="17"/>
    </row>
    <row r="533" spans="1:1" customFormat="1" x14ac:dyDescent="0.3">
      <c r="A533" s="17"/>
    </row>
    <row r="534" spans="1:1" customFormat="1" x14ac:dyDescent="0.3">
      <c r="A534" s="17"/>
    </row>
    <row r="535" spans="1:1" customFormat="1" x14ac:dyDescent="0.3">
      <c r="A535" s="17"/>
    </row>
    <row r="536" spans="1:1" customFormat="1" x14ac:dyDescent="0.3">
      <c r="A536" s="17"/>
    </row>
    <row r="537" spans="1:1" customFormat="1" x14ac:dyDescent="0.3">
      <c r="A537" s="17"/>
    </row>
    <row r="538" spans="1:1" customFormat="1" x14ac:dyDescent="0.3">
      <c r="A538" s="17"/>
    </row>
    <row r="539" spans="1:1" customFormat="1" x14ac:dyDescent="0.3">
      <c r="A539" s="17"/>
    </row>
    <row r="540" spans="1:1" customFormat="1" x14ac:dyDescent="0.3">
      <c r="A540" s="17"/>
    </row>
    <row r="541" spans="1:1" customFormat="1" x14ac:dyDescent="0.3">
      <c r="A541" s="17"/>
    </row>
    <row r="542" spans="1:1" customFormat="1" x14ac:dyDescent="0.3">
      <c r="A542" s="17"/>
    </row>
    <row r="543" spans="1:1" customFormat="1" x14ac:dyDescent="0.3">
      <c r="A543" s="17"/>
    </row>
    <row r="544" spans="1:1" customFormat="1" x14ac:dyDescent="0.3">
      <c r="A544" s="17"/>
    </row>
    <row r="545" spans="1:1" customFormat="1" x14ac:dyDescent="0.3">
      <c r="A545" s="17"/>
    </row>
    <row r="546" spans="1:1" customFormat="1" x14ac:dyDescent="0.3">
      <c r="A546" s="17"/>
    </row>
    <row r="547" spans="1:1" customFormat="1" x14ac:dyDescent="0.3">
      <c r="A547" s="17"/>
    </row>
    <row r="548" spans="1:1" customFormat="1" x14ac:dyDescent="0.3">
      <c r="A548" s="17"/>
    </row>
    <row r="549" spans="1:1" customFormat="1" x14ac:dyDescent="0.3">
      <c r="A549" s="17"/>
    </row>
    <row r="550" spans="1:1" customFormat="1" x14ac:dyDescent="0.3">
      <c r="A550" s="17"/>
    </row>
    <row r="551" spans="1:1" customFormat="1" x14ac:dyDescent="0.3">
      <c r="A551" s="17"/>
    </row>
    <row r="552" spans="1:1" customFormat="1" x14ac:dyDescent="0.3">
      <c r="A552" s="17"/>
    </row>
    <row r="553" spans="1:1" customFormat="1" x14ac:dyDescent="0.3">
      <c r="A553" s="17"/>
    </row>
    <row r="554" spans="1:1" customFormat="1" x14ac:dyDescent="0.3">
      <c r="A554" s="17"/>
    </row>
    <row r="555" spans="1:1" customFormat="1" x14ac:dyDescent="0.3">
      <c r="A555" s="17"/>
    </row>
    <row r="556" spans="1:1" customFormat="1" x14ac:dyDescent="0.3">
      <c r="A556" s="17"/>
    </row>
    <row r="557" spans="1:1" customFormat="1" x14ac:dyDescent="0.3">
      <c r="A557" s="17"/>
    </row>
    <row r="558" spans="1:1" customFormat="1" x14ac:dyDescent="0.3">
      <c r="A558" s="17"/>
    </row>
    <row r="559" spans="1:1" customFormat="1" x14ac:dyDescent="0.3">
      <c r="A559" s="17"/>
    </row>
    <row r="560" spans="1:1" customFormat="1" x14ac:dyDescent="0.3">
      <c r="A560" s="17"/>
    </row>
    <row r="561" spans="1:1" customFormat="1" x14ac:dyDescent="0.3">
      <c r="A561" s="17"/>
    </row>
    <row r="562" spans="1:1" customFormat="1" x14ac:dyDescent="0.3">
      <c r="A562" s="17"/>
    </row>
    <row r="563" spans="1:1" customFormat="1" x14ac:dyDescent="0.3">
      <c r="A563" s="17"/>
    </row>
    <row r="564" spans="1:1" customFormat="1" x14ac:dyDescent="0.3">
      <c r="A564" s="17"/>
    </row>
    <row r="565" spans="1:1" customFormat="1" x14ac:dyDescent="0.3">
      <c r="A565" s="17"/>
    </row>
    <row r="566" spans="1:1" customFormat="1" x14ac:dyDescent="0.3">
      <c r="A566" s="17"/>
    </row>
    <row r="567" spans="1:1" customFormat="1" x14ac:dyDescent="0.3">
      <c r="A567" s="17"/>
    </row>
    <row r="568" spans="1:1" customFormat="1" x14ac:dyDescent="0.3">
      <c r="A568" s="17"/>
    </row>
    <row r="569" spans="1:1" customFormat="1" x14ac:dyDescent="0.3">
      <c r="A569" s="17"/>
    </row>
    <row r="570" spans="1:1" customFormat="1" x14ac:dyDescent="0.3">
      <c r="A570" s="17"/>
    </row>
    <row r="571" spans="1:1" customFormat="1" x14ac:dyDescent="0.3">
      <c r="A571" s="17"/>
    </row>
    <row r="572" spans="1:1" customFormat="1" x14ac:dyDescent="0.3">
      <c r="A572" s="17"/>
    </row>
    <row r="573" spans="1:1" customFormat="1" x14ac:dyDescent="0.3">
      <c r="A573" s="17"/>
    </row>
    <row r="574" spans="1:1" customFormat="1" x14ac:dyDescent="0.3">
      <c r="A574" s="17"/>
    </row>
    <row r="575" spans="1:1" customFormat="1" x14ac:dyDescent="0.3">
      <c r="A575" s="17"/>
    </row>
    <row r="576" spans="1:1" customFormat="1" x14ac:dyDescent="0.3">
      <c r="A576" s="17"/>
    </row>
  </sheetData>
  <sheetProtection algorithmName="SHA-512" hashValue="zek4SuQJa9MqgofvKQ3v4eIc24MbKf3oFffmr9y/AYBb0kdztXrOFIsdDVHogwS/S6H/cv/nePPYE3x4xpbLpA==" saltValue="zXzuPc4bytZQJ7SiLZBO/A==" spinCount="100000" sheet="1" objects="1" scenarios="1"/>
  <mergeCells count="1">
    <mergeCell ref="B2:M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P88"/>
  <sheetViews>
    <sheetView topLeftCell="B1" zoomScale="70" zoomScaleNormal="70" workbookViewId="0">
      <selection activeCell="B17" sqref="B17"/>
    </sheetView>
  </sheetViews>
  <sheetFormatPr baseColWidth="10" defaultColWidth="11.44140625" defaultRowHeight="14.4" x14ac:dyDescent="0.3"/>
  <cols>
    <col min="1" max="1" width="32.5546875" customWidth="1"/>
    <col min="2" max="2" width="71.6640625" style="34" customWidth="1"/>
    <col min="3" max="12" width="13.6640625" style="2" customWidth="1"/>
    <col min="13" max="13" width="13.6640625" customWidth="1"/>
    <col min="14" max="16384" width="11.44140625" style="2"/>
  </cols>
  <sheetData>
    <row r="2" spans="1:16" ht="30" customHeight="1" x14ac:dyDescent="0.3">
      <c r="B2" s="111" t="s">
        <v>334</v>
      </c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3"/>
    </row>
    <row r="4" spans="1:16" customFormat="1" ht="28.8" x14ac:dyDescent="0.3">
      <c r="B4" s="34"/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18</v>
      </c>
      <c r="M4" s="14" t="s">
        <v>151</v>
      </c>
      <c r="N4" s="2"/>
      <c r="O4" s="2"/>
      <c r="P4" s="2"/>
    </row>
    <row r="5" spans="1:16" x14ac:dyDescent="0.3">
      <c r="A5" s="13" t="s">
        <v>191</v>
      </c>
      <c r="B5" s="7" t="s">
        <v>197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22">
        <f t="shared" ref="M5:M20" si="0">SUM(C5:L5)</f>
        <v>0</v>
      </c>
    </row>
    <row r="6" spans="1:16" x14ac:dyDescent="0.3">
      <c r="B6" s="7" t="s">
        <v>196</v>
      </c>
      <c r="C6" s="32"/>
      <c r="D6" s="32"/>
      <c r="E6" s="32"/>
      <c r="F6" s="32"/>
      <c r="G6" s="32"/>
      <c r="H6" s="32"/>
      <c r="I6" s="32"/>
      <c r="J6" s="32"/>
      <c r="K6" s="32"/>
      <c r="L6" s="32"/>
      <c r="M6" s="22">
        <f t="shared" si="0"/>
        <v>0</v>
      </c>
    </row>
    <row r="7" spans="1:16" ht="28.8" x14ac:dyDescent="0.3">
      <c r="B7" s="7" t="s">
        <v>190</v>
      </c>
      <c r="C7" s="32"/>
      <c r="D7" s="32"/>
      <c r="E7" s="32"/>
      <c r="F7" s="32"/>
      <c r="G7" s="32"/>
      <c r="H7" s="32"/>
      <c r="I7" s="32"/>
      <c r="J7" s="32"/>
      <c r="K7" s="32"/>
      <c r="L7" s="32"/>
      <c r="M7" s="22">
        <f t="shared" si="0"/>
        <v>0</v>
      </c>
    </row>
    <row r="8" spans="1:16" ht="28.8" x14ac:dyDescent="0.3">
      <c r="B8" s="19" t="s">
        <v>198</v>
      </c>
      <c r="C8" s="22">
        <f>C5*C6-C7</f>
        <v>0</v>
      </c>
      <c r="D8" s="22">
        <f t="shared" ref="D8:L8" si="1">D5*D6-D7</f>
        <v>0</v>
      </c>
      <c r="E8" s="22">
        <f t="shared" si="1"/>
        <v>0</v>
      </c>
      <c r="F8" s="22">
        <f t="shared" si="1"/>
        <v>0</v>
      </c>
      <c r="G8" s="22">
        <f t="shared" si="1"/>
        <v>0</v>
      </c>
      <c r="H8" s="22">
        <f t="shared" si="1"/>
        <v>0</v>
      </c>
      <c r="I8" s="22">
        <f t="shared" si="1"/>
        <v>0</v>
      </c>
      <c r="J8" s="22">
        <f t="shared" si="1"/>
        <v>0</v>
      </c>
      <c r="K8" s="22">
        <f t="shared" si="1"/>
        <v>0</v>
      </c>
      <c r="L8" s="22">
        <f t="shared" si="1"/>
        <v>0</v>
      </c>
      <c r="M8" s="22">
        <f t="shared" si="0"/>
        <v>0</v>
      </c>
    </row>
    <row r="9" spans="1:16" ht="28.8" x14ac:dyDescent="0.3">
      <c r="A9" s="35" t="s">
        <v>146</v>
      </c>
      <c r="B9" s="7" t="s">
        <v>194</v>
      </c>
      <c r="C9" s="32"/>
      <c r="D9" s="32"/>
      <c r="E9" s="32"/>
      <c r="F9" s="32"/>
      <c r="G9" s="32"/>
      <c r="H9" s="32"/>
      <c r="I9" s="32"/>
      <c r="J9" s="32"/>
      <c r="K9" s="32"/>
      <c r="L9" s="32"/>
      <c r="M9" s="22">
        <f t="shared" si="0"/>
        <v>0</v>
      </c>
    </row>
    <row r="10" spans="1:16" ht="28.8" x14ac:dyDescent="0.3">
      <c r="A10" s="35" t="s">
        <v>147</v>
      </c>
      <c r="B10" s="7" t="s">
        <v>194</v>
      </c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22">
        <f t="shared" si="0"/>
        <v>0</v>
      </c>
    </row>
    <row r="11" spans="1:16" ht="28.8" x14ac:dyDescent="0.3">
      <c r="A11" s="35" t="s">
        <v>148</v>
      </c>
      <c r="B11" s="7" t="s">
        <v>194</v>
      </c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22">
        <f t="shared" si="0"/>
        <v>0</v>
      </c>
    </row>
    <row r="12" spans="1:16" ht="28.8" x14ac:dyDescent="0.3">
      <c r="A12" s="35" t="s">
        <v>149</v>
      </c>
      <c r="B12" s="7" t="s">
        <v>194</v>
      </c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22">
        <f t="shared" si="0"/>
        <v>0</v>
      </c>
    </row>
    <row r="13" spans="1:16" ht="28.8" x14ac:dyDescent="0.3">
      <c r="A13" s="35" t="s">
        <v>150</v>
      </c>
      <c r="B13" s="7" t="s">
        <v>194</v>
      </c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22">
        <f t="shared" si="0"/>
        <v>0</v>
      </c>
    </row>
    <row r="14" spans="1:16" ht="28.8" x14ac:dyDescent="0.3">
      <c r="B14" s="19" t="s">
        <v>195</v>
      </c>
      <c r="C14" s="22">
        <f t="shared" ref="C14:L14" si="2">SUM(C9:C13)</f>
        <v>0</v>
      </c>
      <c r="D14" s="22">
        <f t="shared" si="2"/>
        <v>0</v>
      </c>
      <c r="E14" s="22">
        <f t="shared" si="2"/>
        <v>0</v>
      </c>
      <c r="F14" s="22">
        <f t="shared" si="2"/>
        <v>0</v>
      </c>
      <c r="G14" s="22">
        <f t="shared" si="2"/>
        <v>0</v>
      </c>
      <c r="H14" s="22">
        <f t="shared" si="2"/>
        <v>0</v>
      </c>
      <c r="I14" s="22">
        <f t="shared" si="2"/>
        <v>0</v>
      </c>
      <c r="J14" s="22">
        <f t="shared" si="2"/>
        <v>0</v>
      </c>
      <c r="K14" s="22">
        <f t="shared" si="2"/>
        <v>0</v>
      </c>
      <c r="L14" s="22">
        <f t="shared" si="2"/>
        <v>0</v>
      </c>
      <c r="M14" s="22">
        <f t="shared" si="0"/>
        <v>0</v>
      </c>
    </row>
    <row r="15" spans="1:16" ht="28.8" x14ac:dyDescent="0.3">
      <c r="A15" s="13" t="s">
        <v>224</v>
      </c>
      <c r="B15" s="7" t="s">
        <v>197</v>
      </c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22">
        <f t="shared" si="0"/>
        <v>0</v>
      </c>
    </row>
    <row r="16" spans="1:16" x14ac:dyDescent="0.3">
      <c r="B16" s="7" t="s">
        <v>196</v>
      </c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22">
        <f t="shared" si="0"/>
        <v>0</v>
      </c>
    </row>
    <row r="17" spans="2:13" ht="28.8" x14ac:dyDescent="0.3">
      <c r="B17" s="7" t="s">
        <v>190</v>
      </c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22">
        <f t="shared" si="0"/>
        <v>0</v>
      </c>
    </row>
    <row r="18" spans="2:13" ht="28.8" x14ac:dyDescent="0.3">
      <c r="B18" s="19" t="s">
        <v>198</v>
      </c>
      <c r="C18" s="22">
        <f>C15*C16-C17</f>
        <v>0</v>
      </c>
      <c r="D18" s="22">
        <f t="shared" ref="D18:L18" si="3">D15*D16-D17</f>
        <v>0</v>
      </c>
      <c r="E18" s="22">
        <f t="shared" si="3"/>
        <v>0</v>
      </c>
      <c r="F18" s="22">
        <f t="shared" si="3"/>
        <v>0</v>
      </c>
      <c r="G18" s="22">
        <f t="shared" si="3"/>
        <v>0</v>
      </c>
      <c r="H18" s="22">
        <f t="shared" si="3"/>
        <v>0</v>
      </c>
      <c r="I18" s="22">
        <f t="shared" si="3"/>
        <v>0</v>
      </c>
      <c r="J18" s="22">
        <f t="shared" si="3"/>
        <v>0</v>
      </c>
      <c r="K18" s="22">
        <f t="shared" si="3"/>
        <v>0</v>
      </c>
      <c r="L18" s="22">
        <f t="shared" si="3"/>
        <v>0</v>
      </c>
      <c r="M18" s="22">
        <f t="shared" si="0"/>
        <v>0</v>
      </c>
    </row>
    <row r="19" spans="2:13" ht="28.8" x14ac:dyDescent="0.3">
      <c r="B19" s="19" t="s">
        <v>193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22">
        <f t="shared" si="0"/>
        <v>0</v>
      </c>
    </row>
    <row r="20" spans="2:13" x14ac:dyDescent="0.3">
      <c r="B20" s="21" t="s">
        <v>199</v>
      </c>
      <c r="C20" s="21">
        <f>C8*C14-C18*C19*5</f>
        <v>0</v>
      </c>
      <c r="D20" s="21">
        <f t="shared" ref="D20:L20" si="4">D8*D14-D18*D19*5</f>
        <v>0</v>
      </c>
      <c r="E20" s="21">
        <f t="shared" si="4"/>
        <v>0</v>
      </c>
      <c r="F20" s="21">
        <f t="shared" si="4"/>
        <v>0</v>
      </c>
      <c r="G20" s="21">
        <f t="shared" si="4"/>
        <v>0</v>
      </c>
      <c r="H20" s="21">
        <f t="shared" si="4"/>
        <v>0</v>
      </c>
      <c r="I20" s="21">
        <f t="shared" si="4"/>
        <v>0</v>
      </c>
      <c r="J20" s="21">
        <f t="shared" si="4"/>
        <v>0</v>
      </c>
      <c r="K20" s="21">
        <f t="shared" si="4"/>
        <v>0</v>
      </c>
      <c r="L20" s="21">
        <f t="shared" si="4"/>
        <v>0</v>
      </c>
      <c r="M20" s="21">
        <f t="shared" si="0"/>
        <v>0</v>
      </c>
    </row>
    <row r="21" spans="2:13" hidden="1" x14ac:dyDescent="0.3">
      <c r="B21" s="36" t="s">
        <v>230</v>
      </c>
      <c r="C21" s="33">
        <f>'(ne pas modifier) BDD_REF'!$B$278*REIaval!D21</f>
        <v>7416.6726000000008</v>
      </c>
      <c r="D21" s="2">
        <v>26.7</v>
      </c>
    </row>
    <row r="22" spans="2:13" hidden="1" x14ac:dyDescent="0.3">
      <c r="B22" s="36" t="s">
        <v>229</v>
      </c>
      <c r="C22" s="33">
        <f>'(ne pas modifier) BDD_REF'!$B$278*REIaval!D22</f>
        <v>13138.8994</v>
      </c>
      <c r="D22" s="2">
        <v>47.3</v>
      </c>
    </row>
    <row r="23" spans="2:13" hidden="1" x14ac:dyDescent="0.3">
      <c r="B23" s="36" t="s">
        <v>231</v>
      </c>
      <c r="C23" s="33">
        <f>'(ne pas modifier) BDD_REF'!$B$278*REIaval!D23</f>
        <v>11166.675600000002</v>
      </c>
      <c r="D23" s="2">
        <v>40.200000000000003</v>
      </c>
    </row>
    <row r="24" spans="2:13" hidden="1" x14ac:dyDescent="0.3">
      <c r="B24" s="36" t="s">
        <v>232</v>
      </c>
      <c r="C24" s="33">
        <f>'(ne pas modifier) BDD_REF'!$B$278*REIaval!D24</f>
        <v>3861.1142000000004</v>
      </c>
      <c r="D24" s="2">
        <v>13.9</v>
      </c>
    </row>
    <row r="25" spans="2:13" hidden="1" x14ac:dyDescent="0.3">
      <c r="B25" s="36" t="s">
        <v>233</v>
      </c>
      <c r="C25" s="33">
        <f>'(ne pas modifier) BDD_REF'!$B$278*REIaval!D25</f>
        <v>3888.8920000000003</v>
      </c>
      <c r="D25" s="2">
        <v>14</v>
      </c>
    </row>
    <row r="26" spans="2:13" hidden="1" x14ac:dyDescent="0.3">
      <c r="B26" s="36" t="s">
        <v>234</v>
      </c>
      <c r="C26" s="33">
        <f>'(ne pas modifier) BDD_REF'!$B$278*REIaval!D26</f>
        <v>12305.565399999999</v>
      </c>
      <c r="D26" s="2">
        <v>44.3</v>
      </c>
    </row>
    <row r="27" spans="2:13" hidden="1" x14ac:dyDescent="0.3">
      <c r="B27" s="36" t="s">
        <v>235</v>
      </c>
      <c r="C27" s="33">
        <f>'(ne pas modifier) BDD_REF'!$B$278*REIaval!D27</f>
        <v>7916.6730000000007</v>
      </c>
      <c r="D27" s="2">
        <v>28.5</v>
      </c>
    </row>
    <row r="28" spans="2:13" hidden="1" x14ac:dyDescent="0.3">
      <c r="B28" s="36" t="s">
        <v>236</v>
      </c>
      <c r="C28" s="33">
        <f>'(ne pas modifier) BDD_REF'!$B$278*REIaval!D28</f>
        <v>7777.7840000000006</v>
      </c>
      <c r="D28" s="2">
        <v>28</v>
      </c>
    </row>
    <row r="29" spans="2:13" hidden="1" x14ac:dyDescent="0.3">
      <c r="B29" s="36" t="s">
        <v>237</v>
      </c>
      <c r="C29" s="33">
        <f>'(ne pas modifier) BDD_REF'!$B$278*REIaval!D29</f>
        <v>7833.3396000000002</v>
      </c>
      <c r="D29" s="2">
        <v>28.2</v>
      </c>
    </row>
    <row r="30" spans="2:13" hidden="1" x14ac:dyDescent="0.3">
      <c r="B30" s="36" t="s">
        <v>238</v>
      </c>
      <c r="C30" s="33">
        <f>'(ne pas modifier) BDD_REF'!$B$278*REIaval!D30</f>
        <v>11944.454000000002</v>
      </c>
      <c r="D30" s="2">
        <v>43</v>
      </c>
    </row>
    <row r="31" spans="2:13" hidden="1" x14ac:dyDescent="0.3">
      <c r="B31" s="36" t="s">
        <v>164</v>
      </c>
      <c r="C31" s="33">
        <f>'(ne pas modifier) BDD_REF'!$B$278*REIaval!D31</f>
        <v>11666.676000000001</v>
      </c>
      <c r="D31" s="2">
        <v>42</v>
      </c>
    </row>
    <row r="32" spans="2:13" hidden="1" x14ac:dyDescent="0.3">
      <c r="B32" s="36" t="s">
        <v>239</v>
      </c>
      <c r="C32" s="33">
        <f>'(ne pas modifier) BDD_REF'!$B$278*REIaval!D32</f>
        <v>11111.12</v>
      </c>
      <c r="D32" s="2">
        <v>40</v>
      </c>
    </row>
    <row r="33" spans="2:4" hidden="1" x14ac:dyDescent="0.3">
      <c r="B33" s="36" t="s">
        <v>240</v>
      </c>
      <c r="C33" s="33">
        <f>'(ne pas modifier) BDD_REF'!$B$278*REIaval!D33</f>
        <v>10750.008600000001</v>
      </c>
      <c r="D33" s="2">
        <v>38.700000000000003</v>
      </c>
    </row>
    <row r="34" spans="2:4" hidden="1" x14ac:dyDescent="0.3">
      <c r="B34" s="36" t="s">
        <v>241</v>
      </c>
      <c r="C34" s="33">
        <f>'(ne pas modifier) BDD_REF'!$B$278*REIaval!D34</f>
        <v>694.44500000000005</v>
      </c>
      <c r="D34" s="2">
        <v>2.5</v>
      </c>
    </row>
    <row r="35" spans="2:4" hidden="1" x14ac:dyDescent="0.3">
      <c r="B35" s="36" t="s">
        <v>168</v>
      </c>
      <c r="C35" s="33">
        <f>'(ne pas modifier) BDD_REF'!$B$278*REIaval!D35</f>
        <v>13333.344000000001</v>
      </c>
      <c r="D35" s="2">
        <v>48</v>
      </c>
    </row>
    <row r="36" spans="2:4" hidden="1" x14ac:dyDescent="0.3">
      <c r="B36" s="36" t="s">
        <v>166</v>
      </c>
      <c r="C36" s="33">
        <f>'(ne pas modifier) BDD_REF'!$B$278*REIaval!D36</f>
        <v>11944.454000000002</v>
      </c>
      <c r="D36" s="2">
        <v>43</v>
      </c>
    </row>
    <row r="37" spans="2:4" hidden="1" x14ac:dyDescent="0.3">
      <c r="B37" s="36" t="s">
        <v>242</v>
      </c>
      <c r="C37" s="33">
        <f>'(ne pas modifier) BDD_REF'!$B$278*REIaval!D37</f>
        <v>13777.788800000002</v>
      </c>
      <c r="D37" s="2">
        <v>49.6</v>
      </c>
    </row>
    <row r="38" spans="2:4" hidden="1" x14ac:dyDescent="0.3">
      <c r="B38" s="36" t="s">
        <v>243</v>
      </c>
      <c r="C38" s="33">
        <f>'(ne pas modifier) BDD_REF'!$B$278*REIaval!D38</f>
        <v>12777.788</v>
      </c>
      <c r="D38" s="2">
        <v>46</v>
      </c>
    </row>
    <row r="39" spans="2:4" hidden="1" x14ac:dyDescent="0.3">
      <c r="B39" s="36" t="s">
        <v>244</v>
      </c>
      <c r="C39" s="33">
        <f>'(ne pas modifier) BDD_REF'!$B$278*REIaval!D39</f>
        <v>4888.8928000000005</v>
      </c>
      <c r="D39" s="2">
        <v>17.600000000000001</v>
      </c>
    </row>
    <row r="40" spans="2:4" hidden="1" x14ac:dyDescent="0.3">
      <c r="B40" s="36" t="s">
        <v>245</v>
      </c>
      <c r="C40" s="33">
        <f>'(ne pas modifier) BDD_REF'!$B$278*REIaval!D40</f>
        <v>8888.8960000000006</v>
      </c>
      <c r="D40" s="2">
        <v>32</v>
      </c>
    </row>
    <row r="41" spans="2:4" hidden="1" x14ac:dyDescent="0.3">
      <c r="B41" s="36" t="s">
        <v>246</v>
      </c>
      <c r="C41" s="33">
        <f>'(ne pas modifier) BDD_REF'!$B$278*REIaval!D41</f>
        <v>10583.341800000002</v>
      </c>
      <c r="D41" s="2">
        <v>38.1</v>
      </c>
    </row>
    <row r="42" spans="2:4" hidden="1" x14ac:dyDescent="0.3">
      <c r="B42" s="36" t="s">
        <v>247</v>
      </c>
      <c r="C42" s="33">
        <f>'(ne pas modifier) BDD_REF'!$B$278*REIaval!D42</f>
        <v>12250.009800000002</v>
      </c>
      <c r="D42" s="2">
        <v>44.1</v>
      </c>
    </row>
    <row r="43" spans="2:4" hidden="1" x14ac:dyDescent="0.3">
      <c r="B43" s="36" t="s">
        <v>248</v>
      </c>
      <c r="C43" s="33">
        <f>'(ne pas modifier) BDD_REF'!$B$278*REIaval!D43</f>
        <v>3305.5582000000004</v>
      </c>
      <c r="D43" s="2">
        <v>11.9</v>
      </c>
    </row>
    <row r="44" spans="2:4" hidden="1" x14ac:dyDescent="0.3">
      <c r="B44" s="36" t="s">
        <v>249</v>
      </c>
      <c r="C44" s="33">
        <f>'(ne pas modifier) BDD_REF'!$B$278*REIaval!D44</f>
        <v>12361.121000000001</v>
      </c>
      <c r="D44" s="2">
        <v>44.5</v>
      </c>
    </row>
    <row r="45" spans="2:4" hidden="1" x14ac:dyDescent="0.3">
      <c r="B45" s="36" t="s">
        <v>250</v>
      </c>
      <c r="C45" s="33">
        <f>'(ne pas modifier) BDD_REF'!$B$278*REIaval!D45</f>
        <v>11750.009400000001</v>
      </c>
      <c r="D45" s="2">
        <v>42.3</v>
      </c>
    </row>
    <row r="46" spans="2:4" hidden="1" x14ac:dyDescent="0.3">
      <c r="B46" s="36" t="s">
        <v>251</v>
      </c>
      <c r="C46" s="33">
        <f>'(ne pas modifier) BDD_REF'!$B$278*REIaval!D46</f>
        <v>3638.8918000000003</v>
      </c>
      <c r="D46" s="2">
        <v>13.1</v>
      </c>
    </row>
    <row r="47" spans="2:4" hidden="1" x14ac:dyDescent="0.3">
      <c r="B47" s="36" t="s">
        <v>252</v>
      </c>
      <c r="C47" s="33">
        <f>'(ne pas modifier) BDD_REF'!$B$278*REIaval!D47</f>
        <v>13138.8994</v>
      </c>
      <c r="D47" s="2">
        <v>47.3</v>
      </c>
    </row>
    <row r="48" spans="2:4" hidden="1" x14ac:dyDescent="0.3">
      <c r="B48" s="36" t="s">
        <v>253</v>
      </c>
      <c r="C48" s="33">
        <f>'(ne pas modifier) BDD_REF'!$B$278*REIaval!D48</f>
        <v>2200.0017600000001</v>
      </c>
      <c r="D48" s="2">
        <v>7.92</v>
      </c>
    </row>
    <row r="49" spans="1:13" hidden="1" x14ac:dyDescent="0.3">
      <c r="B49" s="36" t="s">
        <v>254</v>
      </c>
      <c r="C49" s="33">
        <f>'(ne pas modifier) BDD_REF'!$B$278*REIaval!D49</f>
        <v>2722.2244000000005</v>
      </c>
      <c r="D49" s="2">
        <v>9.8000000000000007</v>
      </c>
    </row>
    <row r="50" spans="1:13" x14ac:dyDescent="0.3">
      <c r="C50"/>
      <c r="D50"/>
      <c r="E50"/>
      <c r="F50"/>
      <c r="G50"/>
      <c r="H50"/>
      <c r="I50"/>
      <c r="J50"/>
      <c r="K50"/>
    </row>
    <row r="51" spans="1:13" ht="28.8" x14ac:dyDescent="0.3">
      <c r="B51" s="37" t="s">
        <v>259</v>
      </c>
      <c r="C51" s="37" t="s">
        <v>258</v>
      </c>
      <c r="M51" s="2"/>
    </row>
    <row r="52" spans="1:13" ht="28.8" x14ac:dyDescent="0.3">
      <c r="A52" s="36" t="s">
        <v>257</v>
      </c>
      <c r="B52" s="36" t="s">
        <v>164</v>
      </c>
      <c r="C52" s="38">
        <f>0.324/1000</f>
        <v>3.2400000000000001E-4</v>
      </c>
      <c r="M52" s="2"/>
    </row>
    <row r="53" spans="1:13" x14ac:dyDescent="0.3">
      <c r="B53" s="36" t="s">
        <v>239</v>
      </c>
      <c r="C53" s="38">
        <f>0.325/1000</f>
        <v>3.2499999999999999E-4</v>
      </c>
      <c r="M53" s="2"/>
    </row>
    <row r="54" spans="1:13" x14ac:dyDescent="0.3">
      <c r="B54" s="36" t="s">
        <v>255</v>
      </c>
      <c r="C54" s="38">
        <f>0.335/1000</f>
        <v>3.3500000000000001E-4</v>
      </c>
      <c r="M54" s="2"/>
    </row>
    <row r="55" spans="1:13" x14ac:dyDescent="0.3">
      <c r="B55" s="36" t="s">
        <v>256</v>
      </c>
      <c r="C55" s="38">
        <f>0.282/1000</f>
        <v>2.8199999999999997E-4</v>
      </c>
      <c r="M55" s="2"/>
    </row>
    <row r="56" spans="1:13" ht="28.8" x14ac:dyDescent="0.3">
      <c r="A56" s="36" t="s">
        <v>260</v>
      </c>
      <c r="B56" s="36" t="s">
        <v>261</v>
      </c>
      <c r="C56" s="38">
        <f>0.311/1000</f>
        <v>3.1100000000000002E-4</v>
      </c>
      <c r="M56" s="2"/>
    </row>
    <row r="57" spans="1:13" x14ac:dyDescent="0.3">
      <c r="B57" s="36" t="s">
        <v>262</v>
      </c>
      <c r="C57" s="36">
        <f>0.313/1000</f>
        <v>3.1300000000000002E-4</v>
      </c>
      <c r="M57" s="2"/>
    </row>
    <row r="58" spans="1:13" x14ac:dyDescent="0.3">
      <c r="B58" s="36" t="s">
        <v>263</v>
      </c>
      <c r="C58" s="36">
        <f>0.319/1000</f>
        <v>3.19E-4</v>
      </c>
      <c r="M58" s="2"/>
    </row>
    <row r="59" spans="1:13" x14ac:dyDescent="0.3">
      <c r="B59" s="36" t="s">
        <v>264</v>
      </c>
      <c r="C59" s="36">
        <f>0.306/1000</f>
        <v>3.0600000000000001E-4</v>
      </c>
      <c r="M59" s="2"/>
    </row>
    <row r="60" spans="1:13" x14ac:dyDescent="0.3">
      <c r="B60" s="36" t="s">
        <v>265</v>
      </c>
      <c r="C60" s="36">
        <f>0.174/1000</f>
        <v>1.74E-4</v>
      </c>
      <c r="M60" s="2"/>
    </row>
    <row r="61" spans="1:13" x14ac:dyDescent="0.3">
      <c r="B61" s="36" t="s">
        <v>266</v>
      </c>
      <c r="C61" s="36">
        <f>0.273/1000</f>
        <v>2.7300000000000002E-4</v>
      </c>
      <c r="M61" s="2"/>
    </row>
    <row r="62" spans="1:13" x14ac:dyDescent="0.3">
      <c r="B62" s="36" t="s">
        <v>243</v>
      </c>
      <c r="C62" s="36">
        <f>0.272/1000</f>
        <v>2.72E-4</v>
      </c>
      <c r="M62" s="2"/>
    </row>
    <row r="63" spans="1:13" x14ac:dyDescent="0.3">
      <c r="B63" s="36" t="s">
        <v>267</v>
      </c>
      <c r="C63" s="36">
        <f>0.311/1000</f>
        <v>3.1100000000000002E-4</v>
      </c>
      <c r="M63" s="2"/>
    </row>
    <row r="64" spans="1:13" x14ac:dyDescent="0.3">
      <c r="B64" s="36" t="s">
        <v>268</v>
      </c>
      <c r="C64" s="36">
        <f>0.132/1000</f>
        <v>1.3200000000000001E-4</v>
      </c>
      <c r="M64" s="2"/>
    </row>
    <row r="65" spans="1:13" x14ac:dyDescent="0.3">
      <c r="B65" s="36" t="s">
        <v>269</v>
      </c>
      <c r="C65" s="36">
        <f>0.238/1000</f>
        <v>2.3799999999999998E-4</v>
      </c>
      <c r="M65" s="2"/>
    </row>
    <row r="66" spans="1:13" x14ac:dyDescent="0.3">
      <c r="B66" s="36" t="s">
        <v>270</v>
      </c>
      <c r="C66" s="36">
        <f>0.23/1000</f>
        <v>2.3000000000000001E-4</v>
      </c>
      <c r="M66" s="2"/>
    </row>
    <row r="67" spans="1:13" ht="43.2" x14ac:dyDescent="0.3">
      <c r="A67" s="36" t="s">
        <v>271</v>
      </c>
      <c r="B67" s="36" t="s">
        <v>272</v>
      </c>
      <c r="C67" s="36">
        <f>0.327/1000</f>
        <v>3.2700000000000003E-4</v>
      </c>
      <c r="M67" s="2"/>
    </row>
    <row r="68" spans="1:13" x14ac:dyDescent="0.3">
      <c r="B68" s="36" t="s">
        <v>273</v>
      </c>
      <c r="C68" s="36">
        <f>0.331/1000</f>
        <v>3.3100000000000002E-4</v>
      </c>
      <c r="M68" s="2"/>
    </row>
    <row r="69" spans="1:13" x14ac:dyDescent="0.3">
      <c r="B69" s="36" t="s">
        <v>274</v>
      </c>
      <c r="C69" s="36">
        <f>0.331/1000</f>
        <v>3.3100000000000002E-4</v>
      </c>
      <c r="M69" s="2"/>
    </row>
    <row r="70" spans="1:13" ht="28.8" x14ac:dyDescent="0.3">
      <c r="A70" s="36" t="s">
        <v>276</v>
      </c>
      <c r="B70" s="36" t="s">
        <v>275</v>
      </c>
      <c r="C70" s="36">
        <f>0.307/1000</f>
        <v>3.0699999999999998E-4</v>
      </c>
      <c r="M70" s="2"/>
    </row>
    <row r="71" spans="1:13" x14ac:dyDescent="0.3">
      <c r="B71" s="36" t="s">
        <v>277</v>
      </c>
      <c r="C71" s="36">
        <f>0.308/1000</f>
        <v>3.0800000000000001E-4</v>
      </c>
      <c r="M71" s="2"/>
    </row>
    <row r="72" spans="1:13" x14ac:dyDescent="0.3">
      <c r="B72" s="36" t="s">
        <v>278</v>
      </c>
      <c r="C72" s="36">
        <f>0.313/1000</f>
        <v>3.1300000000000002E-4</v>
      </c>
      <c r="M72" s="2"/>
    </row>
    <row r="73" spans="1:13" ht="28.8" x14ac:dyDescent="0.3">
      <c r="A73" s="36" t="s">
        <v>280</v>
      </c>
      <c r="B73" s="36" t="s">
        <v>279</v>
      </c>
      <c r="C73" s="36">
        <f>0.322/1000</f>
        <v>3.2200000000000002E-4</v>
      </c>
      <c r="M73" s="2"/>
    </row>
    <row r="74" spans="1:13" ht="28.8" x14ac:dyDescent="0.3">
      <c r="A74" s="36" t="s">
        <v>281</v>
      </c>
      <c r="B74" s="36" t="s">
        <v>282</v>
      </c>
      <c r="C74" s="36">
        <f>0.227/1000</f>
        <v>2.2700000000000002E-4</v>
      </c>
      <c r="M74" s="2"/>
    </row>
    <row r="75" spans="1:13" x14ac:dyDescent="0.3">
      <c r="B75" s="36" t="s">
        <v>283</v>
      </c>
      <c r="C75" s="36">
        <f>0.244/1000</f>
        <v>2.4399999999999999E-4</v>
      </c>
      <c r="M75" s="2"/>
    </row>
    <row r="76" spans="1:13" ht="28.8" x14ac:dyDescent="0.3">
      <c r="A76" s="36" t="s">
        <v>284</v>
      </c>
      <c r="B76" s="36" t="s">
        <v>285</v>
      </c>
      <c r="C76" s="36">
        <f>0.27/1000</f>
        <v>2.7E-4</v>
      </c>
      <c r="M76" s="2"/>
    </row>
    <row r="77" spans="1:13" x14ac:dyDescent="0.3">
      <c r="C77" s="27"/>
      <c r="M77" s="2"/>
    </row>
    <row r="78" spans="1:13" ht="50.25" customHeight="1" x14ac:dyDescent="0.3">
      <c r="B78" s="8" t="s">
        <v>227</v>
      </c>
      <c r="M78" s="2"/>
    </row>
    <row r="79" spans="1:13" x14ac:dyDescent="0.3">
      <c r="B79" s="27"/>
      <c r="M79" s="2"/>
    </row>
    <row r="80" spans="1:13" x14ac:dyDescent="0.3">
      <c r="B80" s="27"/>
      <c r="M80" s="2"/>
    </row>
    <row r="81" spans="2:13" x14ac:dyDescent="0.3">
      <c r="B81" s="27"/>
      <c r="M81" s="2"/>
    </row>
    <row r="82" spans="2:13" x14ac:dyDescent="0.3">
      <c r="B82" s="27"/>
      <c r="M82" s="2"/>
    </row>
    <row r="83" spans="2:13" x14ac:dyDescent="0.3">
      <c r="B83" s="27"/>
      <c r="M83" s="2"/>
    </row>
    <row r="84" spans="2:13" x14ac:dyDescent="0.3">
      <c r="B84" s="27"/>
      <c r="M84" s="2"/>
    </row>
    <row r="85" spans="2:13" x14ac:dyDescent="0.3">
      <c r="B85" s="27"/>
      <c r="M85" s="2"/>
    </row>
    <row r="86" spans="2:13" x14ac:dyDescent="0.3">
      <c r="B86" s="27"/>
      <c r="M86" s="2"/>
    </row>
    <row r="87" spans="2:13" x14ac:dyDescent="0.3">
      <c r="B87" s="27"/>
      <c r="M87" s="2"/>
    </row>
    <row r="88" spans="2:13" x14ac:dyDescent="0.3">
      <c r="B88" s="27"/>
      <c r="M88" s="2"/>
    </row>
  </sheetData>
  <sheetProtection algorithmName="SHA-512" hashValue="IOz+2kK9tVwQQedvpJ/NMVqNpa/6xxo7q2v7iTCgDUz7D85pojYbqcNpiJOs292D264Hc0tPFcwsCoM/YV97BA==" saltValue="Va6+glqU2hZIcReuQh/vOg==" spinCount="100000" sheet="1" objects="1" scenarios="1"/>
  <mergeCells count="1">
    <mergeCell ref="B2:M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Q36"/>
  <sheetViews>
    <sheetView zoomScale="80" zoomScaleNormal="80" workbookViewId="0">
      <selection activeCell="C22" sqref="C22"/>
    </sheetView>
  </sheetViews>
  <sheetFormatPr baseColWidth="10" defaultColWidth="11.44140625" defaultRowHeight="14.4" x14ac:dyDescent="0.3"/>
  <cols>
    <col min="2" max="2" width="31" style="34" customWidth="1"/>
  </cols>
  <sheetData>
    <row r="2" spans="1:17" x14ac:dyDescent="0.3">
      <c r="A2" s="108" t="s">
        <v>332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10"/>
    </row>
    <row r="3" spans="1:17" x14ac:dyDescent="0.3">
      <c r="A3" s="83"/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</row>
    <row r="4" spans="1:17" ht="28.8" x14ac:dyDescent="0.3">
      <c r="A4" t="s">
        <v>215</v>
      </c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18</v>
      </c>
      <c r="M4" s="14" t="s">
        <v>151</v>
      </c>
      <c r="N4" s="2"/>
      <c r="O4" s="2"/>
      <c r="P4" s="2"/>
      <c r="Q4" s="2"/>
    </row>
    <row r="5" spans="1:17" x14ac:dyDescent="0.3">
      <c r="A5" s="13">
        <v>1</v>
      </c>
      <c r="B5" s="7" t="s">
        <v>201</v>
      </c>
      <c r="C5" s="22">
        <f>IF(Eligibilité_projet!B13="Hors climat Mediterranéen",LOOKUP(RECant_biom!$A$5,'(ne pas modifier) BDD_REF'!$A$244:$A$263,'(ne pas modifier) BDD_REF'!$B$244:$B$263),IF(Eligibilité_projet!B13="",0,LOOKUP(RECant_biom!$A$5,'(ne pas modifier) BDD_REF'!$A$244:$A$263,'(ne pas modifier) BDD_REF'!$C$244:$C$263)))</f>
        <v>2.7</v>
      </c>
      <c r="D5" s="22">
        <f>IF(Eligibilité_projet!C13="Hors climat Mediterranéen",LOOKUP(RECant_biom!$A$5,'(ne pas modifier) BDD_REF'!$A$244:$A$263,'(ne pas modifier) BDD_REF'!$B$244:$B$263),IF(Eligibilité_projet!C13="",0,LOOKUP(RECant_biom!$A$5,'(ne pas modifier) BDD_REF'!$A$244:$A$263,'(ne pas modifier) BDD_REF'!$C$244:$C$263)))</f>
        <v>2.7</v>
      </c>
      <c r="E5" s="22">
        <f>IF(Eligibilité_projet!D13="Hors climat Mediterranéen",LOOKUP(RECant_biom!$A$5,'(ne pas modifier) BDD_REF'!$A$244:$A$263,'(ne pas modifier) BDD_REF'!$B$244:$B$263),IF(Eligibilité_projet!D13="",0,LOOKUP(RECant_biom!$A$5,'(ne pas modifier) BDD_REF'!$A$244:$A$263,'(ne pas modifier) BDD_REF'!$C$244:$C$263)))</f>
        <v>0</v>
      </c>
      <c r="F5" s="22">
        <f>IF(Eligibilité_projet!E13="Hors climat Mediterranéen",LOOKUP(RECant_biom!$A$5,'(ne pas modifier) BDD_REF'!$A$244:$A$263,'(ne pas modifier) BDD_REF'!$B$244:$B$263),IF(Eligibilité_projet!E13="",0,LOOKUP(RECant_biom!$A$5,'(ne pas modifier) BDD_REF'!$A$244:$A$263,'(ne pas modifier) BDD_REF'!$C$244:$C$263)))</f>
        <v>0</v>
      </c>
      <c r="G5" s="22">
        <f>IF(Eligibilité_projet!F13="Hors climat Mediterranéen",LOOKUP(RECant_biom!$A$5,'(ne pas modifier) BDD_REF'!$A$244:$A$263,'(ne pas modifier) BDD_REF'!$B$244:$B$263),IF(Eligibilité_projet!F13="",0,LOOKUP(RECant_biom!$A$5,'(ne pas modifier) BDD_REF'!$A$244:$A$263,'(ne pas modifier) BDD_REF'!$C$244:$C$263)))</f>
        <v>0</v>
      </c>
      <c r="H5" s="22">
        <f>IF(Eligibilité_projet!G13="Hors climat Mediterranéen",LOOKUP(RECant_biom!$A$5,'(ne pas modifier) BDD_REF'!$A$244:$A$263,'(ne pas modifier) BDD_REF'!$B$244:$B$263),IF(Eligibilité_projet!G13="",0,LOOKUP(RECant_biom!$A$5,'(ne pas modifier) BDD_REF'!$A$244:$A$263,'(ne pas modifier) BDD_REF'!$C$244:$C$263)))</f>
        <v>0</v>
      </c>
      <c r="I5" s="22">
        <f>IF(Eligibilité_projet!H13="Hors climat Mediterranéen",LOOKUP(RECant_biom!$A$5,'(ne pas modifier) BDD_REF'!$A$244:$A$263,'(ne pas modifier) BDD_REF'!$B$244:$B$263),IF(Eligibilité_projet!H13="",0,LOOKUP(RECant_biom!$A$5,'(ne pas modifier) BDD_REF'!$A$244:$A$263,'(ne pas modifier) BDD_REF'!$C$244:$C$263)))</f>
        <v>0</v>
      </c>
      <c r="J5" s="22">
        <f>IF(Eligibilité_projet!I13="Hors climat Mediterranéen",LOOKUP(RECant_biom!$A$5,'(ne pas modifier) BDD_REF'!$A$244:$A$263,'(ne pas modifier) BDD_REF'!$B$244:$B$263),IF(Eligibilité_projet!I13="",0,LOOKUP(RECant_biom!$A$5,'(ne pas modifier) BDD_REF'!$A$244:$A$263,'(ne pas modifier) BDD_REF'!$C$244:$C$263)))</f>
        <v>0</v>
      </c>
      <c r="K5" s="22">
        <f>IF(Eligibilité_projet!J13="Hors climat Mediterranéen",LOOKUP(RECant_biom!$A$5,'(ne pas modifier) BDD_REF'!$A$244:$A$263,'(ne pas modifier) BDD_REF'!$B$244:$B$263),IF(Eligibilité_projet!J13="",0,LOOKUP(RECant_biom!$A$5,'(ne pas modifier) BDD_REF'!$A$244:$A$263,'(ne pas modifier) BDD_REF'!$C$244:$C$263)))</f>
        <v>0</v>
      </c>
      <c r="L5" s="22">
        <f>IF(Eligibilité_projet!K13="Hors climat Mediterranéen",LOOKUP(RECant_biom!$A$5,'(ne pas modifier) BDD_REF'!$A$244:$A$263,'(ne pas modifier) BDD_REF'!$B$244:$B$263),IF(Eligibilité_projet!K13="",0,LOOKUP(RECant_biom!$A$5,'(ne pas modifier) BDD_REF'!$A$244:$A$263,'(ne pas modifier) BDD_REF'!$C$244:$C$263)))</f>
        <v>0</v>
      </c>
      <c r="M5" s="22">
        <f t="shared" ref="M5:M28" si="0">SUM(C5:L5)</f>
        <v>5.4</v>
      </c>
      <c r="N5" s="2"/>
      <c r="O5" s="2"/>
      <c r="P5" s="2"/>
      <c r="Q5" s="2"/>
    </row>
    <row r="6" spans="1:17" x14ac:dyDescent="0.3">
      <c r="A6" s="13">
        <v>2</v>
      </c>
      <c r="B6" s="7" t="s">
        <v>201</v>
      </c>
      <c r="C6" s="22">
        <f>IF(Eligibilité_projet!B13="Hors climat Mediterranéen",LOOKUP(RECant_biom!$A$6,'(ne pas modifier) BDD_REF'!$A$244:$A$263,'(ne pas modifier) BDD_REF'!$B$244:$B$263),IF(Eligibilité_projet!B13="",0,LOOKUP(RECant_biom!$A$6,'(ne pas modifier) BDD_REF'!$A$244:$A$263,'(ne pas modifier) BDD_REF'!$C$244:$C$263)))</f>
        <v>4.2</v>
      </c>
      <c r="D6" s="22">
        <f>IF(Eligibilité_projet!C13="Hors climat Mediterranéen",LOOKUP(RECant_biom!$A$6,'(ne pas modifier) BDD_REF'!$A$244:$A$263,'(ne pas modifier) BDD_REF'!$B$244:$B$263),IF(Eligibilité_projet!C13="",0,LOOKUP(RECant_biom!$A$6,'(ne pas modifier) BDD_REF'!$A$244:$A$263,'(ne pas modifier) BDD_REF'!$C$244:$C$263)))</f>
        <v>4.2</v>
      </c>
      <c r="E6" s="22">
        <f>IF(Eligibilité_projet!D13="Hors climat Mediterranéen",LOOKUP(RECant_biom!$A$6,'(ne pas modifier) BDD_REF'!$A$244:$A$263,'(ne pas modifier) BDD_REF'!$B$244:$B$263),IF(Eligibilité_projet!D13="",0,LOOKUP(RECant_biom!$A$6,'(ne pas modifier) BDD_REF'!$A$244:$A$263,'(ne pas modifier) BDD_REF'!$C$244:$C$263)))</f>
        <v>0</v>
      </c>
      <c r="F6" s="22">
        <f>IF(Eligibilité_projet!E13="Hors climat Mediterranéen",LOOKUP(RECant_biom!$A$6,'(ne pas modifier) BDD_REF'!$A$244:$A$263,'(ne pas modifier) BDD_REF'!$B$244:$B$263),IF(Eligibilité_projet!E13="",0,LOOKUP(RECant_biom!$A$6,'(ne pas modifier) BDD_REF'!$A$244:$A$263,'(ne pas modifier) BDD_REF'!$C$244:$C$263)))</f>
        <v>0</v>
      </c>
      <c r="G6" s="22">
        <f>IF(Eligibilité_projet!F13="Hors climat Mediterranéen",LOOKUP(RECant_biom!$A$6,'(ne pas modifier) BDD_REF'!$A$244:$A$263,'(ne pas modifier) BDD_REF'!$B$244:$B$263),IF(Eligibilité_projet!F13="",0,LOOKUP(RECant_biom!$A$6,'(ne pas modifier) BDD_REF'!$A$244:$A$263,'(ne pas modifier) BDD_REF'!$C$244:$C$263)))</f>
        <v>0</v>
      </c>
      <c r="H6" s="22">
        <f>IF(Eligibilité_projet!G13="Hors climat Mediterranéen",LOOKUP(RECant_biom!$A$6,'(ne pas modifier) BDD_REF'!$A$244:$A$263,'(ne pas modifier) BDD_REF'!$B$244:$B$263),IF(Eligibilité_projet!G13="",0,LOOKUP(RECant_biom!$A$6,'(ne pas modifier) BDD_REF'!$A$244:$A$263,'(ne pas modifier) BDD_REF'!$C$244:$C$263)))</f>
        <v>0</v>
      </c>
      <c r="I6" s="22">
        <f>IF(Eligibilité_projet!H13="Hors climat Mediterranéen",LOOKUP(RECant_biom!$A$6,'(ne pas modifier) BDD_REF'!$A$244:$A$263,'(ne pas modifier) BDD_REF'!$B$244:$B$263),IF(Eligibilité_projet!H13="",0,LOOKUP(RECant_biom!$A$6,'(ne pas modifier) BDD_REF'!$A$244:$A$263,'(ne pas modifier) BDD_REF'!$C$244:$C$263)))</f>
        <v>0</v>
      </c>
      <c r="J6" s="22">
        <f>IF(Eligibilité_projet!I13="Hors climat Mediterranéen",LOOKUP(RECant_biom!$A$6,'(ne pas modifier) BDD_REF'!$A$244:$A$263,'(ne pas modifier) BDD_REF'!$B$244:$B$263),IF(Eligibilité_projet!I13="",0,LOOKUP(RECant_biom!$A$6,'(ne pas modifier) BDD_REF'!$A$244:$A$263,'(ne pas modifier) BDD_REF'!$C$244:$C$263)))</f>
        <v>0</v>
      </c>
      <c r="K6" s="22">
        <f>IF(Eligibilité_projet!J13="Hors climat Mediterranéen",LOOKUP(RECant_biom!$A$6,'(ne pas modifier) BDD_REF'!$A$244:$A$263,'(ne pas modifier) BDD_REF'!$B$244:$B$263),IF(Eligibilité_projet!J13="",0,LOOKUP(RECant_biom!$A$6,'(ne pas modifier) BDD_REF'!$A$244:$A$263,'(ne pas modifier) BDD_REF'!$C$244:$C$263)))</f>
        <v>0</v>
      </c>
      <c r="L6" s="22">
        <f>IF(Eligibilité_projet!K13="Hors climat Mediterranéen",LOOKUP(RECant_biom!$A$6,'(ne pas modifier) BDD_REF'!$A$244:$A$263,'(ne pas modifier) BDD_REF'!$B$244:$B$263),IF(Eligibilité_projet!K13="",0,LOOKUP(RECant_biom!$A$6,'(ne pas modifier) BDD_REF'!$A$244:$A$263,'(ne pas modifier) BDD_REF'!$C$244:$C$263)))</f>
        <v>0</v>
      </c>
      <c r="M6" s="22">
        <f t="shared" si="0"/>
        <v>8.4</v>
      </c>
      <c r="N6" s="2"/>
      <c r="O6" s="2"/>
      <c r="P6" s="2"/>
      <c r="Q6" s="2"/>
    </row>
    <row r="7" spans="1:17" x14ac:dyDescent="0.3">
      <c r="A7" s="13">
        <v>3</v>
      </c>
      <c r="B7" s="7" t="s">
        <v>201</v>
      </c>
      <c r="C7" s="22">
        <f>IF(Eligibilité_projet!$B$13="Hors climat Mediterranéen",LOOKUP(RECant_biom!A7,'(ne pas modifier) BDD_REF'!$A$244:$A$263,'(ne pas modifier) BDD_REF'!$B$244:$B$263),IF(Eligibilité_projet!$B$13="",0,LOOKUP(RECant_biom!A7,'(ne pas modifier) BDD_REF'!$A$244:$A$263,'(ne pas modifier) BDD_REF'!$C$244:$C$263)))</f>
        <v>5.6</v>
      </c>
      <c r="D7" s="22">
        <f>IF(Eligibilité_projet!C13="Hors climat Mediterranéen",LOOKUP(RECant_biom!$A$7,'(ne pas modifier) BDD_REF'!$A$244:$A$263,'(ne pas modifier) BDD_REF'!$B$244:$B$263),IF(Eligibilité_projet!C13="",0,LOOKUP(RECant_biom!$A$7,'(ne pas modifier) BDD_REF'!$A$244:$A$263,'(ne pas modifier) BDD_REF'!$C$244:$C$263)))</f>
        <v>5.6</v>
      </c>
      <c r="E7" s="22">
        <f>IF(Eligibilité_projet!D13="Hors climat Mediterranéen",LOOKUP(RECant_biom!$A$7,'(ne pas modifier) BDD_REF'!$A$244:$A$263,'(ne pas modifier) BDD_REF'!$B$244:$B$263),IF(Eligibilité_projet!D13="",0,LOOKUP(RECant_biom!$A$7,'(ne pas modifier) BDD_REF'!$A$244:$A$263,'(ne pas modifier) BDD_REF'!$C$244:$C$263)))</f>
        <v>0</v>
      </c>
      <c r="F7" s="22">
        <f>IF(Eligibilité_projet!E13="Hors climat Mediterranéen",LOOKUP(RECant_biom!$A$7,'(ne pas modifier) BDD_REF'!$A$244:$A$263,'(ne pas modifier) BDD_REF'!$B$244:$B$263),IF(Eligibilité_projet!E13="",0,LOOKUP(RECant_biom!$A$7,'(ne pas modifier) BDD_REF'!$A$244:$A$263,'(ne pas modifier) BDD_REF'!$C$244:$C$263)))</f>
        <v>0</v>
      </c>
      <c r="G7" s="22">
        <f>IF(Eligibilité_projet!F13="Hors climat Mediterranéen",LOOKUP(RECant_biom!$A$7,'(ne pas modifier) BDD_REF'!$A$244:$A$263,'(ne pas modifier) BDD_REF'!$B$244:$B$263),IF(Eligibilité_projet!F13="",0,LOOKUP(RECant_biom!$A$7,'(ne pas modifier) BDD_REF'!$A$244:$A$263,'(ne pas modifier) BDD_REF'!$C$244:$C$263)))</f>
        <v>0</v>
      </c>
      <c r="H7" s="22">
        <f>IF(Eligibilité_projet!G13="Hors climat Mediterranéen",LOOKUP(RECant_biom!$A$7,'(ne pas modifier) BDD_REF'!$A$244:$A$263,'(ne pas modifier) BDD_REF'!$B$244:$B$263),IF(Eligibilité_projet!G13="",0,LOOKUP(RECant_biom!$A$7,'(ne pas modifier) BDD_REF'!$A$244:$A$263,'(ne pas modifier) BDD_REF'!$C$244:$C$263)))</f>
        <v>0</v>
      </c>
      <c r="I7" s="22">
        <f>IF(Eligibilité_projet!H13="Hors climat Mediterranéen",LOOKUP(RECant_biom!$A$7,'(ne pas modifier) BDD_REF'!$A$244:$A$263,'(ne pas modifier) BDD_REF'!$B$244:$B$263),IF(Eligibilité_projet!H13="",0,LOOKUP(RECant_biom!$A$7,'(ne pas modifier) BDD_REF'!$A$244:$A$263,'(ne pas modifier) BDD_REF'!$C$244:$C$263)))</f>
        <v>0</v>
      </c>
      <c r="J7" s="22">
        <f>IF(Eligibilité_projet!I13="Hors climat Mediterranéen",LOOKUP(RECant_biom!$A$7,'(ne pas modifier) BDD_REF'!$A$244:$A$263,'(ne pas modifier) BDD_REF'!$B$244:$B$263),IF(Eligibilité_projet!I13="",0,LOOKUP(RECant_biom!$A$7,'(ne pas modifier) BDD_REF'!$A$244:$A$263,'(ne pas modifier) BDD_REF'!$C$244:$C$263)))</f>
        <v>0</v>
      </c>
      <c r="K7" s="22">
        <f>IF(Eligibilité_projet!J13="Hors climat Mediterranéen",LOOKUP(RECant_biom!$A$7,'(ne pas modifier) BDD_REF'!$A$244:$A$263,'(ne pas modifier) BDD_REF'!$B$244:$B$263),IF(Eligibilité_projet!J13="",0,LOOKUP(RECant_biom!$A$7,'(ne pas modifier) BDD_REF'!$A$244:$A$263,'(ne pas modifier) BDD_REF'!$C$244:$C$263)))</f>
        <v>0</v>
      </c>
      <c r="L7" s="22">
        <f>IF(Eligibilité_projet!K13="Hors climat Mediterranéen",LOOKUP(RECant_biom!$A$7,'(ne pas modifier) BDD_REF'!$A$244:$A$263,'(ne pas modifier) BDD_REF'!$B$244:$B$263),IF(Eligibilité_projet!K13="",0,LOOKUP(RECant_biom!$A$7,'(ne pas modifier) BDD_REF'!$A$244:$A$263,'(ne pas modifier) BDD_REF'!$C$244:$C$263)))</f>
        <v>0</v>
      </c>
      <c r="M7" s="22">
        <f t="shared" si="0"/>
        <v>11.2</v>
      </c>
      <c r="N7" s="2"/>
      <c r="O7" s="2"/>
      <c r="P7" s="2"/>
      <c r="Q7" s="2"/>
    </row>
    <row r="8" spans="1:17" x14ac:dyDescent="0.3">
      <c r="A8" s="13">
        <v>4</v>
      </c>
      <c r="B8" s="7" t="s">
        <v>201</v>
      </c>
      <c r="C8" s="22">
        <f>IF(Eligibilité_projet!B13="Hors climat Mediterranéen",LOOKUP(RECant_biom!$A$8,'(ne pas modifier) BDD_REF'!$A$244:$A$263,'(ne pas modifier) BDD_REF'!$B$244:$B$263),IF(Eligibilité_projet!B13="",0,LOOKUP(RECant_biom!$A$8,'(ne pas modifier) BDD_REF'!$A$244:$A$263,'(ne pas modifier) BDD_REF'!$C$244:$C$263)))</f>
        <v>7.1</v>
      </c>
      <c r="D8" s="22">
        <f>IF(Eligibilité_projet!C13="Hors climat Mediterranéen",LOOKUP(RECant_biom!$A$8,'(ne pas modifier) BDD_REF'!$A$244:$A$263,'(ne pas modifier) BDD_REF'!$B$244:$B$263),IF(Eligibilité_projet!C13="",0,LOOKUP(RECant_biom!$A$8,'(ne pas modifier) BDD_REF'!$A$244:$A$263,'(ne pas modifier) BDD_REF'!$C$244:$C$263)))</f>
        <v>7.1</v>
      </c>
      <c r="E8" s="22">
        <f>IF(Eligibilité_projet!D13="Hors climat Mediterranéen",LOOKUP(RECant_biom!$A$8,'(ne pas modifier) BDD_REF'!$A$244:$A$263,'(ne pas modifier) BDD_REF'!$B$244:$B$263),IF(Eligibilité_projet!D13="",0,LOOKUP(RECant_biom!$A$8,'(ne pas modifier) BDD_REF'!$A$244:$A$263,'(ne pas modifier) BDD_REF'!$C$244:$C$263)))</f>
        <v>0</v>
      </c>
      <c r="F8" s="22">
        <f>IF(Eligibilité_projet!E13="Hors climat Mediterranéen",LOOKUP(RECant_biom!$A$8,'(ne pas modifier) BDD_REF'!$A$244:$A$263,'(ne pas modifier) BDD_REF'!$B$244:$B$263),IF(Eligibilité_projet!E13="",0,LOOKUP(RECant_biom!$A$8,'(ne pas modifier) BDD_REF'!$A$244:$A$263,'(ne pas modifier) BDD_REF'!$C$244:$C$263)))</f>
        <v>0</v>
      </c>
      <c r="G8" s="22">
        <f>IF(Eligibilité_projet!F13="Hors climat Mediterranéen",LOOKUP(RECant_biom!$A$8,'(ne pas modifier) BDD_REF'!$A$244:$A$263,'(ne pas modifier) BDD_REF'!$B$244:$B$263),IF(Eligibilité_projet!F13="",0,LOOKUP(RECant_biom!$A$8,'(ne pas modifier) BDD_REF'!$A$244:$A$263,'(ne pas modifier) BDD_REF'!$C$244:$C$263)))</f>
        <v>0</v>
      </c>
      <c r="H8" s="22">
        <f>IF(Eligibilité_projet!G13="Hors climat Mediterranéen",LOOKUP(RECant_biom!$A$8,'(ne pas modifier) BDD_REF'!$A$244:$A$263,'(ne pas modifier) BDD_REF'!$B$244:$B$263),IF(Eligibilité_projet!G13="",0,LOOKUP(RECant_biom!$A$8,'(ne pas modifier) BDD_REF'!$A$244:$A$263,'(ne pas modifier) BDD_REF'!$C$244:$C$263)))</f>
        <v>0</v>
      </c>
      <c r="I8" s="22">
        <f>IF(Eligibilité_projet!H13="Hors climat Mediterranéen",LOOKUP(RECant_biom!$A$8,'(ne pas modifier) BDD_REF'!$A$244:$A$263,'(ne pas modifier) BDD_REF'!$B$244:$B$263),IF(Eligibilité_projet!H13="",0,LOOKUP(RECant_biom!$A$8,'(ne pas modifier) BDD_REF'!$A$244:$A$263,'(ne pas modifier) BDD_REF'!$C$244:$C$263)))</f>
        <v>0</v>
      </c>
      <c r="J8" s="22">
        <f>IF(Eligibilité_projet!I13="Hors climat Mediterranéen",LOOKUP(RECant_biom!$A$8,'(ne pas modifier) BDD_REF'!$A$244:$A$263,'(ne pas modifier) BDD_REF'!$B$244:$B$263),IF(Eligibilité_projet!I13="",0,LOOKUP(RECant_biom!$A$8,'(ne pas modifier) BDD_REF'!$A$244:$A$263,'(ne pas modifier) BDD_REF'!$C$244:$C$263)))</f>
        <v>0</v>
      </c>
      <c r="K8" s="22">
        <f>IF(Eligibilité_projet!J13="Hors climat Mediterranéen",LOOKUP(RECant_biom!$A$8,'(ne pas modifier) BDD_REF'!$A$244:$A$263,'(ne pas modifier) BDD_REF'!$B$244:$B$263),IF(Eligibilité_projet!J13="",0,LOOKUP(RECant_biom!$A$8,'(ne pas modifier) BDD_REF'!$A$244:$A$263,'(ne pas modifier) BDD_REF'!$C$244:$C$263)))</f>
        <v>0</v>
      </c>
      <c r="L8" s="22">
        <f>IF(Eligibilité_projet!K13="Hors climat Mediterranéen",LOOKUP(RECant_biom!$A$8,'(ne pas modifier) BDD_REF'!$A$244:$A$263,'(ne pas modifier) BDD_REF'!$B$244:$B$263),IF(Eligibilité_projet!K13="",0,LOOKUP(RECant_biom!$A$8,'(ne pas modifier) BDD_REF'!$A$244:$A$263,'(ne pas modifier) BDD_REF'!$C$244:$C$263)))</f>
        <v>0</v>
      </c>
      <c r="M8" s="22">
        <f t="shared" si="0"/>
        <v>14.2</v>
      </c>
      <c r="N8" s="2"/>
      <c r="O8" s="2"/>
      <c r="P8" s="2"/>
      <c r="Q8" s="2"/>
    </row>
    <row r="9" spans="1:17" x14ac:dyDescent="0.3">
      <c r="A9" s="13">
        <v>5</v>
      </c>
      <c r="B9" s="7" t="s">
        <v>201</v>
      </c>
      <c r="C9" s="22">
        <f>IF(Eligibilité_projet!B13="Hors climat Mediterranéen",LOOKUP(RECant_biom!$A$9,'(ne pas modifier) BDD_REF'!$A$244:$A$263,'(ne pas modifier) BDD_REF'!$B$244:$B$263),IF(Eligibilité_projet!B13="",0,LOOKUP(RECant_biom!$A$9,'(ne pas modifier) BDD_REF'!$A$244:$A$263,'(ne pas modifier) BDD_REF'!$C$244:$C$263)))</f>
        <v>7.4</v>
      </c>
      <c r="D9" s="22">
        <f>IF(Eligibilité_projet!C13="Hors climat Mediterranéen",LOOKUP(RECant_biom!$A$9,'(ne pas modifier) BDD_REF'!$A$244:$A$263,'(ne pas modifier) BDD_REF'!$B$244:$B$263),IF(Eligibilité_projet!C13="",0,LOOKUP(RECant_biom!$A$9,'(ne pas modifier) BDD_REF'!$A$244:$A$263,'(ne pas modifier) BDD_REF'!$C$244:$C$263)))</f>
        <v>7.4</v>
      </c>
      <c r="E9" s="22">
        <f>IF(Eligibilité_projet!D13="Hors climat Mediterranéen",LOOKUP(RECant_biom!$A$9,'(ne pas modifier) BDD_REF'!$A$244:$A$263,'(ne pas modifier) BDD_REF'!$B$244:$B$263),IF(Eligibilité_projet!D13="",0,LOOKUP(RECant_biom!$A$9,'(ne pas modifier) BDD_REF'!$A$244:$A$263,'(ne pas modifier) BDD_REF'!$C$244:$C$263)))</f>
        <v>0</v>
      </c>
      <c r="F9" s="22">
        <f>IF(Eligibilité_projet!E13="Hors climat Mediterranéen",LOOKUP(RECant_biom!$A$9,'(ne pas modifier) BDD_REF'!$A$244:$A$263,'(ne pas modifier) BDD_REF'!$B$244:$B$263),IF(Eligibilité_projet!E13="",0,LOOKUP(RECant_biom!$A$9,'(ne pas modifier) BDD_REF'!$A$244:$A$263,'(ne pas modifier) BDD_REF'!$C$244:$C$263)))</f>
        <v>0</v>
      </c>
      <c r="G9" s="22">
        <f>IF(Eligibilité_projet!F13="Hors climat Mediterranéen",LOOKUP(RECant_biom!$A$9,'(ne pas modifier) BDD_REF'!$A$244:$A$263,'(ne pas modifier) BDD_REF'!$B$244:$B$263),IF(Eligibilité_projet!F13="",0,LOOKUP(RECant_biom!$A$9,'(ne pas modifier) BDD_REF'!$A$244:$A$263,'(ne pas modifier) BDD_REF'!$C$244:$C$263)))</f>
        <v>0</v>
      </c>
      <c r="H9" s="22">
        <f>IF(Eligibilité_projet!G13="Hors climat Mediterranéen",LOOKUP(RECant_biom!$A$9,'(ne pas modifier) BDD_REF'!$A$244:$A$263,'(ne pas modifier) BDD_REF'!$B$244:$B$263),IF(Eligibilité_projet!G13="",0,LOOKUP(RECant_biom!$A$9,'(ne pas modifier) BDD_REF'!$A$244:$A$263,'(ne pas modifier) BDD_REF'!$C$244:$C$263)))</f>
        <v>0</v>
      </c>
      <c r="I9" s="22">
        <f>IF(Eligibilité_projet!H13="Hors climat Mediterranéen",LOOKUP(RECant_biom!$A$9,'(ne pas modifier) BDD_REF'!$A$244:$A$263,'(ne pas modifier) BDD_REF'!$B$244:$B$263),IF(Eligibilité_projet!H13="",0,LOOKUP(RECant_biom!$A$9,'(ne pas modifier) BDD_REF'!$A$244:$A$263,'(ne pas modifier) BDD_REF'!$C$244:$C$263)))</f>
        <v>0</v>
      </c>
      <c r="J9" s="22">
        <f>IF(Eligibilité_projet!I13="Hors climat Mediterranéen",LOOKUP(RECant_biom!$A$9,'(ne pas modifier) BDD_REF'!$A$244:$A$263,'(ne pas modifier) BDD_REF'!$B$244:$B$263),IF(Eligibilité_projet!I13="",0,LOOKUP(RECant_biom!$A$9,'(ne pas modifier) BDD_REF'!$A$244:$A$263,'(ne pas modifier) BDD_REF'!$C$244:$C$263)))</f>
        <v>0</v>
      </c>
      <c r="K9" s="22">
        <f>IF(Eligibilité_projet!J13="Hors climat Mediterranéen",LOOKUP(RECant_biom!$A$9,'(ne pas modifier) BDD_REF'!$A$244:$A$263,'(ne pas modifier) BDD_REF'!$B$244:$B$263),IF(Eligibilité_projet!J13="",0,LOOKUP(RECant_biom!$A$9,'(ne pas modifier) BDD_REF'!$A$244:$A$263,'(ne pas modifier) BDD_REF'!$C$244:$C$263)))</f>
        <v>0</v>
      </c>
      <c r="L9" s="22">
        <f>IF(Eligibilité_projet!K13="Hors climat Mediterranéen",LOOKUP(RECant_biom!$A$9,'(ne pas modifier) BDD_REF'!$A$244:$A$263,'(ne pas modifier) BDD_REF'!$B$244:$B$263),IF(Eligibilité_projet!K13="",0,LOOKUP(RECant_biom!$A$9,'(ne pas modifier) BDD_REF'!$A$244:$A$263,'(ne pas modifier) BDD_REF'!$C$244:$C$263)))</f>
        <v>0</v>
      </c>
      <c r="M9" s="22">
        <f t="shared" si="0"/>
        <v>14.8</v>
      </c>
      <c r="N9" s="2"/>
      <c r="O9" s="2"/>
      <c r="P9" s="2"/>
      <c r="Q9" s="2"/>
    </row>
    <row r="10" spans="1:17" x14ac:dyDescent="0.3">
      <c r="A10" s="13">
        <v>6</v>
      </c>
      <c r="B10" s="7" t="s">
        <v>201</v>
      </c>
      <c r="C10" s="22">
        <f>IF(Eligibilité_projet!B13="Hors climat Mediterranéen",LOOKUP(RECant_biom!$A$10,'(ne pas modifier) BDD_REF'!$A$244:$A$263,'(ne pas modifier) BDD_REF'!$B$244:$B$263),IF(Eligibilité_projet!B13="",0,LOOKUP(RECant_biom!$A$10,'(ne pas modifier) BDD_REF'!$A$244:$A$263,'(ne pas modifier) BDD_REF'!$C$244:$C$263)))</f>
        <v>8.6</v>
      </c>
      <c r="D10" s="22">
        <f>IF(Eligibilité_projet!C13="Hors climat Mediterranéen",LOOKUP(RECant_biom!$A$10,'(ne pas modifier) BDD_REF'!$A$244:$A$263,'(ne pas modifier) BDD_REF'!$B$244:$B$263),IF(Eligibilité_projet!C13="",0,LOOKUP(RECant_biom!$A$10,'(ne pas modifier) BDD_REF'!$A$244:$A$263,'(ne pas modifier) BDD_REF'!$C$244:$C$263)))</f>
        <v>8.6</v>
      </c>
      <c r="E10" s="22">
        <f>IF(Eligibilité_projet!D13="Hors climat Mediterranéen",LOOKUP(RECant_biom!$A$10,'(ne pas modifier) BDD_REF'!$A$244:$A$263,'(ne pas modifier) BDD_REF'!$B$244:$B$263),IF(Eligibilité_projet!D13="",0,LOOKUP(RECant_biom!$A$10,'(ne pas modifier) BDD_REF'!$A$244:$A$263,'(ne pas modifier) BDD_REF'!$C$244:$C$263)))</f>
        <v>0</v>
      </c>
      <c r="F10" s="22">
        <f>IF(Eligibilité_projet!E13="Hors climat Mediterranéen",LOOKUP(RECant_biom!$A$10,'(ne pas modifier) BDD_REF'!$A$244:$A$263,'(ne pas modifier) BDD_REF'!$B$244:$B$263),IF(Eligibilité_projet!E13="",0,LOOKUP(RECant_biom!$A$10,'(ne pas modifier) BDD_REF'!$A$244:$A$263,'(ne pas modifier) BDD_REF'!$C$244:$C$263)))</f>
        <v>0</v>
      </c>
      <c r="G10" s="22">
        <f>IF(Eligibilité_projet!F13="Hors climat Mediterranéen",LOOKUP(RECant_biom!$A$10,'(ne pas modifier) BDD_REF'!$A$244:$A$263,'(ne pas modifier) BDD_REF'!$B$244:$B$263),IF(Eligibilité_projet!F13="",0,LOOKUP(RECant_biom!$A$10,'(ne pas modifier) BDD_REF'!$A$244:$A$263,'(ne pas modifier) BDD_REF'!$C$244:$C$263)))</f>
        <v>0</v>
      </c>
      <c r="H10" s="22">
        <f>IF(Eligibilité_projet!G13="Hors climat Mediterranéen",LOOKUP(RECant_biom!$A$10,'(ne pas modifier) BDD_REF'!$A$244:$A$263,'(ne pas modifier) BDD_REF'!$B$244:$B$263),IF(Eligibilité_projet!G13="",0,LOOKUP(RECant_biom!$A$10,'(ne pas modifier) BDD_REF'!$A$244:$A$263,'(ne pas modifier) BDD_REF'!$C$244:$C$263)))</f>
        <v>0</v>
      </c>
      <c r="I10" s="22">
        <f>IF(Eligibilité_projet!H13="Hors climat Mediterranéen",LOOKUP(RECant_biom!$A$10,'(ne pas modifier) BDD_REF'!$A$244:$A$263,'(ne pas modifier) BDD_REF'!$B$244:$B$263),IF(Eligibilité_projet!H13="",0,LOOKUP(RECant_biom!$A$10,'(ne pas modifier) BDD_REF'!$A$244:$A$263,'(ne pas modifier) BDD_REF'!$C$244:$C$263)))</f>
        <v>0</v>
      </c>
      <c r="J10" s="22">
        <f>IF(Eligibilité_projet!I13="Hors climat Mediterranéen",LOOKUP(RECant_biom!$A$10,'(ne pas modifier) BDD_REF'!$A$244:$A$263,'(ne pas modifier) BDD_REF'!$B$244:$B$263),IF(Eligibilité_projet!I13="",0,LOOKUP(RECant_biom!$A$10,'(ne pas modifier) BDD_REF'!$A$244:$A$263,'(ne pas modifier) BDD_REF'!$C$244:$C$263)))</f>
        <v>0</v>
      </c>
      <c r="K10" s="22">
        <f>IF(Eligibilité_projet!J13="Hors climat Mediterranéen",LOOKUP(RECant_biom!$A$10,'(ne pas modifier) BDD_REF'!$A$244:$A$263,'(ne pas modifier) BDD_REF'!$B$244:$B$263),IF(Eligibilité_projet!J13="",0,LOOKUP(RECant_biom!$A$10,'(ne pas modifier) BDD_REF'!$A$244:$A$263,'(ne pas modifier) BDD_REF'!$C$244:$C$263)))</f>
        <v>0</v>
      </c>
      <c r="L10" s="22">
        <f>IF(Eligibilité_projet!K13="Hors climat Mediterranéen",LOOKUP(RECant_biom!$A$10,'(ne pas modifier) BDD_REF'!$A$244:$A$263,'(ne pas modifier) BDD_REF'!$B$244:$B$263),IF(Eligibilité_projet!K13="",0,LOOKUP(RECant_biom!$A$10,'(ne pas modifier) BDD_REF'!$A$244:$A$263,'(ne pas modifier) BDD_REF'!$C$244:$C$263)))</f>
        <v>0</v>
      </c>
      <c r="M10" s="22">
        <f t="shared" si="0"/>
        <v>17.2</v>
      </c>
      <c r="N10" s="2"/>
      <c r="O10" s="2"/>
      <c r="P10" s="2"/>
      <c r="Q10" s="2"/>
    </row>
    <row r="11" spans="1:17" x14ac:dyDescent="0.3">
      <c r="A11" s="13">
        <v>7</v>
      </c>
      <c r="B11" s="7" t="s">
        <v>201</v>
      </c>
      <c r="C11" s="22">
        <f>IF(Eligibilité_projet!B13="Hors climat Mediterranéen",LOOKUP(RECant_biom!$A$11,'(ne pas modifier) BDD_REF'!$A$244:$A$263,'(ne pas modifier) BDD_REF'!$B$244:$B$263),IF(Eligibilité_projet!B13="",0,LOOKUP(RECant_biom!$A$11,'(ne pas modifier) BDD_REF'!$A$244:$A$263,'(ne pas modifier) BDD_REF'!$C$244:$C$263)))</f>
        <v>9.8000000000000007</v>
      </c>
      <c r="D11" s="22">
        <f>IF(Eligibilité_projet!C13="Hors climat Mediterranéen",LOOKUP(RECant_biom!$A$11,'(ne pas modifier) BDD_REF'!$A$244:$A$263,'(ne pas modifier) BDD_REF'!$B$244:$B$263),IF(Eligibilité_projet!C13="",0,LOOKUP(RECant_biom!$A$11,'(ne pas modifier) BDD_REF'!$A$244:$A$263,'(ne pas modifier) BDD_REF'!$C$244:$C$263)))</f>
        <v>9.8000000000000007</v>
      </c>
      <c r="E11" s="22">
        <f>IF(Eligibilité_projet!D13="Hors climat Mediterranéen",LOOKUP(RECant_biom!$A$11,'(ne pas modifier) BDD_REF'!$A$244:$A$263,'(ne pas modifier) BDD_REF'!$B$244:$B$263),IF(Eligibilité_projet!D13="",0,LOOKUP(RECant_biom!$A$11,'(ne pas modifier) BDD_REF'!$A$244:$A$263,'(ne pas modifier) BDD_REF'!$C$244:$C$263)))</f>
        <v>0</v>
      </c>
      <c r="F11" s="22">
        <f>IF(Eligibilité_projet!E13="Hors climat Mediterranéen",LOOKUP(RECant_biom!$A$11,'(ne pas modifier) BDD_REF'!$A$244:$A$263,'(ne pas modifier) BDD_REF'!$B$244:$B$263),IF(Eligibilité_projet!E13="",0,LOOKUP(RECant_biom!$A$11,'(ne pas modifier) BDD_REF'!$A$244:$A$263,'(ne pas modifier) BDD_REF'!$C$244:$C$263)))</f>
        <v>0</v>
      </c>
      <c r="G11" s="22">
        <f>IF(Eligibilité_projet!F13="Hors climat Mediterranéen",LOOKUP(RECant_biom!$A$11,'(ne pas modifier) BDD_REF'!$A$244:$A$263,'(ne pas modifier) BDD_REF'!$B$244:$B$263),IF(Eligibilité_projet!F13="",0,LOOKUP(RECant_biom!$A$11,'(ne pas modifier) BDD_REF'!$A$244:$A$263,'(ne pas modifier) BDD_REF'!$C$244:$C$263)))</f>
        <v>0</v>
      </c>
      <c r="H11" s="22">
        <f>IF(Eligibilité_projet!G13="Hors climat Mediterranéen",LOOKUP(RECant_biom!$A$11,'(ne pas modifier) BDD_REF'!$A$244:$A$263,'(ne pas modifier) BDD_REF'!$B$244:$B$263),IF(Eligibilité_projet!G13="",0,LOOKUP(RECant_biom!$A$11,'(ne pas modifier) BDD_REF'!$A$244:$A$263,'(ne pas modifier) BDD_REF'!$C$244:$C$263)))</f>
        <v>0</v>
      </c>
      <c r="I11" s="22">
        <f>IF(Eligibilité_projet!H13="Hors climat Mediterranéen",LOOKUP(RECant_biom!$A$11,'(ne pas modifier) BDD_REF'!$A$244:$A$263,'(ne pas modifier) BDD_REF'!$B$244:$B$263),IF(Eligibilité_projet!H13="",0,LOOKUP(RECant_biom!$A$11,'(ne pas modifier) BDD_REF'!$A$244:$A$263,'(ne pas modifier) BDD_REF'!$C$244:$C$263)))</f>
        <v>0</v>
      </c>
      <c r="J11" s="22">
        <f>IF(Eligibilité_projet!I13="Hors climat Mediterranéen",LOOKUP(RECant_biom!$A$11,'(ne pas modifier) BDD_REF'!$A$244:$A$263,'(ne pas modifier) BDD_REF'!$B$244:$B$263),IF(Eligibilité_projet!I13="",0,LOOKUP(RECant_biom!$A$11,'(ne pas modifier) BDD_REF'!$A$244:$A$263,'(ne pas modifier) BDD_REF'!$C$244:$C$263)))</f>
        <v>0</v>
      </c>
      <c r="K11" s="22">
        <f>IF(Eligibilité_projet!J13="Hors climat Mediterranéen",LOOKUP(RECant_biom!$A$11,'(ne pas modifier) BDD_REF'!$A$244:$A$263,'(ne pas modifier) BDD_REF'!$B$244:$B$263),IF(Eligibilité_projet!J13="",0,LOOKUP(RECant_biom!$A$11,'(ne pas modifier) BDD_REF'!$A$244:$A$263,'(ne pas modifier) BDD_REF'!$C$244:$C$263)))</f>
        <v>0</v>
      </c>
      <c r="L11" s="22">
        <f>IF(Eligibilité_projet!K13="Hors climat Mediterranéen",LOOKUP(RECant_biom!$A$11,'(ne pas modifier) BDD_REF'!$A$244:$A$263,'(ne pas modifier) BDD_REF'!$B$244:$B$263),IF(Eligibilité_projet!K13="",0,LOOKUP(RECant_biom!$A$11,'(ne pas modifier) BDD_REF'!$A$244:$A$263,'(ne pas modifier) BDD_REF'!$C$244:$C$263)))</f>
        <v>0</v>
      </c>
      <c r="M11" s="22">
        <f t="shared" si="0"/>
        <v>19.600000000000001</v>
      </c>
      <c r="N11" s="2"/>
      <c r="O11" s="2"/>
      <c r="P11" s="2"/>
      <c r="Q11" s="2"/>
    </row>
    <row r="12" spans="1:17" x14ac:dyDescent="0.3">
      <c r="A12" s="13">
        <v>8</v>
      </c>
      <c r="B12" s="7" t="s">
        <v>201</v>
      </c>
      <c r="C12" s="22">
        <f>IF(Eligibilité_projet!B13="Hors climat Mediterranéen",LOOKUP(RECant_biom!$A$12,'(ne pas modifier) BDD_REF'!$A$244:$A$263,'(ne pas modifier) BDD_REF'!$B$244:$B$263),IF(Eligibilité_projet!B13="",0,LOOKUP(RECant_biom!$A$12,'(ne pas modifier) BDD_REF'!$A$244:$A$263,'(ne pas modifier) BDD_REF'!$C$244:$C$263)))</f>
        <v>11.1</v>
      </c>
      <c r="D12" s="22">
        <f>IF(Eligibilité_projet!C13="Hors climat Mediterranéen",LOOKUP(RECant_biom!$A$12,'(ne pas modifier) BDD_REF'!$A$244:$A$263,'(ne pas modifier) BDD_REF'!$B$244:$B$263),IF(Eligibilité_projet!C13="",0,LOOKUP(RECant_biom!$A$12,'(ne pas modifier) BDD_REF'!$A$244:$A$263,'(ne pas modifier) BDD_REF'!$C$244:$C$263)))</f>
        <v>11.1</v>
      </c>
      <c r="E12" s="22">
        <f>IF(Eligibilité_projet!D13="Hors climat Mediterranéen",LOOKUP(RECant_biom!$A$12,'(ne pas modifier) BDD_REF'!$A$244:$A$263,'(ne pas modifier) BDD_REF'!$B$244:$B$263),IF(Eligibilité_projet!D13="",0,LOOKUP(RECant_biom!$A$12,'(ne pas modifier) BDD_REF'!$A$244:$A$263,'(ne pas modifier) BDD_REF'!$C$244:$C$263)))</f>
        <v>0</v>
      </c>
      <c r="F12" s="22">
        <f>IF(Eligibilité_projet!E13="Hors climat Mediterranéen",LOOKUP(RECant_biom!$A$12,'(ne pas modifier) BDD_REF'!$A$244:$A$263,'(ne pas modifier) BDD_REF'!$B$244:$B$263),IF(Eligibilité_projet!E13="",0,LOOKUP(RECant_biom!$A$12,'(ne pas modifier) BDD_REF'!$A$244:$A$263,'(ne pas modifier) BDD_REF'!$C$244:$C$263)))</f>
        <v>0</v>
      </c>
      <c r="G12" s="22">
        <f>IF(Eligibilité_projet!F13="Hors climat Mediterranéen",LOOKUP(RECant_biom!$A$12,'(ne pas modifier) BDD_REF'!$A$244:$A$263,'(ne pas modifier) BDD_REF'!$B$244:$B$263),IF(Eligibilité_projet!F13="",0,LOOKUP(RECant_biom!$A$12,'(ne pas modifier) BDD_REF'!$A$244:$A$263,'(ne pas modifier) BDD_REF'!$C$244:$C$263)))</f>
        <v>0</v>
      </c>
      <c r="H12" s="22">
        <f>IF(Eligibilité_projet!G13="Hors climat Mediterranéen",LOOKUP(RECant_biom!$A$12,'(ne pas modifier) BDD_REF'!$A$244:$A$263,'(ne pas modifier) BDD_REF'!$B$244:$B$263),IF(Eligibilité_projet!G13="",0,LOOKUP(RECant_biom!$A$12,'(ne pas modifier) BDD_REF'!$A$244:$A$263,'(ne pas modifier) BDD_REF'!$C$244:$C$263)))</f>
        <v>0</v>
      </c>
      <c r="I12" s="22">
        <f>IF(Eligibilité_projet!H13="Hors climat Mediterranéen",LOOKUP(RECant_biom!$A$12,'(ne pas modifier) BDD_REF'!$A$244:$A$263,'(ne pas modifier) BDD_REF'!$B$244:$B$263),IF(Eligibilité_projet!H13="",0,LOOKUP(RECant_biom!$A$12,'(ne pas modifier) BDD_REF'!$A$244:$A$263,'(ne pas modifier) BDD_REF'!$C$244:$C$263)))</f>
        <v>0</v>
      </c>
      <c r="J12" s="22">
        <f>IF(Eligibilité_projet!I13="Hors climat Mediterranéen",LOOKUP(RECant_biom!$A$12,'(ne pas modifier) BDD_REF'!$A$244:$A$263,'(ne pas modifier) BDD_REF'!$B$244:$B$263),IF(Eligibilité_projet!I13="",0,LOOKUP(RECant_biom!$A$12,'(ne pas modifier) BDD_REF'!$A$244:$A$263,'(ne pas modifier) BDD_REF'!$C$244:$C$263)))</f>
        <v>0</v>
      </c>
      <c r="K12" s="22">
        <f>IF(Eligibilité_projet!J13="Hors climat Mediterranéen",LOOKUP(RECant_biom!$A$12,'(ne pas modifier) BDD_REF'!$A$244:$A$263,'(ne pas modifier) BDD_REF'!$B$244:$B$263),IF(Eligibilité_projet!J13="",0,LOOKUP(RECant_biom!$A$12,'(ne pas modifier) BDD_REF'!$A$244:$A$263,'(ne pas modifier) BDD_REF'!$C$244:$C$263)))</f>
        <v>0</v>
      </c>
      <c r="L12" s="22">
        <f>IF(Eligibilité_projet!K13="Hors climat Mediterranéen",LOOKUP(RECant_biom!$A$12,'(ne pas modifier) BDD_REF'!$A$244:$A$263,'(ne pas modifier) BDD_REF'!$B$244:$B$263),IF(Eligibilité_projet!K13="",0,LOOKUP(RECant_biom!$A$12,'(ne pas modifier) BDD_REF'!$A$244:$A$263,'(ne pas modifier) BDD_REF'!$C$244:$C$263)))</f>
        <v>0</v>
      </c>
      <c r="M12" s="22">
        <f t="shared" si="0"/>
        <v>22.2</v>
      </c>
      <c r="N12" s="2"/>
      <c r="O12" s="2"/>
      <c r="P12" s="2"/>
      <c r="Q12" s="2"/>
    </row>
    <row r="13" spans="1:17" x14ac:dyDescent="0.3">
      <c r="A13" s="13">
        <v>9</v>
      </c>
      <c r="B13" s="7" t="s">
        <v>201</v>
      </c>
      <c r="C13" s="22">
        <f>IF(Eligibilité_projet!B13="Hors climat Mediterranéen",LOOKUP(RECant_biom!$A$13,'(ne pas modifier) BDD_REF'!$A$244:$A$263,'(ne pas modifier) BDD_REF'!$B$244:$B$263),IF(Eligibilité_projet!B13="",0,LOOKUP(RECant_biom!$A$13,'(ne pas modifier) BDD_REF'!$A$244:$A$263,'(ne pas modifier) BDD_REF'!$C$244:$C$263)))</f>
        <v>12.3</v>
      </c>
      <c r="D13" s="22">
        <f>IF(Eligibilité_projet!C13="Hors climat Mediterranéen",LOOKUP(RECant_biom!$A$13,'(ne pas modifier) BDD_REF'!$A$244:$A$263,'(ne pas modifier) BDD_REF'!$B$244:$B$263),IF(Eligibilité_projet!C13="",0,LOOKUP(RECant_biom!$A$13,'(ne pas modifier) BDD_REF'!$A$244:$A$263,'(ne pas modifier) BDD_REF'!$C$244:$C$263)))</f>
        <v>12.3</v>
      </c>
      <c r="E13" s="22">
        <f>IF(Eligibilité_projet!D13="Hors climat Mediterranéen",LOOKUP(RECant_biom!$A$13,'(ne pas modifier) BDD_REF'!$A$244:$A$263,'(ne pas modifier) BDD_REF'!$B$244:$B$263),IF(Eligibilité_projet!D13="",0,LOOKUP(RECant_biom!$A$13,'(ne pas modifier) BDD_REF'!$A$244:$A$263,'(ne pas modifier) BDD_REF'!$C$244:$C$263)))</f>
        <v>0</v>
      </c>
      <c r="F13" s="22">
        <f>IF(Eligibilité_projet!E13="Hors climat Mediterranéen",LOOKUP(RECant_biom!$A$13,'(ne pas modifier) BDD_REF'!$A$244:$A$263,'(ne pas modifier) BDD_REF'!$B$244:$B$263),IF(Eligibilité_projet!E13="",0,LOOKUP(RECant_biom!$A$13,'(ne pas modifier) BDD_REF'!$A$244:$A$263,'(ne pas modifier) BDD_REF'!$C$244:$C$263)))</f>
        <v>0</v>
      </c>
      <c r="G13" s="22">
        <f>IF(Eligibilité_projet!F13="Hors climat Mediterranéen",LOOKUP(RECant_biom!$A$13,'(ne pas modifier) BDD_REF'!$A$244:$A$263,'(ne pas modifier) BDD_REF'!$B$244:$B$263),IF(Eligibilité_projet!F13="",0,LOOKUP(RECant_biom!$A$13,'(ne pas modifier) BDD_REF'!$A$244:$A$263,'(ne pas modifier) BDD_REF'!$C$244:$C$263)))</f>
        <v>0</v>
      </c>
      <c r="H13" s="22">
        <f>IF(Eligibilité_projet!G13="Hors climat Mediterranéen",LOOKUP(RECant_biom!$A$13,'(ne pas modifier) BDD_REF'!$A$244:$A$263,'(ne pas modifier) BDD_REF'!$B$244:$B$263),IF(Eligibilité_projet!G13="",0,LOOKUP(RECant_biom!$A$13,'(ne pas modifier) BDD_REF'!$A$244:$A$263,'(ne pas modifier) BDD_REF'!$C$244:$C$263)))</f>
        <v>0</v>
      </c>
      <c r="I13" s="22">
        <f>IF(Eligibilité_projet!H13="Hors climat Mediterranéen",LOOKUP(RECant_biom!$A$13,'(ne pas modifier) BDD_REF'!$A$244:$A$263,'(ne pas modifier) BDD_REF'!$B$244:$B$263),IF(Eligibilité_projet!H13="",0,LOOKUP(RECant_biom!$A$13,'(ne pas modifier) BDD_REF'!$A$244:$A$263,'(ne pas modifier) BDD_REF'!$C$244:$C$263)))</f>
        <v>0</v>
      </c>
      <c r="J13" s="22">
        <f>IF(Eligibilité_projet!I13="Hors climat Mediterranéen",LOOKUP(RECant_biom!$A$13,'(ne pas modifier) BDD_REF'!$A$244:$A$263,'(ne pas modifier) BDD_REF'!$B$244:$B$263),IF(Eligibilité_projet!I13="",0,LOOKUP(RECant_biom!$A$13,'(ne pas modifier) BDD_REF'!$A$244:$A$263,'(ne pas modifier) BDD_REF'!$C$244:$C$263)))</f>
        <v>0</v>
      </c>
      <c r="K13" s="22">
        <f>IF(Eligibilité_projet!J13="Hors climat Mediterranéen",LOOKUP(RECant_biom!$A$13,'(ne pas modifier) BDD_REF'!$A$244:$A$263,'(ne pas modifier) BDD_REF'!$B$244:$B$263),IF(Eligibilité_projet!J13="",0,LOOKUP(RECant_biom!$A$13,'(ne pas modifier) BDD_REF'!$A$244:$A$263,'(ne pas modifier) BDD_REF'!$C$244:$C$263)))</f>
        <v>0</v>
      </c>
      <c r="L13" s="22">
        <f>IF(Eligibilité_projet!K13="Hors climat Mediterranéen",LOOKUP(RECant_biom!$A$13,'(ne pas modifier) BDD_REF'!$A$244:$A$263,'(ne pas modifier) BDD_REF'!$B$244:$B$263),IF(Eligibilité_projet!K13="",0,LOOKUP(RECant_biom!$A$13,'(ne pas modifier) BDD_REF'!$A$244:$A$263,'(ne pas modifier) BDD_REF'!$C$244:$C$263)))</f>
        <v>0</v>
      </c>
      <c r="M13" s="22">
        <f t="shared" si="0"/>
        <v>24.6</v>
      </c>
      <c r="N13" s="2"/>
      <c r="O13" s="2"/>
      <c r="P13" s="2"/>
      <c r="Q13" s="2"/>
    </row>
    <row r="14" spans="1:17" x14ac:dyDescent="0.3">
      <c r="A14" s="13">
        <v>10</v>
      </c>
      <c r="B14" s="7" t="s">
        <v>201</v>
      </c>
      <c r="C14" s="22">
        <f>IF(Eligibilité_projet!B13="Hors climat Mediterranéen",LOOKUP(RECant_biom!$A$14,'(ne pas modifier) BDD_REF'!$A$244:$A$263,'(ne pas modifier) BDD_REF'!$B$244:$B$263),IF(Eligibilité_projet!B13="",0,LOOKUP(RECant_biom!$A$14,'(ne pas modifier) BDD_REF'!$A$244:$A$263,'(ne pas modifier) BDD_REF'!$C$244:$C$263)))</f>
        <v>13.5</v>
      </c>
      <c r="D14" s="22">
        <f>IF(Eligibilité_projet!C13="Hors climat Mediterranéen",LOOKUP(RECant_biom!$A$14,'(ne pas modifier) BDD_REF'!$A$244:$A$263,'(ne pas modifier) BDD_REF'!$B$244:$B$263),IF(Eligibilité_projet!C13="",0,LOOKUP(RECant_biom!$A$14,'(ne pas modifier) BDD_REF'!$A$244:$A$263,'(ne pas modifier) BDD_REF'!$C$244:$C$263)))</f>
        <v>13.5</v>
      </c>
      <c r="E14" s="22">
        <f>IF(Eligibilité_projet!D13="Hors climat Mediterranéen",LOOKUP(RECant_biom!$A$14,'(ne pas modifier) BDD_REF'!$A$244:$A$263,'(ne pas modifier) BDD_REF'!$B$244:$B$263),IF(Eligibilité_projet!D13="",0,LOOKUP(RECant_biom!$A$14,'(ne pas modifier) BDD_REF'!$A$244:$A$263,'(ne pas modifier) BDD_REF'!$C$244:$C$263)))</f>
        <v>0</v>
      </c>
      <c r="F14" s="22">
        <f>IF(Eligibilité_projet!E13="Hors climat Mediterranéen",LOOKUP(RECant_biom!$A$14,'(ne pas modifier) BDD_REF'!$A$244:$A$263,'(ne pas modifier) BDD_REF'!$B$244:$B$263),IF(Eligibilité_projet!E13="",0,LOOKUP(RECant_biom!$A$14,'(ne pas modifier) BDD_REF'!$A$244:$A$263,'(ne pas modifier) BDD_REF'!$C$244:$C$263)))</f>
        <v>0</v>
      </c>
      <c r="G14" s="22">
        <f>IF(Eligibilité_projet!F13="Hors climat Mediterranéen",LOOKUP(RECant_biom!$A$14,'(ne pas modifier) BDD_REF'!$A$244:$A$263,'(ne pas modifier) BDD_REF'!$B$244:$B$263),IF(Eligibilité_projet!F13="",0,LOOKUP(RECant_biom!$A$14,'(ne pas modifier) BDD_REF'!$A$244:$A$263,'(ne pas modifier) BDD_REF'!$C$244:$C$263)))</f>
        <v>0</v>
      </c>
      <c r="H14" s="22">
        <f>IF(Eligibilité_projet!G13="Hors climat Mediterranéen",LOOKUP(RECant_biom!$A$14,'(ne pas modifier) BDD_REF'!$A$244:$A$263,'(ne pas modifier) BDD_REF'!$B$244:$B$263),IF(Eligibilité_projet!G13="",0,LOOKUP(RECant_biom!$A$14,'(ne pas modifier) BDD_REF'!$A$244:$A$263,'(ne pas modifier) BDD_REF'!$C$244:$C$263)))</f>
        <v>0</v>
      </c>
      <c r="I14" s="22">
        <f>IF(Eligibilité_projet!H13="Hors climat Mediterranéen",LOOKUP(RECant_biom!$A$14,'(ne pas modifier) BDD_REF'!$A$244:$A$263,'(ne pas modifier) BDD_REF'!$B$244:$B$263),IF(Eligibilité_projet!H13="",0,LOOKUP(RECant_biom!$A$14,'(ne pas modifier) BDD_REF'!$A$244:$A$263,'(ne pas modifier) BDD_REF'!$C$244:$C$263)))</f>
        <v>0</v>
      </c>
      <c r="J14" s="22">
        <f>IF(Eligibilité_projet!I13="Hors climat Mediterranéen",LOOKUP(RECant_biom!$A$14,'(ne pas modifier) BDD_REF'!$A$244:$A$263,'(ne pas modifier) BDD_REF'!$B$244:$B$263),IF(Eligibilité_projet!I13="",0,LOOKUP(RECant_biom!$A$14,'(ne pas modifier) BDD_REF'!$A$244:$A$263,'(ne pas modifier) BDD_REF'!$C$244:$C$263)))</f>
        <v>0</v>
      </c>
      <c r="K14" s="22">
        <f>IF(Eligibilité_projet!J13="Hors climat Mediterranéen",LOOKUP(RECant_biom!$A$14,'(ne pas modifier) BDD_REF'!$A$244:$A$263,'(ne pas modifier) BDD_REF'!$B$244:$B$263),IF(Eligibilité_projet!J13="",0,LOOKUP(RECant_biom!$A$14,'(ne pas modifier) BDD_REF'!$A$244:$A$263,'(ne pas modifier) BDD_REF'!$C$244:$C$263)))</f>
        <v>0</v>
      </c>
      <c r="L14" s="22">
        <f>IF(Eligibilité_projet!K13="Hors climat Mediterranéen",LOOKUP(RECant_biom!$A$14,'(ne pas modifier) BDD_REF'!$A$244:$A$263,'(ne pas modifier) BDD_REF'!$B$244:$B$263),IF(Eligibilité_projet!K13="",0,LOOKUP(RECant_biom!$A$14,'(ne pas modifier) BDD_REF'!$A$244:$A$263,'(ne pas modifier) BDD_REF'!$C$244:$C$263)))</f>
        <v>0</v>
      </c>
      <c r="M14" s="22">
        <f t="shared" si="0"/>
        <v>27</v>
      </c>
      <c r="N14" s="2"/>
      <c r="O14" s="2"/>
      <c r="P14" s="2"/>
      <c r="Q14" s="2"/>
    </row>
    <row r="15" spans="1:17" x14ac:dyDescent="0.3">
      <c r="A15" s="13">
        <v>11</v>
      </c>
      <c r="B15" s="7" t="s">
        <v>201</v>
      </c>
      <c r="C15" s="22">
        <f>IF(Eligibilité_projet!B13="Hors climat Mediterranéen",LOOKUP(RECant_biom!$A$15,'(ne pas modifier) BDD_REF'!$A$244:$A$263,'(ne pas modifier) BDD_REF'!$B$244:$B$263),IF(Eligibilité_projet!B13="",0,LOOKUP(RECant_biom!$A$15,'(ne pas modifier) BDD_REF'!$A$244:$A$263,'(ne pas modifier) BDD_REF'!$C$244:$C$263)))</f>
        <v>13.9</v>
      </c>
      <c r="D15" s="22">
        <f>IF(Eligibilité_projet!C13="Hors climat Mediterranéen",LOOKUP(RECant_biom!$A$15,'(ne pas modifier) BDD_REF'!$A$244:$A$263,'(ne pas modifier) BDD_REF'!$B$244:$B$263),IF(Eligibilité_projet!C13="",0,LOOKUP(RECant_biom!$A$15,'(ne pas modifier) BDD_REF'!$A$244:$A$263,'(ne pas modifier) BDD_REF'!$C$244:$C$263)))</f>
        <v>13.9</v>
      </c>
      <c r="E15" s="22">
        <f>IF(Eligibilité_projet!D13="Hors climat Mediterranéen",LOOKUP(RECant_biom!$A$15,'(ne pas modifier) BDD_REF'!$A$244:$A$263,'(ne pas modifier) BDD_REF'!$B$244:$B$263),IF(Eligibilité_projet!D13="",0,LOOKUP(RECant_biom!$A$15,'(ne pas modifier) BDD_REF'!$A$244:$A$263,'(ne pas modifier) BDD_REF'!$C$244:$C$263)))</f>
        <v>0</v>
      </c>
      <c r="F15" s="22">
        <f>IF(Eligibilité_projet!E13="Hors climat Mediterranéen",LOOKUP(RECant_biom!$A$15,'(ne pas modifier) BDD_REF'!$A$244:$A$263,'(ne pas modifier) BDD_REF'!$B$244:$B$263),IF(Eligibilité_projet!E13="",0,LOOKUP(RECant_biom!$A$15,'(ne pas modifier) BDD_REF'!$A$244:$A$263,'(ne pas modifier) BDD_REF'!$C$244:$C$263)))</f>
        <v>0</v>
      </c>
      <c r="G15" s="22">
        <f>IF(Eligibilité_projet!F13="Hors climat Mediterranéen",LOOKUP(RECant_biom!$A$15,'(ne pas modifier) BDD_REF'!$A$244:$A$263,'(ne pas modifier) BDD_REF'!$B$244:$B$263),IF(Eligibilité_projet!F13="",0,LOOKUP(RECant_biom!$A$15,'(ne pas modifier) BDD_REF'!$A$244:$A$263,'(ne pas modifier) BDD_REF'!$C$244:$C$263)))</f>
        <v>0</v>
      </c>
      <c r="H15" s="22">
        <f>IF(Eligibilité_projet!G13="Hors climat Mediterranéen",LOOKUP(RECant_biom!$A$15,'(ne pas modifier) BDD_REF'!$A$244:$A$263,'(ne pas modifier) BDD_REF'!$B$244:$B$263),IF(Eligibilité_projet!G13="",0,LOOKUP(RECant_biom!$A$15,'(ne pas modifier) BDD_REF'!$A$244:$A$263,'(ne pas modifier) BDD_REF'!$C$244:$C$263)))</f>
        <v>0</v>
      </c>
      <c r="I15" s="22">
        <f>IF(Eligibilité_projet!H13="Hors climat Mediterranéen",LOOKUP(RECant_biom!$A$15,'(ne pas modifier) BDD_REF'!$A$244:$A$263,'(ne pas modifier) BDD_REF'!$B$244:$B$263),IF(Eligibilité_projet!H13="",0,LOOKUP(RECant_biom!$A$15,'(ne pas modifier) BDD_REF'!$A$244:$A$263,'(ne pas modifier) BDD_REF'!$C$244:$C$263)))</f>
        <v>0</v>
      </c>
      <c r="J15" s="22">
        <f>IF(Eligibilité_projet!I13="Hors climat Mediterranéen",LOOKUP(RECant_biom!$A$15,'(ne pas modifier) BDD_REF'!$A$244:$A$263,'(ne pas modifier) BDD_REF'!$B$244:$B$263),IF(Eligibilité_projet!I13="",0,LOOKUP(RECant_biom!$A$15,'(ne pas modifier) BDD_REF'!$A$244:$A$263,'(ne pas modifier) BDD_REF'!$C$244:$C$263)))</f>
        <v>0</v>
      </c>
      <c r="K15" s="22">
        <f>IF(Eligibilité_projet!J13="Hors climat Mediterranéen",LOOKUP(RECant_biom!$A$15,'(ne pas modifier) BDD_REF'!$A$244:$A$263,'(ne pas modifier) BDD_REF'!$B$244:$B$263),IF(Eligibilité_projet!J13="",0,LOOKUP(RECant_biom!$A$15,'(ne pas modifier) BDD_REF'!$A$244:$A$263,'(ne pas modifier) BDD_REF'!$C$244:$C$263)))</f>
        <v>0</v>
      </c>
      <c r="L15" s="22">
        <f>IF(Eligibilité_projet!K13="Hors climat Mediterranéen",LOOKUP(RECant_biom!$A$15,'(ne pas modifier) BDD_REF'!$A$244:$A$263,'(ne pas modifier) BDD_REF'!$B$244:$B$263),IF(Eligibilité_projet!K13="",0,LOOKUP(RECant_biom!$A$15,'(ne pas modifier) BDD_REF'!$A$244:$A$263,'(ne pas modifier) BDD_REF'!$C$244:$C$263)))</f>
        <v>0</v>
      </c>
      <c r="M15" s="22">
        <f t="shared" si="0"/>
        <v>27.8</v>
      </c>
      <c r="N15" s="2"/>
      <c r="O15" s="2"/>
      <c r="P15" s="2"/>
      <c r="Q15" s="2"/>
    </row>
    <row r="16" spans="1:17" x14ac:dyDescent="0.3">
      <c r="A16" s="13">
        <v>12</v>
      </c>
      <c r="B16" s="7" t="s">
        <v>201</v>
      </c>
      <c r="C16" s="22">
        <f>IF(Eligibilité_projet!B13="Hors climat Mediterranéen",LOOKUP(RECant_biom!$A$16,'(ne pas modifier) BDD_REF'!$A$244:$A$263,'(ne pas modifier) BDD_REF'!$B$244:$B$263),IF(Eligibilité_projet!B13="",0,LOOKUP(RECant_biom!$A$16,'(ne pas modifier) BDD_REF'!$A$244:$A$263,'(ne pas modifier) BDD_REF'!$C$244:$C$263)))</f>
        <v>14.3</v>
      </c>
      <c r="D16" s="22">
        <f>IF(Eligibilité_projet!C13="Hors climat Mediterranéen",LOOKUP(RECant_biom!$A$16,'(ne pas modifier) BDD_REF'!$A$244:$A$263,'(ne pas modifier) BDD_REF'!$B$244:$B$263),IF(Eligibilité_projet!C13="",0,LOOKUP(RECant_biom!$A$16,'(ne pas modifier) BDD_REF'!$A$244:$A$263,'(ne pas modifier) BDD_REF'!$C$244:$C$263)))</f>
        <v>14.3</v>
      </c>
      <c r="E16" s="22">
        <f>IF(Eligibilité_projet!D13="Hors climat Mediterranéen",LOOKUP(RECant_biom!$A$16,'(ne pas modifier) BDD_REF'!$A$244:$A$263,'(ne pas modifier) BDD_REF'!$B$244:$B$263),IF(Eligibilité_projet!D13="",0,LOOKUP(RECant_biom!$A$16,'(ne pas modifier) BDD_REF'!$A$244:$A$263,'(ne pas modifier) BDD_REF'!$C$244:$C$263)))</f>
        <v>0</v>
      </c>
      <c r="F16" s="22">
        <f>IF(Eligibilité_projet!E13="Hors climat Mediterranéen",LOOKUP(RECant_biom!$A$16,'(ne pas modifier) BDD_REF'!$A$244:$A$263,'(ne pas modifier) BDD_REF'!$B$244:$B$263),IF(Eligibilité_projet!E13="",0,LOOKUP(RECant_biom!$A$16,'(ne pas modifier) BDD_REF'!$A$244:$A$263,'(ne pas modifier) BDD_REF'!$C$244:$C$263)))</f>
        <v>0</v>
      </c>
      <c r="G16" s="22">
        <f>IF(Eligibilité_projet!F13="Hors climat Mediterranéen",LOOKUP(RECant_biom!$A$16,'(ne pas modifier) BDD_REF'!$A$244:$A$263,'(ne pas modifier) BDD_REF'!$B$244:$B$263),IF(Eligibilité_projet!F13="",0,LOOKUP(RECant_biom!$A$16,'(ne pas modifier) BDD_REF'!$A$244:$A$263,'(ne pas modifier) BDD_REF'!$C$244:$C$263)))</f>
        <v>0</v>
      </c>
      <c r="H16" s="22">
        <f>IF(Eligibilité_projet!G13="Hors climat Mediterranéen",LOOKUP(RECant_biom!$A$16,'(ne pas modifier) BDD_REF'!$A$244:$A$263,'(ne pas modifier) BDD_REF'!$B$244:$B$263),IF(Eligibilité_projet!G13="",0,LOOKUP(RECant_biom!$A$16,'(ne pas modifier) BDD_REF'!$A$244:$A$263,'(ne pas modifier) BDD_REF'!$C$244:$C$263)))</f>
        <v>0</v>
      </c>
      <c r="I16" s="22">
        <f>IF(Eligibilité_projet!H13="Hors climat Mediterranéen",LOOKUP(RECant_biom!$A$16,'(ne pas modifier) BDD_REF'!$A$244:$A$263,'(ne pas modifier) BDD_REF'!$B$244:$B$263),IF(Eligibilité_projet!H13="",0,LOOKUP(RECant_biom!$A$16,'(ne pas modifier) BDD_REF'!$A$244:$A$263,'(ne pas modifier) BDD_REF'!$C$244:$C$263)))</f>
        <v>0</v>
      </c>
      <c r="J16" s="22">
        <f>IF(Eligibilité_projet!I13="Hors climat Mediterranéen",LOOKUP(RECant_biom!$A$16,'(ne pas modifier) BDD_REF'!$A$244:$A$263,'(ne pas modifier) BDD_REF'!$B$244:$B$263),IF(Eligibilité_projet!I13="",0,LOOKUP(RECant_biom!$A$16,'(ne pas modifier) BDD_REF'!$A$244:$A$263,'(ne pas modifier) BDD_REF'!$C$244:$C$263)))</f>
        <v>0</v>
      </c>
      <c r="K16" s="22">
        <f>IF(Eligibilité_projet!J13="Hors climat Mediterranéen",LOOKUP(RECant_biom!$A$16,'(ne pas modifier) BDD_REF'!$A$244:$A$263,'(ne pas modifier) BDD_REF'!$B$244:$B$263),IF(Eligibilité_projet!J13="",0,LOOKUP(RECant_biom!$A$16,'(ne pas modifier) BDD_REF'!$A$244:$A$263,'(ne pas modifier) BDD_REF'!$C$244:$C$263)))</f>
        <v>0</v>
      </c>
      <c r="L16" s="22">
        <f>IF(Eligibilité_projet!K13="Hors climat Mediterranéen",LOOKUP(RECant_biom!$A$16,'(ne pas modifier) BDD_REF'!$A$244:$A$263,'(ne pas modifier) BDD_REF'!$B$244:$B$263),IF(Eligibilité_projet!K13="",0,LOOKUP(RECant_biom!$A$16,'(ne pas modifier) BDD_REF'!$A$244:$A$263,'(ne pas modifier) BDD_REF'!$C$244:$C$263)))</f>
        <v>0</v>
      </c>
      <c r="M16" s="22">
        <f t="shared" si="0"/>
        <v>28.6</v>
      </c>
      <c r="N16" s="2"/>
      <c r="O16" s="2"/>
      <c r="P16" s="2"/>
      <c r="Q16" s="2"/>
    </row>
    <row r="17" spans="1:17" x14ac:dyDescent="0.3">
      <c r="A17" s="13">
        <v>13</v>
      </c>
      <c r="B17" s="7" t="s">
        <v>201</v>
      </c>
      <c r="C17" s="22">
        <f>IF(Eligibilité_projet!B13="Hors climat Mediterranéen",LOOKUP(RECant_biom!$A$17,'(ne pas modifier) BDD_REF'!$A$244:$A$263,'(ne pas modifier) BDD_REF'!$B$244:$B$263),IF(Eligibilité_projet!B13="",0,LOOKUP(RECant_biom!$A$17,'(ne pas modifier) BDD_REF'!$A$244:$A$263,'(ne pas modifier) BDD_REF'!$C$244:$C$263)))</f>
        <v>14.7</v>
      </c>
      <c r="D17" s="22">
        <f>IF(Eligibilité_projet!C13="Hors climat Mediterranéen",LOOKUP(RECant_biom!$A$17,'(ne pas modifier) BDD_REF'!$A$244:$A$263,'(ne pas modifier) BDD_REF'!$B$244:$B$263),IF(Eligibilité_projet!C13="",0,LOOKUP(RECant_biom!$A$17,'(ne pas modifier) BDD_REF'!$A$244:$A$263,'(ne pas modifier) BDD_REF'!$C$244:$C$263)))</f>
        <v>14.7</v>
      </c>
      <c r="E17" s="22">
        <f>IF(Eligibilité_projet!D13="Hors climat Mediterranéen",LOOKUP(RECant_biom!$A$17,'(ne pas modifier) BDD_REF'!$A$244:$A$263,'(ne pas modifier) BDD_REF'!$B$244:$B$263),IF(Eligibilité_projet!D13="",0,LOOKUP(RECant_biom!$A$17,'(ne pas modifier) BDD_REF'!$A$244:$A$263,'(ne pas modifier) BDD_REF'!$C$244:$C$263)))</f>
        <v>0</v>
      </c>
      <c r="F17" s="22">
        <f>IF(Eligibilité_projet!E13="Hors climat Mediterranéen",LOOKUP(RECant_biom!$A$17,'(ne pas modifier) BDD_REF'!$A$244:$A$263,'(ne pas modifier) BDD_REF'!$B$244:$B$263),IF(Eligibilité_projet!E13="",0,LOOKUP(RECant_biom!$A$17,'(ne pas modifier) BDD_REF'!$A$244:$A$263,'(ne pas modifier) BDD_REF'!$C$244:$C$263)))</f>
        <v>0</v>
      </c>
      <c r="G17" s="22">
        <f>IF(Eligibilité_projet!F13="Hors climat Mediterranéen",LOOKUP(RECant_biom!$A$17,'(ne pas modifier) BDD_REF'!$A$244:$A$263,'(ne pas modifier) BDD_REF'!$B$244:$B$263),IF(Eligibilité_projet!F13="",0,LOOKUP(RECant_biom!$A$17,'(ne pas modifier) BDD_REF'!$A$244:$A$263,'(ne pas modifier) BDD_REF'!$C$244:$C$263)))</f>
        <v>0</v>
      </c>
      <c r="H17" s="22">
        <f>IF(Eligibilité_projet!G13="Hors climat Mediterranéen",LOOKUP(RECant_biom!$A$17,'(ne pas modifier) BDD_REF'!$A$244:$A$263,'(ne pas modifier) BDD_REF'!$B$244:$B$263),IF(Eligibilité_projet!G13="",0,LOOKUP(RECant_biom!$A$17,'(ne pas modifier) BDD_REF'!$A$244:$A$263,'(ne pas modifier) BDD_REF'!$C$244:$C$263)))</f>
        <v>0</v>
      </c>
      <c r="I17" s="22">
        <f>IF(Eligibilité_projet!H13="Hors climat Mediterranéen",LOOKUP(RECant_biom!$A$17,'(ne pas modifier) BDD_REF'!$A$244:$A$263,'(ne pas modifier) BDD_REF'!$B$244:$B$263),IF(Eligibilité_projet!H13="",0,LOOKUP(RECant_biom!$A$17,'(ne pas modifier) BDD_REF'!$A$244:$A$263,'(ne pas modifier) BDD_REF'!$C$244:$C$263)))</f>
        <v>0</v>
      </c>
      <c r="J17" s="22">
        <f>IF(Eligibilité_projet!I13="Hors climat Mediterranéen",LOOKUP(RECant_biom!$A$17,'(ne pas modifier) BDD_REF'!$A$244:$A$263,'(ne pas modifier) BDD_REF'!$B$244:$B$263),IF(Eligibilité_projet!I13="",0,LOOKUP(RECant_biom!$A$17,'(ne pas modifier) BDD_REF'!$A$244:$A$263,'(ne pas modifier) BDD_REF'!$C$244:$C$263)))</f>
        <v>0</v>
      </c>
      <c r="K17" s="22">
        <f>IF(Eligibilité_projet!J13="Hors climat Mediterranéen",LOOKUP(RECant_biom!$A$17,'(ne pas modifier) BDD_REF'!$A$244:$A$263,'(ne pas modifier) BDD_REF'!$B$244:$B$263),IF(Eligibilité_projet!J13="",0,LOOKUP(RECant_biom!$A$17,'(ne pas modifier) BDD_REF'!$A$244:$A$263,'(ne pas modifier) BDD_REF'!$C$244:$C$263)))</f>
        <v>0</v>
      </c>
      <c r="L17" s="22">
        <f>IF(Eligibilité_projet!K13="Hors climat Mediterranéen",LOOKUP(RECant_biom!$A$17,'(ne pas modifier) BDD_REF'!$A$244:$A$263,'(ne pas modifier) BDD_REF'!$B$244:$B$263),IF(Eligibilité_projet!K13="",0,LOOKUP(RECant_biom!$A$17,'(ne pas modifier) BDD_REF'!$A$244:$A$263,'(ne pas modifier) BDD_REF'!$C$244:$C$263)))</f>
        <v>0</v>
      </c>
      <c r="M17" s="22">
        <f t="shared" si="0"/>
        <v>29.4</v>
      </c>
      <c r="N17" s="2"/>
      <c r="O17" s="2"/>
      <c r="P17" s="2"/>
      <c r="Q17" s="2"/>
    </row>
    <row r="18" spans="1:17" x14ac:dyDescent="0.3">
      <c r="A18" s="13">
        <v>14</v>
      </c>
      <c r="B18" s="7" t="s">
        <v>201</v>
      </c>
      <c r="C18" s="22">
        <f>IF(Eligibilité_projet!B13="Hors climat Mediterranéen",LOOKUP(RECant_biom!$A$18,'(ne pas modifier) BDD_REF'!$A$244:$A$263,'(ne pas modifier) BDD_REF'!$B$244:$B$263),IF(Eligibilité_projet!B13="",0,LOOKUP(RECant_biom!$A$18,'(ne pas modifier) BDD_REF'!$A$244:$A$263,'(ne pas modifier) BDD_REF'!$C$244:$C$263)))</f>
        <v>15.1</v>
      </c>
      <c r="D18" s="22">
        <f>IF(Eligibilité_projet!C13="Hors climat Mediterranéen",LOOKUP(RECant_biom!$A$18,'(ne pas modifier) BDD_REF'!$A$244:$A$263,'(ne pas modifier) BDD_REF'!$B$244:$B$263),IF(Eligibilité_projet!C13="",0,LOOKUP(RECant_biom!$A$18,'(ne pas modifier) BDD_REF'!$A$244:$A$263,'(ne pas modifier) BDD_REF'!$C$244:$C$263)))</f>
        <v>15.1</v>
      </c>
      <c r="E18" s="22">
        <f>IF(Eligibilité_projet!D13="Hors climat Mediterranéen",LOOKUP(RECant_biom!$A$18,'(ne pas modifier) BDD_REF'!$A$244:$A$263,'(ne pas modifier) BDD_REF'!$B$244:$B$263),IF(Eligibilité_projet!D13="",0,LOOKUP(RECant_biom!$A$18,'(ne pas modifier) BDD_REF'!$A$244:$A$263,'(ne pas modifier) BDD_REF'!$C$244:$C$263)))</f>
        <v>0</v>
      </c>
      <c r="F18" s="22">
        <f>IF(Eligibilité_projet!E13="Hors climat Mediterranéen",LOOKUP(RECant_biom!$A$18,'(ne pas modifier) BDD_REF'!$A$244:$A$263,'(ne pas modifier) BDD_REF'!$B$244:$B$263),IF(Eligibilité_projet!E13="",0,LOOKUP(RECant_biom!$A$18,'(ne pas modifier) BDD_REF'!$A$244:$A$263,'(ne pas modifier) BDD_REF'!$C$244:$C$263)))</f>
        <v>0</v>
      </c>
      <c r="G18" s="22">
        <f>IF(Eligibilité_projet!F13="Hors climat Mediterranéen",LOOKUP(RECant_biom!$A$18,'(ne pas modifier) BDD_REF'!$A$244:$A$263,'(ne pas modifier) BDD_REF'!$B$244:$B$263),IF(Eligibilité_projet!F13="",0,LOOKUP(RECant_biom!$A$18,'(ne pas modifier) BDD_REF'!$A$244:$A$263,'(ne pas modifier) BDD_REF'!$C$244:$C$263)))</f>
        <v>0</v>
      </c>
      <c r="H18" s="22">
        <f>IF(Eligibilité_projet!G13="Hors climat Mediterranéen",LOOKUP(RECant_biom!$A$18,'(ne pas modifier) BDD_REF'!$A$244:$A$263,'(ne pas modifier) BDD_REF'!$B$244:$B$263),IF(Eligibilité_projet!G13="",0,LOOKUP(RECant_biom!$A$18,'(ne pas modifier) BDD_REF'!$A$244:$A$263,'(ne pas modifier) BDD_REF'!$C$244:$C$263)))</f>
        <v>0</v>
      </c>
      <c r="I18" s="22">
        <f>IF(Eligibilité_projet!H13="Hors climat Mediterranéen",LOOKUP(RECant_biom!$A$18,'(ne pas modifier) BDD_REF'!$A$244:$A$263,'(ne pas modifier) BDD_REF'!$B$244:$B$263),IF(Eligibilité_projet!H13="",0,LOOKUP(RECant_biom!$A$18,'(ne pas modifier) BDD_REF'!$A$244:$A$263,'(ne pas modifier) BDD_REF'!$C$244:$C$263)))</f>
        <v>0</v>
      </c>
      <c r="J18" s="22">
        <f>IF(Eligibilité_projet!I13="Hors climat Mediterranéen",LOOKUP(RECant_biom!$A$18,'(ne pas modifier) BDD_REF'!$A$244:$A$263,'(ne pas modifier) BDD_REF'!$B$244:$B$263),IF(Eligibilité_projet!I13="",0,LOOKUP(RECant_biom!$A$18,'(ne pas modifier) BDD_REF'!$A$244:$A$263,'(ne pas modifier) BDD_REF'!$C$244:$C$263)))</f>
        <v>0</v>
      </c>
      <c r="K18" s="22">
        <f>IF(Eligibilité_projet!J13="Hors climat Mediterranéen",LOOKUP(RECant_biom!$A$18,'(ne pas modifier) BDD_REF'!$A$244:$A$263,'(ne pas modifier) BDD_REF'!$B$244:$B$263),IF(Eligibilité_projet!J13="",0,LOOKUP(RECant_biom!$A$18,'(ne pas modifier) BDD_REF'!$A$244:$A$263,'(ne pas modifier) BDD_REF'!$C$244:$C$263)))</f>
        <v>0</v>
      </c>
      <c r="L18" s="22">
        <f>IF(Eligibilité_projet!K13="Hors climat Mediterranéen",LOOKUP(RECant_biom!$A$18,'(ne pas modifier) BDD_REF'!$A$244:$A$263,'(ne pas modifier) BDD_REF'!$B$244:$B$263),IF(Eligibilité_projet!K13="",0,LOOKUP(RECant_biom!$A$18,'(ne pas modifier) BDD_REF'!$A$244:$A$263,'(ne pas modifier) BDD_REF'!$C$244:$C$263)))</f>
        <v>0</v>
      </c>
      <c r="M18" s="22">
        <f t="shared" si="0"/>
        <v>30.2</v>
      </c>
      <c r="N18" s="2"/>
      <c r="O18" s="2"/>
      <c r="P18" s="2"/>
      <c r="Q18" s="2"/>
    </row>
    <row r="19" spans="1:17" x14ac:dyDescent="0.3">
      <c r="A19" s="13">
        <v>15</v>
      </c>
      <c r="B19" s="7" t="s">
        <v>201</v>
      </c>
      <c r="C19" s="22">
        <f>IF(Eligibilité_projet!B13="Hors climat Mediterranéen",LOOKUP(RECant_biom!$A$19,'(ne pas modifier) BDD_REF'!$A$244:$A$263,'(ne pas modifier) BDD_REF'!$B$244:$B$263),IF(Eligibilité_projet!B13="",0,LOOKUP(RECant_biom!$A$19,'(ne pas modifier) BDD_REF'!$A$244:$A$263,'(ne pas modifier) BDD_REF'!$C$244:$C$263)))</f>
        <v>15.6</v>
      </c>
      <c r="D19" s="22">
        <f>IF(Eligibilité_projet!C13="Hors climat Mediterranéen",LOOKUP(RECant_biom!$A$19,'(ne pas modifier) BDD_REF'!$A$244:$A$263,'(ne pas modifier) BDD_REF'!$B$244:$B$263),IF(Eligibilité_projet!C13="",0,LOOKUP(RECant_biom!$A$19,'(ne pas modifier) BDD_REF'!$A$244:$A$263,'(ne pas modifier) BDD_REF'!$C$244:$C$263)))</f>
        <v>15.6</v>
      </c>
      <c r="E19" s="22">
        <f>IF(Eligibilité_projet!D13="Hors climat Mediterranéen",LOOKUP(RECant_biom!$A$19,'(ne pas modifier) BDD_REF'!$A$244:$A$263,'(ne pas modifier) BDD_REF'!$B$244:$B$263),IF(Eligibilité_projet!D13="",0,LOOKUP(RECant_biom!$A$19,'(ne pas modifier) BDD_REF'!$A$244:$A$263,'(ne pas modifier) BDD_REF'!$C$244:$C$263)))</f>
        <v>0</v>
      </c>
      <c r="F19" s="22">
        <f>IF(Eligibilité_projet!E13="Hors climat Mediterranéen",LOOKUP(RECant_biom!$A$19,'(ne pas modifier) BDD_REF'!$A$244:$A$263,'(ne pas modifier) BDD_REF'!$B$244:$B$263),IF(Eligibilité_projet!E13="",0,LOOKUP(RECant_biom!$A$19,'(ne pas modifier) BDD_REF'!$A$244:$A$263,'(ne pas modifier) BDD_REF'!$C$244:$C$263)))</f>
        <v>0</v>
      </c>
      <c r="G19" s="22">
        <f>IF(Eligibilité_projet!F13="Hors climat Mediterranéen",LOOKUP(RECant_biom!$A$19,'(ne pas modifier) BDD_REF'!$A$244:$A$263,'(ne pas modifier) BDD_REF'!$B$244:$B$263),IF(Eligibilité_projet!F13="",0,LOOKUP(RECant_biom!$A$19,'(ne pas modifier) BDD_REF'!$A$244:$A$263,'(ne pas modifier) BDD_REF'!$C$244:$C$263)))</f>
        <v>0</v>
      </c>
      <c r="H19" s="22">
        <f>IF(Eligibilité_projet!G13="Hors climat Mediterranéen",LOOKUP(RECant_biom!$A$19,'(ne pas modifier) BDD_REF'!$A$244:$A$263,'(ne pas modifier) BDD_REF'!$B$244:$B$263),IF(Eligibilité_projet!G13="",0,LOOKUP(RECant_biom!$A$19,'(ne pas modifier) BDD_REF'!$A$244:$A$263,'(ne pas modifier) BDD_REF'!$C$244:$C$263)))</f>
        <v>0</v>
      </c>
      <c r="I19" s="22">
        <f>IF(Eligibilité_projet!H13="Hors climat Mediterranéen",LOOKUP(RECant_biom!$A$19,'(ne pas modifier) BDD_REF'!$A$244:$A$263,'(ne pas modifier) BDD_REF'!$B$244:$B$263),IF(Eligibilité_projet!H13="",0,LOOKUP(RECant_biom!$A$19,'(ne pas modifier) BDD_REF'!$A$244:$A$263,'(ne pas modifier) BDD_REF'!$C$244:$C$263)))</f>
        <v>0</v>
      </c>
      <c r="J19" s="22">
        <f>IF(Eligibilité_projet!I13="Hors climat Mediterranéen",LOOKUP(RECant_biom!$A$19,'(ne pas modifier) BDD_REF'!$A$244:$A$263,'(ne pas modifier) BDD_REF'!$B$244:$B$263),IF(Eligibilité_projet!I13="",0,LOOKUP(RECant_biom!$A$19,'(ne pas modifier) BDD_REF'!$A$244:$A$263,'(ne pas modifier) BDD_REF'!$C$244:$C$263)))</f>
        <v>0</v>
      </c>
      <c r="K19" s="22">
        <f>IF(Eligibilité_projet!J13="Hors climat Mediterranéen",LOOKUP(RECant_biom!$A$19,'(ne pas modifier) BDD_REF'!$A$244:$A$263,'(ne pas modifier) BDD_REF'!$B$244:$B$263),IF(Eligibilité_projet!J13="",0,LOOKUP(RECant_biom!$A$19,'(ne pas modifier) BDD_REF'!$A$244:$A$263,'(ne pas modifier) BDD_REF'!$C$244:$C$263)))</f>
        <v>0</v>
      </c>
      <c r="L19" s="22">
        <f>IF(Eligibilité_projet!K13="Hors climat Mediterranéen",LOOKUP(RECant_biom!$A$19,'(ne pas modifier) BDD_REF'!$A$244:$A$263,'(ne pas modifier) BDD_REF'!$B$244:$B$263),IF(Eligibilité_projet!K13="",0,LOOKUP(RECant_biom!$A$19,'(ne pas modifier) BDD_REF'!$A$244:$A$263,'(ne pas modifier) BDD_REF'!$C$244:$C$263)))</f>
        <v>0</v>
      </c>
      <c r="M19" s="22">
        <f t="shared" si="0"/>
        <v>31.2</v>
      </c>
      <c r="N19" s="2"/>
      <c r="O19" s="2"/>
      <c r="P19" s="2"/>
      <c r="Q19" s="2"/>
    </row>
    <row r="20" spans="1:17" x14ac:dyDescent="0.3">
      <c r="A20" s="13">
        <v>16</v>
      </c>
      <c r="B20" s="7" t="s">
        <v>201</v>
      </c>
      <c r="C20" s="22">
        <f>IF(Eligibilité_projet!B13="Hors climat Mediterranéen",LOOKUP(RECant_biom!$A$20,'(ne pas modifier) BDD_REF'!$A$244:$A$263,'(ne pas modifier) BDD_REF'!$B$244:$B$263),IF(Eligibilité_projet!B13="",0,LOOKUP(RECant_biom!$A$20,'(ne pas modifier) BDD_REF'!$A$244:$A$263,'(ne pas modifier) BDD_REF'!$C$244:$C$263)))</f>
        <v>15.6</v>
      </c>
      <c r="D20" s="22">
        <f>IF(Eligibilité_projet!C13="Hors climat Mediterranéen",LOOKUP(RECant_biom!$A$20,'(ne pas modifier) BDD_REF'!$A$244:$A$263,'(ne pas modifier) BDD_REF'!$B$244:$B$263),IF(Eligibilité_projet!C13="",0,LOOKUP(RECant_biom!$A$20,'(ne pas modifier) BDD_REF'!$A$244:$A$263,'(ne pas modifier) BDD_REF'!$C$244:$C$263)))</f>
        <v>15.6</v>
      </c>
      <c r="E20" s="22">
        <f>IF(Eligibilité_projet!D13="Hors climat Mediterranéen",LOOKUP(RECant_biom!$A$20,'(ne pas modifier) BDD_REF'!$A$244:$A$263,'(ne pas modifier) BDD_REF'!$B$244:$B$263),IF(Eligibilité_projet!D13="",0,LOOKUP(RECant_biom!$A$20,'(ne pas modifier) BDD_REF'!$A$244:$A$263,'(ne pas modifier) BDD_REF'!$C$244:$C$263)))</f>
        <v>0</v>
      </c>
      <c r="F20" s="22">
        <f>IF(Eligibilité_projet!E13="Hors climat Mediterranéen",LOOKUP(RECant_biom!$A$20,'(ne pas modifier) BDD_REF'!$A$244:$A$263,'(ne pas modifier) BDD_REF'!$B$244:$B$263),IF(Eligibilité_projet!E13="",0,LOOKUP(RECant_biom!$A$20,'(ne pas modifier) BDD_REF'!$A$244:$A$263,'(ne pas modifier) BDD_REF'!$C$244:$C$263)))</f>
        <v>0</v>
      </c>
      <c r="G20" s="22">
        <f>IF(Eligibilité_projet!F13="Hors climat Mediterranéen",LOOKUP(RECant_biom!$A$20,'(ne pas modifier) BDD_REF'!$A$244:$A$263,'(ne pas modifier) BDD_REF'!$B$244:$B$263),IF(Eligibilité_projet!F13="",0,LOOKUP(RECant_biom!$A$20,'(ne pas modifier) BDD_REF'!$A$244:$A$263,'(ne pas modifier) BDD_REF'!$C$244:$C$263)))</f>
        <v>0</v>
      </c>
      <c r="H20" s="22">
        <f>IF(Eligibilité_projet!G13="Hors climat Mediterranéen",LOOKUP(RECant_biom!$A$20,'(ne pas modifier) BDD_REF'!$A$244:$A$263,'(ne pas modifier) BDD_REF'!$B$244:$B$263),IF(Eligibilité_projet!G13="",0,LOOKUP(RECant_biom!$A$20,'(ne pas modifier) BDD_REF'!$A$244:$A$263,'(ne pas modifier) BDD_REF'!$C$244:$C$263)))</f>
        <v>0</v>
      </c>
      <c r="I20" s="22">
        <f>IF(Eligibilité_projet!H13="Hors climat Mediterranéen",LOOKUP(RECant_biom!$A$20,'(ne pas modifier) BDD_REF'!$A$244:$A$263,'(ne pas modifier) BDD_REF'!$B$244:$B$263),IF(Eligibilité_projet!H13="",0,LOOKUP(RECant_biom!$A$20,'(ne pas modifier) BDD_REF'!$A$244:$A$263,'(ne pas modifier) BDD_REF'!$C$244:$C$263)))</f>
        <v>0</v>
      </c>
      <c r="J20" s="22">
        <f>IF(Eligibilité_projet!I13="Hors climat Mediterranéen",LOOKUP(RECant_biom!$A$20,'(ne pas modifier) BDD_REF'!$A$244:$A$263,'(ne pas modifier) BDD_REF'!$B$244:$B$263),IF(Eligibilité_projet!I13="",0,LOOKUP(RECant_biom!$A$20,'(ne pas modifier) BDD_REF'!$A$244:$A$263,'(ne pas modifier) BDD_REF'!$C$244:$C$263)))</f>
        <v>0</v>
      </c>
      <c r="K20" s="22">
        <f>IF(Eligibilité_projet!J13="Hors climat Mediterranéen",LOOKUP(RECant_biom!$A$20,'(ne pas modifier) BDD_REF'!$A$244:$A$263,'(ne pas modifier) BDD_REF'!$B$244:$B$263),IF(Eligibilité_projet!J13="",0,LOOKUP(RECant_biom!$A$20,'(ne pas modifier) BDD_REF'!$A$244:$A$263,'(ne pas modifier) BDD_REF'!$C$244:$C$263)))</f>
        <v>0</v>
      </c>
      <c r="L20" s="22">
        <f>IF(Eligibilité_projet!K13="Hors climat Mediterranéen",LOOKUP(RECant_biom!$A$20,'(ne pas modifier) BDD_REF'!$A$244:$A$263,'(ne pas modifier) BDD_REF'!$B$244:$B$263),IF(Eligibilité_projet!K13="",0,LOOKUP(RECant_biom!$A$20,'(ne pas modifier) BDD_REF'!$A$244:$A$263,'(ne pas modifier) BDD_REF'!$C$244:$C$263)))</f>
        <v>0</v>
      </c>
      <c r="M20" s="22">
        <f t="shared" si="0"/>
        <v>31.2</v>
      </c>
      <c r="N20" s="2"/>
      <c r="O20" s="2"/>
      <c r="P20" s="2"/>
      <c r="Q20" s="2"/>
    </row>
    <row r="21" spans="1:17" x14ac:dyDescent="0.3">
      <c r="A21" s="13">
        <v>17</v>
      </c>
      <c r="B21" s="7" t="s">
        <v>201</v>
      </c>
      <c r="C21" s="22">
        <f>IF(Eligibilité_projet!B13="Hors climat Mediterranéen",LOOKUP(RECant_biom!$A$21,'(ne pas modifier) BDD_REF'!$A$244:$A$263,'(ne pas modifier) BDD_REF'!$B$244:$B$263),IF(Eligibilité_projet!B13="",0,LOOKUP(RECant_biom!$A$21,'(ne pas modifier) BDD_REF'!$A$244:$A$263,'(ne pas modifier) BDD_REF'!$C$244:$C$263)))</f>
        <v>15.7</v>
      </c>
      <c r="D21" s="22">
        <f>IF(Eligibilité_projet!C13="Hors climat Mediterranéen",LOOKUP(RECant_biom!$A$21,'(ne pas modifier) BDD_REF'!$A$244:$A$263,'(ne pas modifier) BDD_REF'!$B$244:$B$263),IF(Eligibilité_projet!C13="",0,LOOKUP(RECant_biom!$A$21,'(ne pas modifier) BDD_REF'!$A$244:$A$263,'(ne pas modifier) BDD_REF'!$C$244:$C$263)))</f>
        <v>15.7</v>
      </c>
      <c r="E21" s="22">
        <f>IF(Eligibilité_projet!D13="Hors climat Mediterranéen",LOOKUP(RECant_biom!$A$21,'(ne pas modifier) BDD_REF'!$A$244:$A$263,'(ne pas modifier) BDD_REF'!$B$244:$B$263),IF(Eligibilité_projet!D13="",0,LOOKUP(RECant_biom!$A$21,'(ne pas modifier) BDD_REF'!$A$244:$A$263,'(ne pas modifier) BDD_REF'!$C$244:$C$263)))</f>
        <v>0</v>
      </c>
      <c r="F21" s="22">
        <f>IF(Eligibilité_projet!E13="Hors climat Mediterranéen",LOOKUP(RECant_biom!$A$21,'(ne pas modifier) BDD_REF'!$A$244:$A$263,'(ne pas modifier) BDD_REF'!$B$244:$B$263),IF(Eligibilité_projet!E13="",0,LOOKUP(RECant_biom!$A$21,'(ne pas modifier) BDD_REF'!$A$244:$A$263,'(ne pas modifier) BDD_REF'!$C$244:$C$263)))</f>
        <v>0</v>
      </c>
      <c r="G21" s="22">
        <f>IF(Eligibilité_projet!F13="Hors climat Mediterranéen",LOOKUP(RECant_biom!$A$21,'(ne pas modifier) BDD_REF'!$A$244:$A$263,'(ne pas modifier) BDD_REF'!$B$244:$B$263),IF(Eligibilité_projet!F13="",0,LOOKUP(RECant_biom!$A$21,'(ne pas modifier) BDD_REF'!$A$244:$A$263,'(ne pas modifier) BDD_REF'!$C$244:$C$263)))</f>
        <v>0</v>
      </c>
      <c r="H21" s="22">
        <f>IF(Eligibilité_projet!G13="Hors climat Mediterranéen",LOOKUP(RECant_biom!$A$21,'(ne pas modifier) BDD_REF'!$A$244:$A$263,'(ne pas modifier) BDD_REF'!$B$244:$B$263),IF(Eligibilité_projet!G13="",0,LOOKUP(RECant_biom!$A$21,'(ne pas modifier) BDD_REF'!$A$244:$A$263,'(ne pas modifier) BDD_REF'!$C$244:$C$263)))</f>
        <v>0</v>
      </c>
      <c r="I21" s="22">
        <f>IF(Eligibilité_projet!H13="Hors climat Mediterranéen",LOOKUP(RECant_biom!$A$21,'(ne pas modifier) BDD_REF'!$A$244:$A$263,'(ne pas modifier) BDD_REF'!$B$244:$B$263),IF(Eligibilité_projet!H13="",0,LOOKUP(RECant_biom!$A$21,'(ne pas modifier) BDD_REF'!$A$244:$A$263,'(ne pas modifier) BDD_REF'!$C$244:$C$263)))</f>
        <v>0</v>
      </c>
      <c r="J21" s="22">
        <f>IF(Eligibilité_projet!I13="Hors climat Mediterranéen",LOOKUP(RECant_biom!$A$21,'(ne pas modifier) BDD_REF'!$A$244:$A$263,'(ne pas modifier) BDD_REF'!$B$244:$B$263),IF(Eligibilité_projet!I13="",0,LOOKUP(RECant_biom!$A$21,'(ne pas modifier) BDD_REF'!$A$244:$A$263,'(ne pas modifier) BDD_REF'!$C$244:$C$263)))</f>
        <v>0</v>
      </c>
      <c r="K21" s="22">
        <f>IF(Eligibilité_projet!J13="Hors climat Mediterranéen",LOOKUP(RECant_biom!$A$21,'(ne pas modifier) BDD_REF'!$A$244:$A$263,'(ne pas modifier) BDD_REF'!$B$244:$B$263),IF(Eligibilité_projet!J13="",0,LOOKUP(RECant_biom!$A$21,'(ne pas modifier) BDD_REF'!$A$244:$A$263,'(ne pas modifier) BDD_REF'!$C$244:$C$263)))</f>
        <v>0</v>
      </c>
      <c r="L21" s="22">
        <f>IF(Eligibilité_projet!K13="Hors climat Mediterranéen",LOOKUP(RECant_biom!$A$21,'(ne pas modifier) BDD_REF'!$A$244:$A$263,'(ne pas modifier) BDD_REF'!$B$244:$B$263),IF(Eligibilité_projet!K13="",0,LOOKUP(RECant_biom!$A$21,'(ne pas modifier) BDD_REF'!$A$244:$A$263,'(ne pas modifier) BDD_REF'!$C$244:$C$263)))</f>
        <v>0</v>
      </c>
      <c r="M21" s="22">
        <f t="shared" si="0"/>
        <v>31.4</v>
      </c>
      <c r="N21" s="2"/>
      <c r="O21" s="2"/>
      <c r="P21" s="2"/>
      <c r="Q21" s="2"/>
    </row>
    <row r="22" spans="1:17" x14ac:dyDescent="0.3">
      <c r="A22" s="13">
        <v>18</v>
      </c>
      <c r="B22" s="7" t="s">
        <v>201</v>
      </c>
      <c r="C22" s="22">
        <f>IF(Eligibilité_projet!B13="Hors climat Mediterranéen",LOOKUP(RECant_biom!$A$22,'(ne pas modifier) BDD_REF'!$A$244:$A$263,'(ne pas modifier) BDD_REF'!$B$244:$B$263),IF(Eligibilité_projet!B13="",0,LOOKUP(RECant_biom!$A$22,'(ne pas modifier) BDD_REF'!$A$244:$A$263,'(ne pas modifier) BDD_REF'!$C$244:$C$263)))</f>
        <v>15.8</v>
      </c>
      <c r="D22" s="22">
        <f>IF(Eligibilité_projet!C13="Hors climat Mediterranéen",LOOKUP(RECant_biom!$A$22,'(ne pas modifier) BDD_REF'!$A$244:$A$263,'(ne pas modifier) BDD_REF'!$B$244:$B$263),IF(Eligibilité_projet!C13="",0,LOOKUP(RECant_biom!$A$22,'(ne pas modifier) BDD_REF'!$A$244:$A$263,'(ne pas modifier) BDD_REF'!$C$244:$C$263)))</f>
        <v>15.8</v>
      </c>
      <c r="E22" s="22">
        <f>IF(Eligibilité_projet!D13="Hors climat Mediterranéen",LOOKUP(RECant_biom!$A$22,'(ne pas modifier) BDD_REF'!$A$244:$A$263,'(ne pas modifier) BDD_REF'!$B$244:$B$263),IF(Eligibilité_projet!D13="",0,LOOKUP(RECant_biom!$A$22,'(ne pas modifier) BDD_REF'!$A$244:$A$263,'(ne pas modifier) BDD_REF'!$C$244:$C$263)))</f>
        <v>0</v>
      </c>
      <c r="F22" s="22">
        <f>IF(Eligibilité_projet!E13="Hors climat Mediterranéen",LOOKUP(RECant_biom!$A$22,'(ne pas modifier) BDD_REF'!$A$244:$A$263,'(ne pas modifier) BDD_REF'!$B$244:$B$263),IF(Eligibilité_projet!E13="",0,LOOKUP(RECant_biom!$A$22,'(ne pas modifier) BDD_REF'!$A$244:$A$263,'(ne pas modifier) BDD_REF'!$C$244:$C$263)))</f>
        <v>0</v>
      </c>
      <c r="G22" s="22">
        <f>IF(Eligibilité_projet!F13="Hors climat Mediterranéen",LOOKUP(RECant_biom!$A$22,'(ne pas modifier) BDD_REF'!$A$244:$A$263,'(ne pas modifier) BDD_REF'!$B$244:$B$263),IF(Eligibilité_projet!F13="",0,LOOKUP(RECant_biom!$A$22,'(ne pas modifier) BDD_REF'!$A$244:$A$263,'(ne pas modifier) BDD_REF'!$C$244:$C$263)))</f>
        <v>0</v>
      </c>
      <c r="H22" s="22">
        <f>IF(Eligibilité_projet!G13="Hors climat Mediterranéen",LOOKUP(RECant_biom!$A$22,'(ne pas modifier) BDD_REF'!$A$244:$A$263,'(ne pas modifier) BDD_REF'!$B$244:$B$263),IF(Eligibilité_projet!G13="",0,LOOKUP(RECant_biom!$A$22,'(ne pas modifier) BDD_REF'!$A$244:$A$263,'(ne pas modifier) BDD_REF'!$C$244:$C$263)))</f>
        <v>0</v>
      </c>
      <c r="I22" s="22">
        <f>IF(Eligibilité_projet!H13="Hors climat Mediterranéen",LOOKUP(RECant_biom!$A$22,'(ne pas modifier) BDD_REF'!$A$244:$A$263,'(ne pas modifier) BDD_REF'!$B$244:$B$263),IF(Eligibilité_projet!H13="",0,LOOKUP(RECant_biom!$A$22,'(ne pas modifier) BDD_REF'!$A$244:$A$263,'(ne pas modifier) BDD_REF'!$C$244:$C$263)))</f>
        <v>0</v>
      </c>
      <c r="J22" s="22">
        <f>IF(Eligibilité_projet!I13="Hors climat Mediterranéen",LOOKUP(RECant_biom!$A$22,'(ne pas modifier) BDD_REF'!$A$244:$A$263,'(ne pas modifier) BDD_REF'!$B$244:$B$263),IF(Eligibilité_projet!I13="",0,LOOKUP(RECant_biom!$A$22,'(ne pas modifier) BDD_REF'!$A$244:$A$263,'(ne pas modifier) BDD_REF'!$C$244:$C$263)))</f>
        <v>0</v>
      </c>
      <c r="K22" s="22">
        <f>IF(Eligibilité_projet!J13="Hors climat Mediterranéen",LOOKUP(RECant_biom!$A$22,'(ne pas modifier) BDD_REF'!$A$244:$A$263,'(ne pas modifier) BDD_REF'!$B$244:$B$263),IF(Eligibilité_projet!J13="",0,LOOKUP(RECant_biom!$A$22,'(ne pas modifier) BDD_REF'!$A$244:$A$263,'(ne pas modifier) BDD_REF'!$C$244:$C$263)))</f>
        <v>0</v>
      </c>
      <c r="L22" s="22">
        <f>IF(Eligibilité_projet!K13="Hors climat Mediterranéen",LOOKUP(RECant_biom!$A$22,'(ne pas modifier) BDD_REF'!$A$244:$A$263,'(ne pas modifier) BDD_REF'!$B$244:$B$263),IF(Eligibilité_projet!K13="",0,LOOKUP(RECant_biom!$A$22,'(ne pas modifier) BDD_REF'!$A$244:$A$263,'(ne pas modifier) BDD_REF'!$C$244:$C$263)))</f>
        <v>0</v>
      </c>
      <c r="M22" s="22">
        <f t="shared" si="0"/>
        <v>31.6</v>
      </c>
      <c r="N22" s="2"/>
      <c r="O22" s="2"/>
      <c r="P22" s="2"/>
      <c r="Q22" s="2"/>
    </row>
    <row r="23" spans="1:17" x14ac:dyDescent="0.3">
      <c r="A23" s="13">
        <v>19</v>
      </c>
      <c r="B23" s="7" t="s">
        <v>201</v>
      </c>
      <c r="C23" s="22">
        <f>IF(Eligibilité_projet!B13="Hors climat Mediterranéen",LOOKUP(RECant_biom!$A$23,'(ne pas modifier) BDD_REF'!$A$244:$A$263,'(ne pas modifier) BDD_REF'!$B$244:$B$263),IF(Eligibilité_projet!B13="",0,LOOKUP(RECant_biom!$A$23,'(ne pas modifier) BDD_REF'!$A$244:$A$263,'(ne pas modifier) BDD_REF'!$C$244:$C$263)))</f>
        <v>15.9</v>
      </c>
      <c r="D23" s="22">
        <f>IF(Eligibilité_projet!C13="Hors climat Mediterranéen",LOOKUP(RECant_biom!$A$23,'(ne pas modifier) BDD_REF'!$A$244:$A$263,'(ne pas modifier) BDD_REF'!$B$244:$B$263),IF(Eligibilité_projet!C13="",0,LOOKUP(RECant_biom!$A$23,'(ne pas modifier) BDD_REF'!$A$244:$A$263,'(ne pas modifier) BDD_REF'!$C$244:$C$263)))</f>
        <v>15.9</v>
      </c>
      <c r="E23" s="22">
        <f>IF(Eligibilité_projet!D13="Hors climat Mediterranéen",LOOKUP(RECant_biom!$A$23,'(ne pas modifier) BDD_REF'!$A$244:$A$263,'(ne pas modifier) BDD_REF'!$B$244:$B$263),IF(Eligibilité_projet!D13="",0,LOOKUP(RECant_biom!$A$23,'(ne pas modifier) BDD_REF'!$A$244:$A$263,'(ne pas modifier) BDD_REF'!$C$244:$C$263)))</f>
        <v>0</v>
      </c>
      <c r="F23" s="22">
        <f>IF(Eligibilité_projet!E13="Hors climat Mediterranéen",LOOKUP(RECant_biom!$A$23,'(ne pas modifier) BDD_REF'!$A$244:$A$263,'(ne pas modifier) BDD_REF'!$B$244:$B$263),IF(Eligibilité_projet!E13="",0,LOOKUP(RECant_biom!$A$23,'(ne pas modifier) BDD_REF'!$A$244:$A$263,'(ne pas modifier) BDD_REF'!$C$244:$C$263)))</f>
        <v>0</v>
      </c>
      <c r="G23" s="22">
        <f>IF(Eligibilité_projet!F13="Hors climat Mediterranéen",LOOKUP(RECant_biom!$A$23,'(ne pas modifier) BDD_REF'!$A$244:$A$263,'(ne pas modifier) BDD_REF'!$B$244:$B$263),IF(Eligibilité_projet!F13="",0,LOOKUP(RECant_biom!$A$23,'(ne pas modifier) BDD_REF'!$A$244:$A$263,'(ne pas modifier) BDD_REF'!$C$244:$C$263)))</f>
        <v>0</v>
      </c>
      <c r="H23" s="22">
        <f>IF(Eligibilité_projet!G13="Hors climat Mediterranéen",LOOKUP(RECant_biom!$A$23,'(ne pas modifier) BDD_REF'!$A$244:$A$263,'(ne pas modifier) BDD_REF'!$B$244:$B$263),IF(Eligibilité_projet!G13="",0,LOOKUP(RECant_biom!$A$23,'(ne pas modifier) BDD_REF'!$A$244:$A$263,'(ne pas modifier) BDD_REF'!$C$244:$C$263)))</f>
        <v>0</v>
      </c>
      <c r="I23" s="22">
        <f>IF(Eligibilité_projet!H13="Hors climat Mediterranéen",LOOKUP(RECant_biom!$A$23,'(ne pas modifier) BDD_REF'!$A$244:$A$263,'(ne pas modifier) BDD_REF'!$B$244:$B$263),IF(Eligibilité_projet!H13="",0,LOOKUP(RECant_biom!$A$23,'(ne pas modifier) BDD_REF'!$A$244:$A$263,'(ne pas modifier) BDD_REF'!$C$244:$C$263)))</f>
        <v>0</v>
      </c>
      <c r="J23" s="22">
        <f>IF(Eligibilité_projet!I13="Hors climat Mediterranéen",LOOKUP(RECant_biom!$A$23,'(ne pas modifier) BDD_REF'!$A$244:$A$263,'(ne pas modifier) BDD_REF'!$B$244:$B$263),IF(Eligibilité_projet!I13="",0,LOOKUP(RECant_biom!$A$23,'(ne pas modifier) BDD_REF'!$A$244:$A$263,'(ne pas modifier) BDD_REF'!$C$244:$C$263)))</f>
        <v>0</v>
      </c>
      <c r="K23" s="22">
        <f>IF(Eligibilité_projet!J13="Hors climat Mediterranéen",LOOKUP(RECant_biom!$A$23,'(ne pas modifier) BDD_REF'!$A$244:$A$263,'(ne pas modifier) BDD_REF'!$B$244:$B$263),IF(Eligibilité_projet!J13="",0,LOOKUP(RECant_biom!$A$23,'(ne pas modifier) BDD_REF'!$A$244:$A$263,'(ne pas modifier) BDD_REF'!$C$244:$C$263)))</f>
        <v>0</v>
      </c>
      <c r="L23" s="22">
        <f>IF(Eligibilité_projet!K13="Hors climat Mediterranéen",LOOKUP(RECant_biom!$A$23,'(ne pas modifier) BDD_REF'!$A$244:$A$263,'(ne pas modifier) BDD_REF'!$B$244:$B$263),IF(Eligibilité_projet!K13="",0,LOOKUP(RECant_biom!$A$23,'(ne pas modifier) BDD_REF'!$A$244:$A$263,'(ne pas modifier) BDD_REF'!$C$244:$C$263)))</f>
        <v>0</v>
      </c>
      <c r="M23" s="22">
        <f t="shared" si="0"/>
        <v>31.8</v>
      </c>
      <c r="N23" s="2"/>
      <c r="O23" s="2"/>
      <c r="P23" s="2"/>
      <c r="Q23" s="2"/>
    </row>
    <row r="24" spans="1:17" x14ac:dyDescent="0.3">
      <c r="A24" s="13">
        <v>20</v>
      </c>
      <c r="B24" s="7" t="s">
        <v>201</v>
      </c>
      <c r="C24" s="22">
        <f>IF(Eligibilité_projet!B13="Hors climat Mediterranéen",LOOKUP(RECant_biom!$A$24,'(ne pas modifier) BDD_REF'!$A$244:$A$263,'(ne pas modifier) BDD_REF'!$B$244:$B$263),IF(Eligibilité_projet!B13="",0,LOOKUP(RECant_biom!$A$24,'(ne pas modifier) BDD_REF'!$A$244:$A$263,'(ne pas modifier) BDD_REF'!$C$244:$C$263)))</f>
        <v>16</v>
      </c>
      <c r="D24" s="22">
        <f>IF(Eligibilité_projet!C13="Hors climat Mediterranéen",LOOKUP(RECant_biom!$A$24,'(ne pas modifier) BDD_REF'!$A$244:$A$263,'(ne pas modifier) BDD_REF'!$B$244:$B$263),IF(Eligibilité_projet!C13="",0,LOOKUP(RECant_biom!$A$24,'(ne pas modifier) BDD_REF'!$A$244:$A$263,'(ne pas modifier) BDD_REF'!$C$244:$C$263)))</f>
        <v>16</v>
      </c>
      <c r="E24" s="22">
        <f>IF(Eligibilité_projet!D13="Hors climat Mediterranéen",LOOKUP(RECant_biom!$A$24,'(ne pas modifier) BDD_REF'!$A$244:$A$263,'(ne pas modifier) BDD_REF'!$B$244:$B$263),IF(Eligibilité_projet!D13="",0,LOOKUP(RECant_biom!$A$24,'(ne pas modifier) BDD_REF'!$A$244:$A$263,'(ne pas modifier) BDD_REF'!$C$244:$C$263)))</f>
        <v>0</v>
      </c>
      <c r="F24" s="22">
        <f>IF(Eligibilité_projet!E13="Hors climat Mediterranéen",LOOKUP(RECant_biom!$A$24,'(ne pas modifier) BDD_REF'!$A$244:$A$263,'(ne pas modifier) BDD_REF'!$B$244:$B$263),IF(Eligibilité_projet!E13="",0,LOOKUP(RECant_biom!$A$24,'(ne pas modifier) BDD_REF'!$A$244:$A$263,'(ne pas modifier) BDD_REF'!$C$244:$C$263)))</f>
        <v>0</v>
      </c>
      <c r="G24" s="22">
        <f>IF(Eligibilité_projet!F13="Hors climat Mediterranéen",LOOKUP(RECant_biom!$A$24,'(ne pas modifier) BDD_REF'!$A$244:$A$263,'(ne pas modifier) BDD_REF'!$B$244:$B$263),IF(Eligibilité_projet!F13="",0,LOOKUP(RECant_biom!$A$24,'(ne pas modifier) BDD_REF'!$A$244:$A$263,'(ne pas modifier) BDD_REF'!$C$244:$C$263)))</f>
        <v>0</v>
      </c>
      <c r="H24" s="22">
        <f>IF(Eligibilité_projet!G13="Hors climat Mediterranéen",LOOKUP(RECant_biom!$A$24,'(ne pas modifier) BDD_REF'!$A$244:$A$263,'(ne pas modifier) BDD_REF'!$B$244:$B$263),IF(Eligibilité_projet!G13="",0,LOOKUP(RECant_biom!$A$24,'(ne pas modifier) BDD_REF'!$A$244:$A$263,'(ne pas modifier) BDD_REF'!$C$244:$C$263)))</f>
        <v>0</v>
      </c>
      <c r="I24" s="22">
        <f>IF(Eligibilité_projet!H13="Hors climat Mediterranéen",LOOKUP(RECant_biom!$A$24,'(ne pas modifier) BDD_REF'!$A$244:$A$263,'(ne pas modifier) BDD_REF'!$B$244:$B$263),IF(Eligibilité_projet!H13="",0,LOOKUP(RECant_biom!$A$24,'(ne pas modifier) BDD_REF'!$A$244:$A$263,'(ne pas modifier) BDD_REF'!$C$244:$C$263)))</f>
        <v>0</v>
      </c>
      <c r="J24" s="22">
        <f>IF(Eligibilité_projet!I13="Hors climat Mediterranéen",LOOKUP(RECant_biom!$A$24,'(ne pas modifier) BDD_REF'!$A$244:$A$263,'(ne pas modifier) BDD_REF'!$B$244:$B$263),IF(Eligibilité_projet!I13="",0,LOOKUP(RECant_biom!$A$24,'(ne pas modifier) BDD_REF'!$A$244:$A$263,'(ne pas modifier) BDD_REF'!$C$244:$C$263)))</f>
        <v>0</v>
      </c>
      <c r="K24" s="22">
        <f>IF(Eligibilité_projet!J13="Hors climat Mediterranéen",LOOKUP(RECant_biom!$A$24,'(ne pas modifier) BDD_REF'!$A$244:$A$263,'(ne pas modifier) BDD_REF'!$B$244:$B$263),IF(Eligibilité_projet!J13="",0,LOOKUP(RECant_biom!$A$24,'(ne pas modifier) BDD_REF'!$A$244:$A$263,'(ne pas modifier) BDD_REF'!$C$244:$C$263)))</f>
        <v>0</v>
      </c>
      <c r="L24" s="22">
        <f>IF(Eligibilité_projet!K13="Hors climat Mediterranéen",LOOKUP(RECant_biom!$A$24,'(ne pas modifier) BDD_REF'!$A$244:$A$263,'(ne pas modifier) BDD_REF'!$B$244:$B$263),IF(Eligibilité_projet!K13="",0,LOOKUP(RECant_biom!$A$24,'(ne pas modifier) BDD_REF'!$A$244:$A$263,'(ne pas modifier) BDD_REF'!$C$244:$C$263)))</f>
        <v>0</v>
      </c>
      <c r="M24" s="22">
        <f t="shared" si="0"/>
        <v>32</v>
      </c>
      <c r="N24" s="2"/>
      <c r="O24" s="2"/>
      <c r="P24" s="2"/>
      <c r="Q24" s="2"/>
    </row>
    <row r="25" spans="1:17" x14ac:dyDescent="0.3">
      <c r="A25" s="7"/>
      <c r="B25" s="7" t="s">
        <v>210</v>
      </c>
      <c r="C25" s="22">
        <f>SUMIF($A5:$A24,"&lt;"&amp;Eligibilité_projet!B14+1,C5:C24)</f>
        <v>234.9</v>
      </c>
      <c r="D25" s="22">
        <f>SUMIF($A5:$A24,"&lt;"&amp;Eligibilité_projet!C14+1,D5:D24)</f>
        <v>234.9</v>
      </c>
      <c r="E25" s="22">
        <f>SUMIF($A5:$A24,"&lt;"&amp;Eligibilité_projet!D14+1,E5:E24)</f>
        <v>0</v>
      </c>
      <c r="F25" s="22">
        <f>SUMIF($A5:$A24,"&lt;"&amp;Eligibilité_projet!E14+1,F5:F24)</f>
        <v>0</v>
      </c>
      <c r="G25" s="22">
        <f>SUMIF($A5:$A24,"&lt;"&amp;Eligibilité_projet!F14+1,G5:G24)</f>
        <v>0</v>
      </c>
      <c r="H25" s="22">
        <f>SUMIF($A5:$A24,"&lt;"&amp;Eligibilité_projet!G14+1,H5:H24)</f>
        <v>0</v>
      </c>
      <c r="I25" s="22">
        <f>SUMIF($A5:$A24,"&lt;"&amp;Eligibilité_projet!H14+1,I5:I24)</f>
        <v>0</v>
      </c>
      <c r="J25" s="22">
        <f>SUMIF($A5:$A24,"&lt;"&amp;Eligibilité_projet!I14+1,J5:J24)</f>
        <v>0</v>
      </c>
      <c r="K25" s="22">
        <f>SUMIF($A5:$A24,"&lt;"&amp;Eligibilité_projet!J14+1,K5:K24)</f>
        <v>0</v>
      </c>
      <c r="L25" s="22">
        <f>SUMIF($A5:$A24,"&lt;"&amp;Eligibilité_projet!K14+1,L5:L24)</f>
        <v>0</v>
      </c>
      <c r="M25" s="22">
        <f t="shared" si="0"/>
        <v>469.8</v>
      </c>
      <c r="N25" s="2"/>
      <c r="O25" s="2"/>
      <c r="P25" s="2"/>
      <c r="Q25" s="2"/>
    </row>
    <row r="26" spans="1:17" ht="28.8" x14ac:dyDescent="0.3">
      <c r="A26" s="7" t="s">
        <v>192</v>
      </c>
      <c r="B26" s="7" t="s">
        <v>211</v>
      </c>
      <c r="C26" s="39">
        <f>IF(Eligibilité_projet!B13="",0,IF(Eligibilité_projet!B13="Hors climat Mediterranéen",LOOKUP(Eligibilité_projet!B16,'(ne pas modifier) BDD_REF'!$A$237:$A$240,'(ne pas modifier) BDD_REF'!$B$237:$B$240),LOOKUP(Eligibilité_projet!B16,'(ne pas modifier) BDD_REF'!$A$237:$A$240,'(ne pas modifier) BDD_REF'!$D$237:$D$240)))</f>
        <v>0</v>
      </c>
      <c r="D26" s="39">
        <f>IF(Eligibilité_projet!C13="",0,IF(Eligibilité_projet!C13="Hors climat Mediterranéen",LOOKUP(Eligibilité_projet!C16,'(ne pas modifier) BDD_REF'!$A$237:$A$240,'(ne pas modifier) BDD_REF'!$B$237:$B$240),LOOKUP(Eligibilité_projet!C16,'(ne pas modifier) BDD_REF'!$A$237:$A$240,'(ne pas modifier) BDD_REF'!$D$237:$D$240)))</f>
        <v>0</v>
      </c>
      <c r="E26" s="39">
        <f>IF(Eligibilité_projet!D13="",0,IF(Eligibilité_projet!D13="Hors climat Mediterranéen",LOOKUP(Eligibilité_projet!D16,'(ne pas modifier) BDD_REF'!$A$237:$A$240,'(ne pas modifier) BDD_REF'!$B$237:$B$240),LOOKUP(Eligibilité_projet!D16,'(ne pas modifier) BDD_REF'!$A$237:$A$240,'(ne pas modifier) BDD_REF'!$D$237:$D$240)))</f>
        <v>0</v>
      </c>
      <c r="F26" s="39">
        <f>IF(Eligibilité_projet!E13="",0,IF(Eligibilité_projet!E13="Hors climat Mediterranéen",LOOKUP(Eligibilité_projet!E16,'(ne pas modifier) BDD_REF'!$A$237:$A$240,'(ne pas modifier) BDD_REF'!$B$237:$B$240),LOOKUP(Eligibilité_projet!E16,'(ne pas modifier) BDD_REF'!$A$237:$A$240,'(ne pas modifier) BDD_REF'!$D$237:$D$240)))</f>
        <v>0</v>
      </c>
      <c r="G26" s="39">
        <f>IF(Eligibilité_projet!F13="",0,IF(Eligibilité_projet!F13="Hors climat Mediterranéen",LOOKUP(Eligibilité_projet!F16,'(ne pas modifier) BDD_REF'!$A$237:$A$240,'(ne pas modifier) BDD_REF'!$B$237:$B$240),LOOKUP(Eligibilité_projet!F16,'(ne pas modifier) BDD_REF'!$A$237:$A$240,'(ne pas modifier) BDD_REF'!$D$237:$D$240)))</f>
        <v>0</v>
      </c>
      <c r="H26" s="39">
        <f>IF(Eligibilité_projet!G13="",0,IF(Eligibilité_projet!G13="Hors climat Mediterranéen",LOOKUP(Eligibilité_projet!G16,'(ne pas modifier) BDD_REF'!$A$237:$A$240,'(ne pas modifier) BDD_REF'!$B$237:$B$240),LOOKUP(Eligibilité_projet!G16,'(ne pas modifier) BDD_REF'!$A$237:$A$240,'(ne pas modifier) BDD_REF'!$D$237:$D$240)))</f>
        <v>0</v>
      </c>
      <c r="I26" s="39">
        <f>IF(Eligibilité_projet!H13="",0,IF(Eligibilité_projet!H13="Hors climat Mediterranéen",LOOKUP(Eligibilité_projet!H16,'(ne pas modifier) BDD_REF'!$A$237:$A$240,'(ne pas modifier) BDD_REF'!$B$237:$B$240),LOOKUP(Eligibilité_projet!H16,'(ne pas modifier) BDD_REF'!$A$237:$A$240,'(ne pas modifier) BDD_REF'!$D$237:$D$240)))</f>
        <v>0</v>
      </c>
      <c r="J26" s="39">
        <f>IF(Eligibilité_projet!I13="",0,IF(Eligibilité_projet!I13="Hors climat Mediterranéen",LOOKUP(Eligibilité_projet!I16,'(ne pas modifier) BDD_REF'!$A$237:$A$240,'(ne pas modifier) BDD_REF'!$B$237:$B$240),LOOKUP(Eligibilité_projet!I16,'(ne pas modifier) BDD_REF'!$A$237:$A$240,'(ne pas modifier) BDD_REF'!$D$237:$D$240)))</f>
        <v>0</v>
      </c>
      <c r="K26" s="39">
        <f>IF(Eligibilité_projet!J13="",0,IF(Eligibilité_projet!J13="Hors climat Mediterranéen",LOOKUP(Eligibilité_projet!J16,'(ne pas modifier) BDD_REF'!$A$237:$A$240,'(ne pas modifier) BDD_REF'!$B$237:$B$240),LOOKUP(Eligibilité_projet!J16,'(ne pas modifier) BDD_REF'!$A$237:$A$240,'(ne pas modifier) BDD_REF'!$D$237:$D$240)))</f>
        <v>0</v>
      </c>
      <c r="L26" s="39">
        <f>IF(Eligibilité_projet!K13="",0,IF(Eligibilité_projet!K13="Hors climat Mediterranéen",LOOKUP(Eligibilité_projet!K16,'(ne pas modifier) BDD_REF'!$A$237:$A$240,'(ne pas modifier) BDD_REF'!$B$237:$B$240),LOOKUP(Eligibilité_projet!K16,'(ne pas modifier) BDD_REF'!$A$237:$A$240,'(ne pas modifier) BDD_REF'!$D$237:$D$240)))</f>
        <v>0</v>
      </c>
      <c r="M26" s="22">
        <f t="shared" si="0"/>
        <v>0</v>
      </c>
      <c r="N26" s="2"/>
      <c r="O26" s="2"/>
      <c r="P26" s="2"/>
      <c r="Q26" s="2"/>
    </row>
    <row r="27" spans="1:17" ht="28.8" x14ac:dyDescent="0.3">
      <c r="B27" s="7" t="s">
        <v>200</v>
      </c>
      <c r="C27" s="40">
        <f>Eligibilité_projet!B14 + 1</f>
        <v>21</v>
      </c>
      <c r="D27" s="40">
        <f>Eligibilité_projet!C14 + 1</f>
        <v>21</v>
      </c>
      <c r="E27" s="40">
        <f>Eligibilité_projet!D14 + 1</f>
        <v>1</v>
      </c>
      <c r="F27" s="40">
        <f>Eligibilité_projet!E14 + 1</f>
        <v>1</v>
      </c>
      <c r="G27" s="40">
        <f>Eligibilité_projet!F14 + 1</f>
        <v>1</v>
      </c>
      <c r="H27" s="40">
        <f>Eligibilité_projet!G14 + 1</f>
        <v>1</v>
      </c>
      <c r="I27" s="40">
        <f>Eligibilité_projet!H14 + 1</f>
        <v>1</v>
      </c>
      <c r="J27" s="40">
        <f>Eligibilité_projet!I14 + 1</f>
        <v>1</v>
      </c>
      <c r="K27" s="40">
        <f>Eligibilité_projet!J14 + 1</f>
        <v>1</v>
      </c>
      <c r="L27" s="40">
        <f>Eligibilité_projet!K14 + 1</f>
        <v>1</v>
      </c>
      <c r="M27" s="22">
        <f t="shared" si="0"/>
        <v>50</v>
      </c>
      <c r="N27" s="2"/>
      <c r="O27" s="2"/>
      <c r="P27" s="2"/>
      <c r="Q27" s="2"/>
    </row>
    <row r="28" spans="1:17" x14ac:dyDescent="0.3">
      <c r="B28" s="21" t="s">
        <v>296</v>
      </c>
      <c r="C28" s="24">
        <f>((C25/C27)-C26)*Eligibilité_projet!B8*44/12</f>
        <v>139.44857142857143</v>
      </c>
      <c r="D28" s="24">
        <f>((D25/D27)-D26)*Eligibilité_projet!C8*44/12</f>
        <v>38.963571428571434</v>
      </c>
      <c r="E28" s="24">
        <f>((E25/E27)-E26)*Eligibilité_projet!D8*44/12</f>
        <v>0</v>
      </c>
      <c r="F28" s="24">
        <f>((F25/F27)-F26)*Eligibilité_projet!E8*44/12</f>
        <v>0</v>
      </c>
      <c r="G28" s="24">
        <f>((G25/G27)-G26)*Eligibilité_projet!F8*44/12</f>
        <v>0</v>
      </c>
      <c r="H28" s="24">
        <f>((H25/H27)-H26)*Eligibilité_projet!G8*44/12</f>
        <v>0</v>
      </c>
      <c r="I28" s="24">
        <f>((I25/I27)-I26)*Eligibilité_projet!H8*44/12</f>
        <v>0</v>
      </c>
      <c r="J28" s="24">
        <f>((J25/J27)-J26)*Eligibilité_projet!I8*44/12</f>
        <v>0</v>
      </c>
      <c r="K28" s="24">
        <f>((K25/K27)-K26)*Eligibilité_projet!J8*44/12</f>
        <v>0</v>
      </c>
      <c r="L28" s="24">
        <f>((L25/L27)-L26)*Eligibilité_projet!K8*44/12</f>
        <v>0</v>
      </c>
      <c r="M28" s="24">
        <f t="shared" si="0"/>
        <v>178.41214285714287</v>
      </c>
      <c r="N28" s="2"/>
      <c r="O28" s="2"/>
      <c r="P28" s="2"/>
      <c r="Q28" s="2"/>
    </row>
    <row r="29" spans="1:17" x14ac:dyDescent="0.3">
      <c r="A29" s="2"/>
      <c r="B29" s="27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</row>
    <row r="30" spans="1:17" x14ac:dyDescent="0.3">
      <c r="A30" s="2"/>
      <c r="B30" s="27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</row>
    <row r="31" spans="1:17" x14ac:dyDescent="0.3">
      <c r="A31" s="2"/>
      <c r="B31" s="27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</row>
    <row r="32" spans="1:17" x14ac:dyDescent="0.3">
      <c r="A32" s="2"/>
      <c r="B32" s="27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</row>
    <row r="33" spans="1:13" x14ac:dyDescent="0.3">
      <c r="A33" s="2"/>
      <c r="B33" s="78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</row>
    <row r="34" spans="1:13" x14ac:dyDescent="0.3">
      <c r="A34" s="2"/>
      <c r="B34" s="27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</row>
    <row r="35" spans="1:13" x14ac:dyDescent="0.3">
      <c r="A35" s="2"/>
      <c r="B35" s="27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</row>
    <row r="36" spans="1:13" x14ac:dyDescent="0.3">
      <c r="A36" s="2"/>
      <c r="B36" s="27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</row>
  </sheetData>
  <sheetProtection algorithmName="SHA-512" hashValue="ZcNrzt8dPcPRDUshWZb0jivUEbhRNYZ9JpBdRbm5aaFgu0tDsTU6cP5DaUaBMw7CzEvIBpwnzG3ojks8mul8lw==" saltValue="e6BgaukqtKz6FKeTP5EKxg==" spinCount="100000" sheet="1" objects="1" scenarios="1"/>
  <mergeCells count="1">
    <mergeCell ref="A2:M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P16"/>
  <sheetViews>
    <sheetView zoomScale="80" zoomScaleNormal="80" workbookViewId="0">
      <selection activeCell="C6" sqref="C6"/>
    </sheetView>
  </sheetViews>
  <sheetFormatPr baseColWidth="10" defaultColWidth="11.44140625" defaultRowHeight="14.4" x14ac:dyDescent="0.3"/>
  <cols>
    <col min="1" max="1" width="8.5546875" customWidth="1"/>
    <col min="2" max="2" width="33.6640625" customWidth="1"/>
    <col min="3" max="3" width="12.33203125" bestFit="1" customWidth="1"/>
  </cols>
  <sheetData>
    <row r="2" spans="1:16" x14ac:dyDescent="0.3">
      <c r="B2" s="108" t="s">
        <v>332</v>
      </c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10"/>
    </row>
    <row r="4" spans="1:16" ht="28.8" x14ac:dyDescent="0.3"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18</v>
      </c>
      <c r="M4" s="14" t="s">
        <v>151</v>
      </c>
      <c r="N4" s="2"/>
      <c r="O4" s="2"/>
      <c r="P4" s="2"/>
    </row>
    <row r="5" spans="1:16" x14ac:dyDescent="0.3">
      <c r="B5" s="7" t="s">
        <v>306</v>
      </c>
      <c r="C5" s="22">
        <f>IF(AND(Eligibilité_projet!B13="Hors climat Mediterranéen",Eligibilité_projet!B16="Grandes cultures"),'(ne pas modifier) BDD_REF'!$C$268,IF(AND(Eligibilité_projet!B13="Hors climat Mediterranéen",Eligibilité_projet!B16="Prairies permanentes"),'(ne pas modifier) BDD_REF'!$C$267,IF(AND(Eligibilité_projet!B13="Hors climat Mediterranéen",Eligibilité_projet!B16="Viticulture"),'(ne pas modifier) BDD_REF'!$C$266,IF(AND(Eligibilité_projet!B13="Climat Sec Mediterranéen",Eligibilité_projet!B16="Grandes cultures"),'(ne pas modifier) BDD_REF'!$B$268,IF(AND(Eligibilité_projet!B13="Climat Sec Mediterranéen",Eligibilité_projet!B16="Prairies permanentes"),'(ne pas modifier) BDD_REF'!$B$267,IF(Eligibilité_projet!B13="",0,'(ne pas modifier) BDD_REF'!$B$266))))))</f>
        <v>52</v>
      </c>
      <c r="D5" s="22">
        <f>IF(AND(Eligibilité_projet!C13="Hors climat Mediterranéen",Eligibilité_projet!C16="Grandes cultures"),'(ne pas modifier) BDD_REF'!$C$268,IF(AND(Eligibilité_projet!C13="Hors climat Mediterranéen",Eligibilité_projet!C16="Prairies permanentes"),'(ne pas modifier) BDD_REF'!$C$267,IF(AND(Eligibilité_projet!C13="Hors climat Mediterranéen",Eligibilité_projet!C16="Viticulture"),'(ne pas modifier) BDD_REF'!$C$266,IF(AND(Eligibilité_projet!C13="Climat Sec Mediterranéen",Eligibilité_projet!C16="Grandes cultures"),'(ne pas modifier) BDD_REF'!$B$268,IF(AND(Eligibilité_projet!C13="Climat Sec Mediterranéen",Eligibilité_projet!C16="Prairies permanentes"),'(ne pas modifier) BDD_REF'!$B$267,IF(Eligibilité_projet!C13="",0,'(ne pas modifier) BDD_REF'!$B$266))))))</f>
        <v>52</v>
      </c>
      <c r="E5" s="39">
        <f>IF(AND(Eligibilité_projet!D13="Hors climat Mediterranéen",Eligibilité_projet!D16="Grandes cultures"),'(ne pas modifier) BDD_REF'!$C$268,IF(AND(Eligibilité_projet!D13="Hors climat Mediterranéen",Eligibilité_projet!D16="Prairies permanentes"),'(ne pas modifier) BDD_REF'!$C$267,IF(AND(Eligibilité_projet!D13="Hors climat Mediterranéen",Eligibilité_projet!D16="Viticulture"),'(ne pas modifier) BDD_REF'!$C$266,IF(AND(Eligibilité_projet!D13="Climat Sec Mediterranéen",Eligibilité_projet!D16="Grandes cultures"),'(ne pas modifier) BDD_REF'!$B$268,IF(AND(Eligibilité_projet!D13="Climat Sec Mediterranéen",Eligibilité_projet!D16="Prairies permanentes"),'(ne pas modifier) BDD_REF'!$B$267,IF(Eligibilité_projet!D13="",0,'(ne pas modifier) BDD_REF'!$B$266))))))</f>
        <v>0</v>
      </c>
      <c r="F5" s="39">
        <f>IF(AND(Eligibilité_projet!E13="Hors climat Mediterranéen",Eligibilité_projet!E16="Grandes cultures"),'(ne pas modifier) BDD_REF'!$C$268,IF(AND(Eligibilité_projet!E13="Hors climat Mediterranéen",Eligibilité_projet!E16="Prairies permanentes"),'(ne pas modifier) BDD_REF'!$C$267,IF(AND(Eligibilité_projet!E13="Hors climat Mediterranéen",Eligibilité_projet!E16="Viticulture"),'(ne pas modifier) BDD_REF'!$C$266,IF(AND(Eligibilité_projet!E13="Climat Sec Mediterranéen",Eligibilité_projet!E16="Grandes cultures"),'(ne pas modifier) BDD_REF'!$B$268,IF(AND(Eligibilité_projet!E13="Climat Sec Mediterranéen",Eligibilité_projet!E16="Prairies permanentes"),'(ne pas modifier) BDD_REF'!$B$267,IF(Eligibilité_projet!E13="",0,'(ne pas modifier) BDD_REF'!$B$266))))))</f>
        <v>0</v>
      </c>
      <c r="G5" s="39">
        <f>IF(AND(Eligibilité_projet!F13="Hors climat Mediterranéen",Eligibilité_projet!F16="Grandes cultures"),'(ne pas modifier) BDD_REF'!$C$268,IF(AND(Eligibilité_projet!F13="Hors climat Mediterranéen",Eligibilité_projet!F16="Prairies permanentes"),'(ne pas modifier) BDD_REF'!$C$267,IF(AND(Eligibilité_projet!F13="Hors climat Mediterranéen",Eligibilité_projet!F16="Viticulture"),'(ne pas modifier) BDD_REF'!$C$266,IF(AND(Eligibilité_projet!F13="Climat Sec Mediterranéen",Eligibilité_projet!F16="Grandes cultures"),'(ne pas modifier) BDD_REF'!$B$268,IF(AND(Eligibilité_projet!F13="Climat Sec Mediterranéen",Eligibilité_projet!F16="Prairies permanentes"),'(ne pas modifier) BDD_REF'!$B$267,IF(Eligibilité_projet!F13="",0,'(ne pas modifier) BDD_REF'!$B$266))))))</f>
        <v>0</v>
      </c>
      <c r="H5" s="39">
        <f>IF(AND(Eligibilité_projet!G13="Hors climat Mediterranéen",Eligibilité_projet!G16="Grandes cultures"),'(ne pas modifier) BDD_REF'!$C$268,IF(AND(Eligibilité_projet!G13="Hors climat Mediterranéen",Eligibilité_projet!G16="Prairies permanentes"),'(ne pas modifier) BDD_REF'!$C$267,IF(AND(Eligibilité_projet!G13="Hors climat Mediterranéen",Eligibilité_projet!G16="Viticulture"),'(ne pas modifier) BDD_REF'!$C$266,IF(AND(Eligibilité_projet!G13="Climat Sec Mediterranéen",Eligibilité_projet!G16="Grandes cultures"),'(ne pas modifier) BDD_REF'!$B$268,IF(AND(Eligibilité_projet!G13="Climat Sec Mediterranéen",Eligibilité_projet!G16="Prairies permanentes"),'(ne pas modifier) BDD_REF'!$B$267,IF(Eligibilité_projet!G13="",0,'(ne pas modifier) BDD_REF'!$B$266))))))</f>
        <v>0</v>
      </c>
      <c r="I5" s="39">
        <f>IF(AND(Eligibilité_projet!H13="Hors climat Mediterranéen",Eligibilité_projet!H16="Grandes cultures"),'(ne pas modifier) BDD_REF'!$C$268,IF(AND(Eligibilité_projet!H13="Hors climat Mediterranéen",Eligibilité_projet!H16="Prairies permanentes"),'(ne pas modifier) BDD_REF'!$C$267,IF(AND(Eligibilité_projet!H13="Hors climat Mediterranéen",Eligibilité_projet!H16="Viticulture"),'(ne pas modifier) BDD_REF'!$C$266,IF(AND(Eligibilité_projet!H13="Climat Sec Mediterranéen",Eligibilité_projet!H16="Grandes cultures"),'(ne pas modifier) BDD_REF'!$B$268,IF(AND(Eligibilité_projet!H13="Climat Sec Mediterranéen",Eligibilité_projet!H16="Prairies permanentes"),'(ne pas modifier) BDD_REF'!$B$267,IF(Eligibilité_projet!H13="",0,'(ne pas modifier) BDD_REF'!$B$266))))))</f>
        <v>0</v>
      </c>
      <c r="J5" s="39">
        <f>IF(AND(Eligibilité_projet!I13="Hors climat Mediterranéen",Eligibilité_projet!I16="Grandes cultures"),'(ne pas modifier) BDD_REF'!$C$268,IF(AND(Eligibilité_projet!I13="Hors climat Mediterranéen",Eligibilité_projet!I16="Prairies permanentes"),'(ne pas modifier) BDD_REF'!$C$267,IF(AND(Eligibilité_projet!I13="Hors climat Mediterranéen",Eligibilité_projet!I16="Viticulture"),'(ne pas modifier) BDD_REF'!$C$266,IF(AND(Eligibilité_projet!I13="Climat Sec Mediterranéen",Eligibilité_projet!I16="Grandes cultures"),'(ne pas modifier) BDD_REF'!$B$268,IF(AND(Eligibilité_projet!I13="Climat Sec Mediterranéen",Eligibilité_projet!I16="Prairies permanentes"),'(ne pas modifier) BDD_REF'!$B$267,IF(Eligibilité_projet!I13="",0,'(ne pas modifier) BDD_REF'!$B$266))))))</f>
        <v>0</v>
      </c>
      <c r="K5" s="39">
        <f>IF(AND(Eligibilité_projet!J13="Hors climat Mediterranéen",Eligibilité_projet!J16="Grandes cultures"),'(ne pas modifier) BDD_REF'!$C$268,IF(AND(Eligibilité_projet!J13="Hors climat Mediterranéen",Eligibilité_projet!J16="Prairies permanentes"),'(ne pas modifier) BDD_REF'!$C$267,IF(AND(Eligibilité_projet!J13="Hors climat Mediterranéen",Eligibilité_projet!J16="Viticulture"),'(ne pas modifier) BDD_REF'!$C$266,IF(AND(Eligibilité_projet!J13="Climat Sec Mediterranéen",Eligibilité_projet!J16="Grandes cultures"),'(ne pas modifier) BDD_REF'!$B$268,IF(AND(Eligibilité_projet!J13="Climat Sec Mediterranéen",Eligibilité_projet!J16="Prairies permanentes"),'(ne pas modifier) BDD_REF'!$B$267,IF(Eligibilité_projet!J13="",0,'(ne pas modifier) BDD_REF'!$B$266))))))</f>
        <v>0</v>
      </c>
      <c r="L5" s="39">
        <f>IF(AND(Eligibilité_projet!K13="Hors climat Mediterranéen",Eligibilité_projet!K16="Grandes cultures"),'(ne pas modifier) BDD_REF'!$C$268,IF(AND(Eligibilité_projet!K13="Hors climat Mediterranéen",Eligibilité_projet!K16="Prairies permanentes"),'(ne pas modifier) BDD_REF'!$C$267,IF(AND(Eligibilité_projet!K13="Hors climat Mediterranéen",Eligibilité_projet!K16="Viticulture"),'(ne pas modifier) BDD_REF'!$C$266,IF(AND(Eligibilité_projet!K13="Climat Sec Mediterranéen",Eligibilité_projet!K16="Grandes cultures"),'(ne pas modifier) BDD_REF'!$B$268,IF(AND(Eligibilité_projet!K13="Climat Sec Mediterranéen",Eligibilité_projet!K16="Prairies permanentes"),'(ne pas modifier) BDD_REF'!$B$267,IF(Eligibilité_projet!K13="",0,'(ne pas modifier) BDD_REF'!$B$266))))))</f>
        <v>0</v>
      </c>
      <c r="M5" s="22">
        <f>SUM(C5:L5)</f>
        <v>104</v>
      </c>
      <c r="N5" s="2"/>
      <c r="O5" s="2"/>
      <c r="P5" s="2"/>
    </row>
    <row r="6" spans="1:16" x14ac:dyDescent="0.3">
      <c r="B6" s="7" t="s">
        <v>307</v>
      </c>
      <c r="C6" s="22">
        <f>IF(Eligibilité_projet!B13="Hors climat Mediterranéen",'(ne pas modifier) BDD_REF'!$C$272,IF(Eligibilité_projet!B13="",0,'(ne pas modifier) BDD_REF'!$B$272))</f>
        <v>47</v>
      </c>
      <c r="D6" s="22">
        <f>IF(Eligibilité_projet!C13="Hors climat Mediterranéen",'(ne pas modifier) BDD_REF'!$C$272,IF(Eligibilité_projet!C13="",0,'(ne pas modifier) BDD_REF'!$B$272))</f>
        <v>47</v>
      </c>
      <c r="E6" s="22">
        <f>IF(Eligibilité_projet!D13="Hors climat Mediterranéen",'(ne pas modifier) BDD_REF'!$C$272,IF(Eligibilité_projet!D13="",0,'(ne pas modifier) BDD_REF'!$B$272))</f>
        <v>0</v>
      </c>
      <c r="F6" s="22">
        <f>IF(Eligibilité_projet!E13="Hors climat Mediterranéen",'(ne pas modifier) BDD_REF'!$C$272,IF(Eligibilité_projet!E13="",0,'(ne pas modifier) BDD_REF'!$B$272))</f>
        <v>0</v>
      </c>
      <c r="G6" s="22">
        <f>IF(Eligibilité_projet!F13="Hors climat Mediterranéen",'(ne pas modifier) BDD_REF'!$C$272,IF(Eligibilité_projet!F13="",0,'(ne pas modifier) BDD_REF'!$B$272))</f>
        <v>0</v>
      </c>
      <c r="H6" s="22">
        <f>IF(Eligibilité_projet!G13="Hors climat Mediterranéen",'(ne pas modifier) BDD_REF'!$C$272,IF(Eligibilité_projet!G13="",0,'(ne pas modifier) BDD_REF'!$B$272))</f>
        <v>0</v>
      </c>
      <c r="I6" s="22">
        <f>IF(Eligibilité_projet!H13="Hors climat Mediterranéen",'(ne pas modifier) BDD_REF'!$C$272,IF(Eligibilité_projet!H13="",0,'(ne pas modifier) BDD_REF'!$B$272))</f>
        <v>0</v>
      </c>
      <c r="J6" s="22">
        <f>IF(Eligibilité_projet!I13="Hors climat Mediterranéen",'(ne pas modifier) BDD_REF'!$C$272,IF(Eligibilité_projet!I13="",0,'(ne pas modifier) BDD_REF'!$B$272))</f>
        <v>0</v>
      </c>
      <c r="K6" s="22">
        <f>IF(Eligibilité_projet!J13="Hors climat Mediterranéen",'(ne pas modifier) BDD_REF'!$C$272,IF(Eligibilité_projet!J13="",0,'(ne pas modifier) BDD_REF'!$B$272))</f>
        <v>0</v>
      </c>
      <c r="L6" s="22">
        <f>IF(Eligibilité_projet!K13="Hors climat Mediterranéen",'(ne pas modifier) BDD_REF'!$C$272,IF(Eligibilité_projet!K13="",0,'(ne pas modifier) BDD_REF'!$B$272))</f>
        <v>0</v>
      </c>
      <c r="M6" s="22">
        <f>SUM(C6:L6)</f>
        <v>94</v>
      </c>
      <c r="N6" s="2"/>
      <c r="O6" s="2"/>
      <c r="P6" s="2"/>
    </row>
    <row r="7" spans="1:16" x14ac:dyDescent="0.3">
      <c r="B7" s="7" t="s">
        <v>305</v>
      </c>
      <c r="C7" s="22">
        <f>Eligibilité_projet!B15</f>
        <v>0.8</v>
      </c>
      <c r="D7" s="22">
        <f>Eligibilité_projet!C15</f>
        <v>0.8</v>
      </c>
      <c r="E7" s="22">
        <f>Eligibilité_projet!D15</f>
        <v>0</v>
      </c>
      <c r="F7" s="22">
        <f>Eligibilité_projet!E15</f>
        <v>0</v>
      </c>
      <c r="G7" s="22">
        <f>Eligibilité_projet!F15</f>
        <v>0</v>
      </c>
      <c r="H7" s="22">
        <f>Eligibilité_projet!G15</f>
        <v>0</v>
      </c>
      <c r="I7" s="22">
        <f>Eligibilité_projet!H15</f>
        <v>0</v>
      </c>
      <c r="J7" s="22">
        <f>Eligibilité_projet!I15</f>
        <v>0</v>
      </c>
      <c r="K7" s="22">
        <f>Eligibilité_projet!J15</f>
        <v>0</v>
      </c>
      <c r="L7" s="22">
        <f>Eligibilité_projet!K15</f>
        <v>0</v>
      </c>
      <c r="M7" s="22">
        <f>SUM(C7:L7)</f>
        <v>1.6</v>
      </c>
      <c r="N7" s="2"/>
      <c r="O7" s="2"/>
      <c r="P7" s="2"/>
    </row>
    <row r="8" spans="1:16" ht="28.8" x14ac:dyDescent="0.3">
      <c r="B8" s="7" t="s">
        <v>297</v>
      </c>
      <c r="C8" s="22">
        <f>Eligibilité_projet!B14</f>
        <v>20</v>
      </c>
      <c r="D8" s="22">
        <f>Eligibilité_projet!C14</f>
        <v>20</v>
      </c>
      <c r="E8" s="22">
        <f>Eligibilité_projet!D14</f>
        <v>0</v>
      </c>
      <c r="F8" s="22">
        <f>Eligibilité_projet!E14</f>
        <v>0</v>
      </c>
      <c r="G8" s="22">
        <f>Eligibilité_projet!F14</f>
        <v>0</v>
      </c>
      <c r="H8" s="22">
        <f>Eligibilité_projet!G14</f>
        <v>0</v>
      </c>
      <c r="I8" s="22">
        <f>Eligibilité_projet!H14</f>
        <v>0</v>
      </c>
      <c r="J8" s="22">
        <f>Eligibilité_projet!I14</f>
        <v>0</v>
      </c>
      <c r="K8" s="22">
        <f>Eligibilité_projet!J14</f>
        <v>0</v>
      </c>
      <c r="L8" s="22">
        <f>Eligibilité_projet!K14</f>
        <v>0</v>
      </c>
      <c r="M8" s="22">
        <f>SUM(C8:L8)</f>
        <v>40</v>
      </c>
      <c r="N8" s="2"/>
      <c r="O8" s="2"/>
      <c r="P8" s="2"/>
    </row>
    <row r="9" spans="1:16" x14ac:dyDescent="0.3">
      <c r="B9" s="21" t="s">
        <v>298</v>
      </c>
      <c r="C9" s="21">
        <f>((C6-C5)+('(ne pas modifier) BDD_REF'!$B$276*C7*C8))*Eligibilité_projet!B8*44/12</f>
        <v>35.405333333333324</v>
      </c>
      <c r="D9" s="21">
        <f>((D6-D5)+('(ne pas modifier) BDD_REF'!$B$276*D7*D8))*Eligibilité_projet!C8*44/12</f>
        <v>9.8926666666666669</v>
      </c>
      <c r="E9" s="21">
        <f>((E6-E5)+('(ne pas modifier) BDD_REF'!$B$276*E7*E8))*Eligibilité_projet!D8*44/12</f>
        <v>0</v>
      </c>
      <c r="F9" s="21">
        <f>((F6-F5)+('(ne pas modifier) BDD_REF'!$B$276*F7*F8))*Eligibilité_projet!E8*44/12</f>
        <v>0</v>
      </c>
      <c r="G9" s="21">
        <f>((G6-G5)+('(ne pas modifier) BDD_REF'!$B$276*G7*G8))*Eligibilité_projet!F8*44/12</f>
        <v>0</v>
      </c>
      <c r="H9" s="21">
        <f>((H6-H5)+('(ne pas modifier) BDD_REF'!$B$276*H7*H8))*Eligibilité_projet!G8*44/12</f>
        <v>0</v>
      </c>
      <c r="I9" s="21">
        <f>((I6-I5)+('(ne pas modifier) BDD_REF'!$B$276*I7*I8))*Eligibilité_projet!H8*44/12</f>
        <v>0</v>
      </c>
      <c r="J9" s="21">
        <f>((J6-J5)+('(ne pas modifier) BDD_REF'!$B$276*J7*J8))*Eligibilité_projet!I8*44/12</f>
        <v>0</v>
      </c>
      <c r="K9" s="21">
        <f>((K6-K5)+('(ne pas modifier) BDD_REF'!$B$276*K7*K8))*Eligibilité_projet!J8*44/12</f>
        <v>0</v>
      </c>
      <c r="L9" s="21">
        <f>((L6-L5)+('(ne pas modifier) BDD_REF'!$B$276*L7*L8))*Eligibilité_projet!K8*44/12</f>
        <v>0</v>
      </c>
      <c r="M9" s="21">
        <f>SUM(C9:L9)</f>
        <v>45.297999999999988</v>
      </c>
      <c r="N9" s="2"/>
      <c r="O9" s="2"/>
      <c r="P9" s="2"/>
    </row>
    <row r="10" spans="1:16" x14ac:dyDescent="0.3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1:16" x14ac:dyDescent="0.3">
      <c r="A11" s="2"/>
      <c r="B11" s="79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16" x14ac:dyDescent="0.3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</row>
    <row r="13" spans="1:16" x14ac:dyDescent="0.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</row>
    <row r="14" spans="1:16" x14ac:dyDescent="0.3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</row>
    <row r="15" spans="1:16" x14ac:dyDescent="0.3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</row>
    <row r="16" spans="1:16" x14ac:dyDescent="0.3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</row>
  </sheetData>
  <sheetProtection algorithmName="SHA-512" hashValue="LTYR4NiNpf9AFBgYv8XLVB1JBII3b4F0sP94LaiqeAVP9juyxZG7yvSGqQdMYQNYUq6St580Ug0zqdb+cDEYAw==" saltValue="lySc5OeP+6ZrSTOinUzRhw==" spinCount="100000" sheet="1" objects="1" scenarios="1"/>
  <mergeCells count="1">
    <mergeCell ref="B2:M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25"/>
  <sheetViews>
    <sheetView tabSelected="1" zoomScale="80" zoomScaleNormal="80" workbookViewId="0">
      <selection activeCell="G6" sqref="G6"/>
    </sheetView>
  </sheetViews>
  <sheetFormatPr baseColWidth="10" defaultColWidth="11.44140625" defaultRowHeight="14.4" x14ac:dyDescent="0.3"/>
  <cols>
    <col min="1" max="1" width="21.88671875" customWidth="1"/>
    <col min="2" max="2" width="44.44140625" customWidth="1"/>
    <col min="5" max="5" width="22.44140625" customWidth="1"/>
  </cols>
  <sheetData>
    <row r="1" spans="1:6" x14ac:dyDescent="0.3">
      <c r="D1" s="2"/>
      <c r="E1" s="2"/>
      <c r="F1" s="2"/>
    </row>
    <row r="2" spans="1:6" ht="47.25" customHeight="1" x14ac:dyDescent="0.3">
      <c r="B2" s="111" t="s">
        <v>333</v>
      </c>
      <c r="C2" s="113"/>
      <c r="D2" s="2"/>
      <c r="E2" s="2"/>
      <c r="F2" s="2"/>
    </row>
    <row r="3" spans="1:6" x14ac:dyDescent="0.3">
      <c r="D3" s="2"/>
      <c r="E3" s="2"/>
      <c r="F3" s="2"/>
    </row>
    <row r="4" spans="1:6" x14ac:dyDescent="0.3">
      <c r="B4" s="114" t="s">
        <v>142</v>
      </c>
      <c r="C4" s="115"/>
      <c r="D4" s="2"/>
      <c r="E4" s="2"/>
      <c r="F4" s="2"/>
    </row>
    <row r="5" spans="1:6" x14ac:dyDescent="0.3">
      <c r="D5" s="2"/>
      <c r="E5" s="2"/>
      <c r="F5" s="2"/>
    </row>
    <row r="6" spans="1:6" ht="43.2" x14ac:dyDescent="0.3">
      <c r="A6" s="73" t="s">
        <v>304</v>
      </c>
      <c r="B6" s="3" t="s">
        <v>299</v>
      </c>
      <c r="C6" s="15" t="str">
        <f>IF(Eligibilité_projet!C2="NON","/",'RECeff + REIamont (1)'!L7)</f>
        <v>/</v>
      </c>
      <c r="D6" s="2"/>
      <c r="E6" s="2"/>
      <c r="F6" s="2"/>
    </row>
    <row r="7" spans="1:6" x14ac:dyDescent="0.3">
      <c r="A7" s="41" t="s">
        <v>143</v>
      </c>
      <c r="B7" s="3" t="s">
        <v>299</v>
      </c>
      <c r="C7" s="15">
        <f>IF(Eligibilité_projet!C2="OUI","/",'RECeff + REIamont (2)'!M144)</f>
        <v>-31.159624951738135</v>
      </c>
      <c r="D7" s="2"/>
      <c r="E7" s="2"/>
      <c r="F7" s="2"/>
    </row>
    <row r="8" spans="1:6" x14ac:dyDescent="0.3">
      <c r="A8" s="16"/>
      <c r="B8" s="3" t="s">
        <v>199</v>
      </c>
      <c r="C8" s="15">
        <f>REIaval!M20</f>
        <v>0</v>
      </c>
      <c r="D8" s="2"/>
      <c r="E8" s="2"/>
      <c r="F8" s="2"/>
    </row>
    <row r="9" spans="1:6" x14ac:dyDescent="0.3">
      <c r="A9" s="2"/>
      <c r="B9" s="3" t="s">
        <v>300</v>
      </c>
      <c r="C9" s="15">
        <f>RECant_biom!M28</f>
        <v>178.41214285714287</v>
      </c>
      <c r="D9" s="2"/>
      <c r="E9" s="2"/>
      <c r="F9" s="2"/>
    </row>
    <row r="10" spans="1:6" x14ac:dyDescent="0.3">
      <c r="A10" s="2"/>
      <c r="B10" s="3" t="s">
        <v>298</v>
      </c>
      <c r="C10" s="15">
        <f>RECant_sol!M9</f>
        <v>45.297999999999988</v>
      </c>
      <c r="D10" s="2"/>
      <c r="E10" s="2"/>
      <c r="F10" s="2"/>
    </row>
    <row r="11" spans="1:6" x14ac:dyDescent="0.3">
      <c r="A11" s="2"/>
      <c r="B11" s="19" t="s">
        <v>301</v>
      </c>
      <c r="C11" s="42">
        <f>SUM(IF(Eligibilité_projet!C2="OUI",-C6,-C7),-C8,C10,C9)</f>
        <v>254.86976780888099</v>
      </c>
      <c r="D11" s="2"/>
      <c r="E11" s="2"/>
      <c r="F11" s="2"/>
    </row>
    <row r="12" spans="1:6" x14ac:dyDescent="0.3">
      <c r="A12" s="2"/>
      <c r="D12" s="2"/>
      <c r="E12" s="2"/>
      <c r="F12" s="2"/>
    </row>
    <row r="13" spans="1:6" x14ac:dyDescent="0.3">
      <c r="A13" s="2"/>
      <c r="B13" s="114" t="s">
        <v>350</v>
      </c>
      <c r="C13" s="115"/>
      <c r="D13" s="2"/>
      <c r="E13" s="2"/>
      <c r="F13" s="2"/>
    </row>
    <row r="14" spans="1:6" x14ac:dyDescent="0.3">
      <c r="A14" s="2"/>
      <c r="D14" s="2"/>
      <c r="E14" s="2"/>
      <c r="F14" s="2"/>
    </row>
    <row r="15" spans="1:6" x14ac:dyDescent="0.3">
      <c r="A15" s="2"/>
      <c r="B15" s="3" t="s">
        <v>299</v>
      </c>
      <c r="C15" s="91">
        <f>IF(Eligibilité_projet!C2="OUI",C6*(1-0.15),C7)</f>
        <v>-31.159624951738135</v>
      </c>
      <c r="D15" s="2"/>
      <c r="E15" s="2"/>
      <c r="F15" s="2"/>
    </row>
    <row r="16" spans="1:6" x14ac:dyDescent="0.3">
      <c r="A16" s="2"/>
      <c r="B16" s="3" t="s">
        <v>199</v>
      </c>
      <c r="C16" s="91">
        <f>C8</f>
        <v>0</v>
      </c>
      <c r="D16" s="2"/>
      <c r="E16" s="2"/>
      <c r="F16" s="2"/>
    </row>
    <row r="17" spans="1:6" x14ac:dyDescent="0.3">
      <c r="A17" s="2"/>
      <c r="B17" s="90" t="s">
        <v>300</v>
      </c>
      <c r="C17" s="15">
        <f>C9*(1-0.1)</f>
        <v>160.5709285714286</v>
      </c>
      <c r="D17" s="2"/>
      <c r="E17" s="2"/>
      <c r="F17" s="2"/>
    </row>
    <row r="18" spans="1:6" x14ac:dyDescent="0.3">
      <c r="A18" s="2"/>
      <c r="B18" s="90" t="s">
        <v>298</v>
      </c>
      <c r="C18" s="15">
        <f>RE!C10</f>
        <v>45.297999999999988</v>
      </c>
      <c r="D18" s="2"/>
      <c r="E18" s="2"/>
      <c r="F18" s="2"/>
    </row>
    <row r="19" spans="1:6" x14ac:dyDescent="0.3">
      <c r="A19" s="2"/>
      <c r="B19" s="3" t="s">
        <v>349</v>
      </c>
      <c r="C19" s="91">
        <f>(C17+C18)*0.9</f>
        <v>185.28203571428571</v>
      </c>
      <c r="D19" s="2"/>
      <c r="E19" s="2"/>
      <c r="F19" s="2"/>
    </row>
    <row r="20" spans="1:6" x14ac:dyDescent="0.3">
      <c r="A20" s="2"/>
      <c r="B20" s="19" t="s">
        <v>301</v>
      </c>
      <c r="C20" s="92">
        <f>SUM(-C15,-C16,C19)</f>
        <v>216.44166066602384</v>
      </c>
      <c r="D20" s="2"/>
      <c r="E20" s="2"/>
      <c r="F20" s="2"/>
    </row>
    <row r="21" spans="1:6" x14ac:dyDescent="0.3">
      <c r="A21" s="2"/>
      <c r="B21" s="2"/>
    </row>
    <row r="23" spans="1:6" s="34" customFormat="1" hidden="1" x14ac:dyDescent="0.3"/>
    <row r="24" spans="1:6" s="34" customFormat="1" hidden="1" x14ac:dyDescent="0.3"/>
    <row r="25" spans="1:6" s="34" customFormat="1" x14ac:dyDescent="0.3"/>
  </sheetData>
  <sheetProtection algorithmName="SHA-512" hashValue="nF292uGZEVdJmjkmXWPwoZzRQhpR5Ef0+W7zjz7TTeTXhaOE146OoqIFsJ1nSdnjG5DtQ0/fcw1zdy6v2KqQgA==" saltValue="W25Hk1p9YQzP1lw827h7sA==" spinCount="100000" sheet="1" objects="1" scenarios="1"/>
  <mergeCells count="3">
    <mergeCell ref="B13:C13"/>
    <mergeCell ref="B4:C4"/>
    <mergeCell ref="B2:C2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278"/>
  <sheetViews>
    <sheetView topLeftCell="A169" zoomScale="70" zoomScaleNormal="70" workbookViewId="0">
      <selection activeCell="A173" sqref="A173"/>
    </sheetView>
  </sheetViews>
  <sheetFormatPr baseColWidth="10" defaultColWidth="11.44140625" defaultRowHeight="14.4" x14ac:dyDescent="0.3"/>
  <cols>
    <col min="1" max="1" width="72.88671875" customWidth="1"/>
    <col min="2" max="2" width="41" customWidth="1"/>
    <col min="3" max="3" width="44.6640625" customWidth="1"/>
    <col min="4" max="4" width="28.5546875" customWidth="1"/>
    <col min="5" max="5" width="24.5546875" customWidth="1"/>
    <col min="6" max="6" width="28.88671875" customWidth="1"/>
    <col min="7" max="7" width="22.33203125" customWidth="1"/>
    <col min="8" max="8" width="19.109375" customWidth="1"/>
    <col min="9" max="9" width="21.88671875" customWidth="1"/>
    <col min="10" max="10" width="19.44140625" customWidth="1"/>
    <col min="11" max="11" width="25.109375" customWidth="1"/>
  </cols>
  <sheetData>
    <row r="1" spans="1:8" x14ac:dyDescent="0.3">
      <c r="A1" s="47" t="s">
        <v>23</v>
      </c>
      <c r="B1" s="48" t="s">
        <v>22</v>
      </c>
      <c r="C1" s="48" t="s">
        <v>8</v>
      </c>
      <c r="D1" s="48" t="s">
        <v>25</v>
      </c>
      <c r="E1" s="49" t="s">
        <v>24</v>
      </c>
      <c r="F1" s="34"/>
      <c r="G1" s="34"/>
      <c r="H1" s="50"/>
    </row>
    <row r="2" spans="1:8" ht="15" customHeight="1" x14ac:dyDescent="0.3">
      <c r="A2" s="51" t="s">
        <v>21</v>
      </c>
      <c r="B2" s="51" t="s">
        <v>6</v>
      </c>
      <c r="C2" s="38" t="s">
        <v>0</v>
      </c>
      <c r="D2" s="38" t="str">
        <f t="shared" ref="D2:D10" si="0">CONCATENATE(B2," - ",C2)</f>
        <v>Hors climat Mediterranéen - Grandes cultures</v>
      </c>
      <c r="E2" s="38">
        <v>52</v>
      </c>
    </row>
    <row r="3" spans="1:8" x14ac:dyDescent="0.3">
      <c r="A3" s="51" t="s">
        <v>21</v>
      </c>
      <c r="B3" s="51" t="s">
        <v>6</v>
      </c>
      <c r="C3" s="38" t="s">
        <v>1</v>
      </c>
      <c r="D3" s="38" t="str">
        <f t="shared" si="0"/>
        <v>Hors climat Mediterranéen - Prairies permanentes</v>
      </c>
      <c r="E3" s="38">
        <v>85</v>
      </c>
    </row>
    <row r="4" spans="1:8" x14ac:dyDescent="0.3">
      <c r="A4" s="51" t="s">
        <v>21</v>
      </c>
      <c r="B4" s="51" t="s">
        <v>6</v>
      </c>
      <c r="C4" s="38" t="s">
        <v>2</v>
      </c>
      <c r="D4" s="38" t="str">
        <f t="shared" si="0"/>
        <v>Hors climat Mediterranéen - Viticulture</v>
      </c>
      <c r="E4" s="38">
        <v>34</v>
      </c>
    </row>
    <row r="5" spans="1:8" x14ac:dyDescent="0.3">
      <c r="A5" s="51" t="s">
        <v>21</v>
      </c>
      <c r="B5" s="51" t="s">
        <v>6</v>
      </c>
      <c r="C5" s="38" t="s">
        <v>3</v>
      </c>
      <c r="D5" s="38" t="str">
        <f t="shared" si="0"/>
        <v>Hors climat Mediterranéen - Vergers</v>
      </c>
      <c r="E5" s="38">
        <v>47</v>
      </c>
    </row>
    <row r="6" spans="1:8" ht="15" customHeight="1" x14ac:dyDescent="0.3">
      <c r="A6" s="51" t="s">
        <v>21</v>
      </c>
      <c r="B6" s="51" t="s">
        <v>5</v>
      </c>
      <c r="C6" s="38" t="s">
        <v>0</v>
      </c>
      <c r="D6" s="38" t="str">
        <f t="shared" si="0"/>
        <v>Climat Sec Mediterranéen - Grandes cultures</v>
      </c>
      <c r="E6" s="38">
        <v>43.1</v>
      </c>
    </row>
    <row r="7" spans="1:8" x14ac:dyDescent="0.3">
      <c r="A7" s="51" t="s">
        <v>21</v>
      </c>
      <c r="B7" s="51" t="s">
        <v>5</v>
      </c>
      <c r="C7" s="38" t="b">
        <f>IF(Eligibilité_projet!B13="",'(ne pas modifier) BDD_REF'!B235:E235)</f>
        <v>0</v>
      </c>
      <c r="D7" s="38" t="str">
        <f t="shared" si="0"/>
        <v>Climat Sec Mediterranéen - FAUX</v>
      </c>
      <c r="E7" s="38">
        <v>49.5</v>
      </c>
    </row>
    <row r="8" spans="1:8" x14ac:dyDescent="0.3">
      <c r="A8" s="51" t="s">
        <v>21</v>
      </c>
      <c r="B8" s="51" t="s">
        <v>5</v>
      </c>
      <c r="C8" s="38" t="s">
        <v>2</v>
      </c>
      <c r="D8" s="38" t="str">
        <f t="shared" si="0"/>
        <v>Climat Sec Mediterranéen - Viticulture</v>
      </c>
      <c r="E8" s="38">
        <v>34.299999999999997</v>
      </c>
    </row>
    <row r="9" spans="1:8" x14ac:dyDescent="0.3">
      <c r="A9" s="51" t="s">
        <v>21</v>
      </c>
      <c r="B9" s="51" t="s">
        <v>5</v>
      </c>
      <c r="C9" s="38" t="s">
        <v>3</v>
      </c>
      <c r="D9" s="38" t="str">
        <f t="shared" si="0"/>
        <v>Climat Sec Mediterranéen - Vergers</v>
      </c>
      <c r="E9" s="38">
        <v>41.5</v>
      </c>
    </row>
    <row r="10" spans="1:8" x14ac:dyDescent="0.3">
      <c r="A10" s="51" t="s">
        <v>21</v>
      </c>
      <c r="B10" s="51" t="s">
        <v>5</v>
      </c>
      <c r="C10" s="38" t="s">
        <v>4</v>
      </c>
      <c r="D10" s="38" t="str">
        <f t="shared" si="0"/>
        <v>Climat Sec Mediterranéen - Friche herbacée</v>
      </c>
      <c r="E10" s="38">
        <v>52.7</v>
      </c>
    </row>
    <row r="11" spans="1:8" x14ac:dyDescent="0.3">
      <c r="A11" s="51" t="s">
        <v>7</v>
      </c>
      <c r="B11" s="51" t="s">
        <v>6</v>
      </c>
      <c r="C11" s="38" t="s">
        <v>0</v>
      </c>
      <c r="D11" s="38" t="str">
        <f>CONCATENATE(B11," - ",C11)</f>
        <v>Hors climat Mediterranéen - Grandes cultures</v>
      </c>
      <c r="E11" s="38">
        <f>(E5-E2)/20</f>
        <v>-0.25</v>
      </c>
    </row>
    <row r="12" spans="1:8" x14ac:dyDescent="0.3">
      <c r="A12" s="51" t="s">
        <v>7</v>
      </c>
      <c r="B12" s="51" t="s">
        <v>6</v>
      </c>
      <c r="C12" s="38" t="s">
        <v>1</v>
      </c>
      <c r="D12" s="38" t="str">
        <f t="shared" ref="D12:D17" si="1">CONCATENATE(B12," - ",C12)</f>
        <v>Hors climat Mediterranéen - Prairies permanentes</v>
      </c>
      <c r="E12" s="38">
        <f>(E5-E3)/20</f>
        <v>-1.9</v>
      </c>
    </row>
    <row r="13" spans="1:8" x14ac:dyDescent="0.3">
      <c r="A13" s="51" t="s">
        <v>7</v>
      </c>
      <c r="B13" s="51" t="s">
        <v>6</v>
      </c>
      <c r="C13" s="38" t="s">
        <v>2</v>
      </c>
      <c r="D13" s="38" t="str">
        <f t="shared" si="1"/>
        <v>Hors climat Mediterranéen - Viticulture</v>
      </c>
      <c r="E13" s="38">
        <f>(E5-E4)/20</f>
        <v>0.65</v>
      </c>
    </row>
    <row r="14" spans="1:8" x14ac:dyDescent="0.3">
      <c r="A14" s="51" t="s">
        <v>7</v>
      </c>
      <c r="B14" s="51" t="s">
        <v>5</v>
      </c>
      <c r="C14" s="38" t="s">
        <v>0</v>
      </c>
      <c r="D14" s="38" t="str">
        <f t="shared" si="1"/>
        <v>Climat Sec Mediterranéen - Grandes cultures</v>
      </c>
      <c r="E14" s="38">
        <f>(E9-E6)/20</f>
        <v>-8.0000000000000071E-2</v>
      </c>
      <c r="G14" s="52"/>
    </row>
    <row r="15" spans="1:8" x14ac:dyDescent="0.3">
      <c r="A15" s="51" t="s">
        <v>7</v>
      </c>
      <c r="B15" s="51" t="s">
        <v>5</v>
      </c>
      <c r="C15" s="38" t="s">
        <v>1</v>
      </c>
      <c r="D15" s="38" t="str">
        <f t="shared" si="1"/>
        <v>Climat Sec Mediterranéen - Prairies permanentes</v>
      </c>
      <c r="E15" s="38">
        <f>(E9-E7)/20</f>
        <v>-0.4</v>
      </c>
      <c r="G15" s="52"/>
    </row>
    <row r="16" spans="1:8" x14ac:dyDescent="0.3">
      <c r="A16" s="51" t="s">
        <v>7</v>
      </c>
      <c r="B16" s="51" t="s">
        <v>5</v>
      </c>
      <c r="C16" s="38" t="s">
        <v>2</v>
      </c>
      <c r="D16" s="38" t="str">
        <f t="shared" si="1"/>
        <v>Climat Sec Mediterranéen - Viticulture</v>
      </c>
      <c r="E16" s="38">
        <f>(E9-E8)/20</f>
        <v>0.36000000000000015</v>
      </c>
      <c r="G16" s="52"/>
    </row>
    <row r="17" spans="1:7" x14ac:dyDescent="0.3">
      <c r="A17" s="51" t="s">
        <v>7</v>
      </c>
      <c r="B17" s="51" t="s">
        <v>5</v>
      </c>
      <c r="C17" s="38" t="s">
        <v>4</v>
      </c>
      <c r="D17" s="38" t="str">
        <f t="shared" si="1"/>
        <v>Climat Sec Mediterranéen - Friche herbacée</v>
      </c>
      <c r="E17" s="38">
        <f>(E9-E10)/20</f>
        <v>-0.56000000000000016</v>
      </c>
      <c r="G17" s="52"/>
    </row>
    <row r="20" spans="1:7" x14ac:dyDescent="0.3">
      <c r="A20" s="53" t="s">
        <v>28</v>
      </c>
      <c r="B20" s="53" t="s">
        <v>29</v>
      </c>
      <c r="C20" s="53" t="s">
        <v>67</v>
      </c>
      <c r="D20" s="53" t="s">
        <v>30</v>
      </c>
    </row>
    <row r="21" spans="1:7" x14ac:dyDescent="0.3">
      <c r="A21" s="38" t="s">
        <v>31</v>
      </c>
      <c r="B21" s="38" t="s">
        <v>32</v>
      </c>
      <c r="C21" s="38" t="str">
        <f>CONCATENATE(A21," - ",B21)</f>
        <v>Abricotier - Gobelet</v>
      </c>
      <c r="D21" s="38">
        <v>300</v>
      </c>
    </row>
    <row r="22" spans="1:7" x14ac:dyDescent="0.3">
      <c r="A22" s="38" t="s">
        <v>33</v>
      </c>
      <c r="B22" s="38" t="s">
        <v>32</v>
      </c>
      <c r="C22" s="38" t="str">
        <f t="shared" ref="C22:C42" si="2">CONCATENATE(A22," - ",B22)</f>
        <v>Amandier - Gobelet</v>
      </c>
      <c r="D22" s="38">
        <v>150</v>
      </c>
    </row>
    <row r="23" spans="1:7" x14ac:dyDescent="0.3">
      <c r="A23" s="38" t="s">
        <v>34</v>
      </c>
      <c r="B23" s="38" t="s">
        <v>35</v>
      </c>
      <c r="C23" s="38" t="str">
        <f t="shared" si="2"/>
        <v>Cerisier de table - Axe</v>
      </c>
      <c r="D23" s="38">
        <v>600</v>
      </c>
    </row>
    <row r="24" spans="1:7" x14ac:dyDescent="0.3">
      <c r="A24" s="38" t="s">
        <v>36</v>
      </c>
      <c r="B24" s="38" t="s">
        <v>32</v>
      </c>
      <c r="C24" s="38" t="str">
        <f t="shared" si="2"/>
        <v>Cerisier - Gobelet</v>
      </c>
      <c r="D24" s="38">
        <v>150</v>
      </c>
    </row>
    <row r="25" spans="1:7" x14ac:dyDescent="0.3">
      <c r="A25" s="38" t="s">
        <v>37</v>
      </c>
      <c r="B25" s="38" t="s">
        <v>38</v>
      </c>
      <c r="C25" s="38" t="str">
        <f t="shared" si="2"/>
        <v>Châtaignier - Plein vent</v>
      </c>
      <c r="D25" s="38">
        <v>40</v>
      </c>
    </row>
    <row r="26" spans="1:7" x14ac:dyDescent="0.3">
      <c r="A26" s="38" t="s">
        <v>39</v>
      </c>
      <c r="B26" s="38" t="s">
        <v>38</v>
      </c>
      <c r="C26" s="38" t="str">
        <f t="shared" si="2"/>
        <v>Clémentinier - Plein vent</v>
      </c>
      <c r="D26" s="38">
        <v>500</v>
      </c>
    </row>
    <row r="27" spans="1:7" x14ac:dyDescent="0.3">
      <c r="A27" s="38" t="s">
        <v>40</v>
      </c>
      <c r="B27" s="38" t="s">
        <v>32</v>
      </c>
      <c r="C27" s="38" t="str">
        <f t="shared" si="2"/>
        <v>Cognassier - Gobelet</v>
      </c>
      <c r="D27" s="38">
        <v>300</v>
      </c>
    </row>
    <row r="28" spans="1:7" x14ac:dyDescent="0.3">
      <c r="A28" s="38" t="s">
        <v>40</v>
      </c>
      <c r="B28" s="38" t="s">
        <v>35</v>
      </c>
      <c r="C28" s="38" t="str">
        <f t="shared" si="2"/>
        <v>Cognassier - Axe</v>
      </c>
      <c r="D28" s="38">
        <v>1000</v>
      </c>
    </row>
    <row r="29" spans="1:7" x14ac:dyDescent="0.3">
      <c r="A29" s="38" t="s">
        <v>41</v>
      </c>
      <c r="B29" s="38" t="s">
        <v>32</v>
      </c>
      <c r="C29" s="38" t="str">
        <f t="shared" si="2"/>
        <v>Figuier - Gobelet</v>
      </c>
      <c r="D29" s="38">
        <v>200</v>
      </c>
    </row>
    <row r="30" spans="1:7" x14ac:dyDescent="0.3">
      <c r="A30" s="38" t="s">
        <v>42</v>
      </c>
      <c r="B30" s="38" t="s">
        <v>43</v>
      </c>
      <c r="C30" s="38" t="str">
        <f t="shared" si="2"/>
        <v>Kiwi - T-Barre</v>
      </c>
      <c r="D30" s="38">
        <v>350</v>
      </c>
    </row>
    <row r="31" spans="1:7" x14ac:dyDescent="0.3">
      <c r="A31" s="38" t="s">
        <v>44</v>
      </c>
      <c r="B31" s="38" t="s">
        <v>32</v>
      </c>
      <c r="C31" s="38" t="str">
        <f t="shared" si="2"/>
        <v>Noisetier - Gobelet</v>
      </c>
      <c r="D31" s="38">
        <v>250</v>
      </c>
    </row>
    <row r="32" spans="1:7" x14ac:dyDescent="0.3">
      <c r="A32" s="38" t="s">
        <v>45</v>
      </c>
      <c r="B32" s="38" t="s">
        <v>38</v>
      </c>
      <c r="C32" s="38" t="str">
        <f t="shared" si="2"/>
        <v>Noyer - Plein vent</v>
      </c>
      <c r="D32" s="38">
        <v>50</v>
      </c>
    </row>
    <row r="33" spans="1:7" x14ac:dyDescent="0.3">
      <c r="A33" s="38" t="s">
        <v>46</v>
      </c>
      <c r="B33" s="38" t="s">
        <v>35</v>
      </c>
      <c r="C33" s="38" t="str">
        <f t="shared" si="2"/>
        <v>Pêcher - Axe</v>
      </c>
      <c r="D33" s="38">
        <v>1000</v>
      </c>
    </row>
    <row r="34" spans="1:7" x14ac:dyDescent="0.3">
      <c r="A34" s="38" t="s">
        <v>46</v>
      </c>
      <c r="B34" s="38" t="s">
        <v>47</v>
      </c>
      <c r="C34" s="38" t="str">
        <f t="shared" si="2"/>
        <v>Pêcher - Upsilon</v>
      </c>
      <c r="D34" s="38">
        <v>500</v>
      </c>
    </row>
    <row r="35" spans="1:7" x14ac:dyDescent="0.3">
      <c r="A35" s="38" t="s">
        <v>46</v>
      </c>
      <c r="B35" s="38" t="s">
        <v>48</v>
      </c>
      <c r="C35" s="38" t="str">
        <f t="shared" si="2"/>
        <v>Pêcher - Palmette</v>
      </c>
      <c r="D35" s="38">
        <v>500</v>
      </c>
    </row>
    <row r="36" spans="1:7" x14ac:dyDescent="0.3">
      <c r="A36" s="38" t="s">
        <v>46</v>
      </c>
      <c r="B36" s="38" t="s">
        <v>32</v>
      </c>
      <c r="C36" s="38" t="str">
        <f t="shared" si="2"/>
        <v>Pêcher - Gobelet</v>
      </c>
      <c r="D36" s="38">
        <v>350</v>
      </c>
    </row>
    <row r="37" spans="1:7" x14ac:dyDescent="0.3">
      <c r="A37" s="38" t="s">
        <v>49</v>
      </c>
      <c r="B37" s="38" t="s">
        <v>35</v>
      </c>
      <c r="C37" s="38" t="str">
        <f t="shared" si="2"/>
        <v>Poirier - Axe</v>
      </c>
      <c r="D37" s="38">
        <v>1000</v>
      </c>
    </row>
    <row r="38" spans="1:7" x14ac:dyDescent="0.3">
      <c r="A38" s="38" t="s">
        <v>49</v>
      </c>
      <c r="B38" s="38" t="s">
        <v>32</v>
      </c>
      <c r="C38" s="38" t="str">
        <f t="shared" si="2"/>
        <v>Poirier - Gobelet</v>
      </c>
      <c r="D38" s="38">
        <v>300</v>
      </c>
    </row>
    <row r="39" spans="1:7" x14ac:dyDescent="0.3">
      <c r="A39" s="38" t="s">
        <v>50</v>
      </c>
      <c r="B39" s="38" t="s">
        <v>35</v>
      </c>
      <c r="C39" s="38" t="str">
        <f t="shared" si="2"/>
        <v>Pommier - Axe</v>
      </c>
      <c r="D39" s="38">
        <v>1000</v>
      </c>
    </row>
    <row r="40" spans="1:7" x14ac:dyDescent="0.3">
      <c r="A40" s="38" t="s">
        <v>50</v>
      </c>
      <c r="B40" s="38" t="s">
        <v>32</v>
      </c>
      <c r="C40" s="38" t="str">
        <f t="shared" si="2"/>
        <v>Pommier - Gobelet</v>
      </c>
      <c r="D40" s="38">
        <v>300</v>
      </c>
    </row>
    <row r="41" spans="1:7" x14ac:dyDescent="0.3">
      <c r="A41" s="38" t="s">
        <v>51</v>
      </c>
      <c r="B41" s="38" t="s">
        <v>35</v>
      </c>
      <c r="C41" s="38" t="str">
        <f t="shared" si="2"/>
        <v>Prunier de table - Axe</v>
      </c>
      <c r="D41" s="38">
        <v>1000</v>
      </c>
    </row>
    <row r="42" spans="1:7" x14ac:dyDescent="0.3">
      <c r="A42" s="38" t="s">
        <v>51</v>
      </c>
      <c r="B42" s="38" t="s">
        <v>32</v>
      </c>
      <c r="C42" s="38" t="str">
        <f t="shared" si="2"/>
        <v>Prunier de table - Gobelet</v>
      </c>
      <c r="D42" s="38">
        <v>300</v>
      </c>
    </row>
    <row r="44" spans="1:7" ht="15.6" x14ac:dyDescent="0.3">
      <c r="B44" s="116" t="s">
        <v>5</v>
      </c>
      <c r="C44" s="117"/>
      <c r="D44" s="118"/>
      <c r="E44" s="116" t="s">
        <v>69</v>
      </c>
      <c r="F44" s="117"/>
      <c r="G44" s="118"/>
    </row>
    <row r="45" spans="1:7" ht="31.2" x14ac:dyDescent="0.3">
      <c r="A45" s="54" t="s">
        <v>54</v>
      </c>
      <c r="B45" s="55" t="s">
        <v>55</v>
      </c>
      <c r="C45" s="48" t="s">
        <v>56</v>
      </c>
      <c r="D45" s="56" t="s">
        <v>57</v>
      </c>
      <c r="E45" s="55" t="s">
        <v>55</v>
      </c>
      <c r="F45" s="48" t="s">
        <v>56</v>
      </c>
      <c r="G45" s="56" t="s">
        <v>57</v>
      </c>
    </row>
    <row r="46" spans="1:7" x14ac:dyDescent="0.3">
      <c r="A46" s="38">
        <v>1</v>
      </c>
      <c r="B46" s="38">
        <v>2.4</v>
      </c>
      <c r="C46" s="38">
        <v>9.9</v>
      </c>
      <c r="D46" s="38">
        <f>B46-C46</f>
        <v>-7.5</v>
      </c>
      <c r="E46" s="38">
        <v>2.7</v>
      </c>
      <c r="F46" s="38">
        <v>5</v>
      </c>
      <c r="G46" s="38">
        <f>E46-F46</f>
        <v>-2.2999999999999998</v>
      </c>
    </row>
    <row r="47" spans="1:7" x14ac:dyDescent="0.3">
      <c r="A47" s="38">
        <v>2</v>
      </c>
      <c r="B47" s="38">
        <v>3.72</v>
      </c>
      <c r="C47" s="38">
        <v>9.9</v>
      </c>
      <c r="D47" s="38">
        <f t="shared" ref="D47:D65" si="3">B47-C47</f>
        <v>-6.18</v>
      </c>
      <c r="E47" s="38">
        <v>4.2</v>
      </c>
      <c r="F47" s="38">
        <v>5</v>
      </c>
      <c r="G47" s="38">
        <f t="shared" ref="G47:G65" si="4">E47-F47</f>
        <v>-0.79999999999999982</v>
      </c>
    </row>
    <row r="48" spans="1:7" x14ac:dyDescent="0.3">
      <c r="A48" s="38">
        <v>3</v>
      </c>
      <c r="B48" s="38">
        <v>5.04</v>
      </c>
      <c r="C48" s="38">
        <v>9.9</v>
      </c>
      <c r="D48" s="38">
        <f t="shared" si="3"/>
        <v>-4.8600000000000003</v>
      </c>
      <c r="E48" s="38">
        <v>5.6</v>
      </c>
      <c r="F48" s="38">
        <v>5</v>
      </c>
      <c r="G48" s="38">
        <f t="shared" si="4"/>
        <v>0.59999999999999964</v>
      </c>
    </row>
    <row r="49" spans="1:7" x14ac:dyDescent="0.3">
      <c r="A49" s="38">
        <v>4</v>
      </c>
      <c r="B49" s="38">
        <v>6.36</v>
      </c>
      <c r="C49" s="38">
        <v>9.9</v>
      </c>
      <c r="D49" s="38">
        <f t="shared" si="3"/>
        <v>-3.54</v>
      </c>
      <c r="E49" s="38">
        <v>7.1</v>
      </c>
      <c r="F49" s="38">
        <v>5</v>
      </c>
      <c r="G49" s="38">
        <f t="shared" si="4"/>
        <v>2.0999999999999996</v>
      </c>
    </row>
    <row r="50" spans="1:7" x14ac:dyDescent="0.3">
      <c r="A50" s="38">
        <v>5</v>
      </c>
      <c r="B50" s="38">
        <v>6.6</v>
      </c>
      <c r="C50" s="38">
        <v>9.9</v>
      </c>
      <c r="D50" s="38">
        <f t="shared" si="3"/>
        <v>-3.3000000000000007</v>
      </c>
      <c r="E50" s="38">
        <v>7.4</v>
      </c>
      <c r="F50" s="38">
        <v>5</v>
      </c>
      <c r="G50" s="38">
        <f t="shared" si="4"/>
        <v>2.4000000000000004</v>
      </c>
    </row>
    <row r="51" spans="1:7" x14ac:dyDescent="0.3">
      <c r="A51" s="38">
        <v>6</v>
      </c>
      <c r="B51" s="38">
        <v>7.7</v>
      </c>
      <c r="C51" s="38">
        <v>9.9</v>
      </c>
      <c r="D51" s="38">
        <f t="shared" si="3"/>
        <v>-2.2000000000000002</v>
      </c>
      <c r="E51" s="38">
        <v>8.6</v>
      </c>
      <c r="F51" s="38">
        <v>5</v>
      </c>
      <c r="G51" s="38">
        <f t="shared" si="4"/>
        <v>3.5999999999999996</v>
      </c>
    </row>
    <row r="52" spans="1:7" x14ac:dyDescent="0.3">
      <c r="A52" s="38">
        <v>7</v>
      </c>
      <c r="B52" s="38">
        <v>8.8000000000000007</v>
      </c>
      <c r="C52" s="38">
        <v>9.9</v>
      </c>
      <c r="D52" s="38">
        <f t="shared" si="3"/>
        <v>-1.0999999999999996</v>
      </c>
      <c r="E52" s="38">
        <v>9.8000000000000007</v>
      </c>
      <c r="F52" s="38">
        <v>5</v>
      </c>
      <c r="G52" s="38">
        <f t="shared" si="4"/>
        <v>4.8000000000000007</v>
      </c>
    </row>
    <row r="53" spans="1:7" x14ac:dyDescent="0.3">
      <c r="A53" s="38">
        <v>8</v>
      </c>
      <c r="B53" s="38">
        <v>9.9</v>
      </c>
      <c r="C53" s="38">
        <v>9.9</v>
      </c>
      <c r="D53" s="38">
        <f t="shared" si="3"/>
        <v>0</v>
      </c>
      <c r="E53" s="38">
        <v>11.1</v>
      </c>
      <c r="F53" s="38">
        <v>5</v>
      </c>
      <c r="G53" s="38">
        <f t="shared" si="4"/>
        <v>6.1</v>
      </c>
    </row>
    <row r="54" spans="1:7" x14ac:dyDescent="0.3">
      <c r="A54" s="38">
        <v>9</v>
      </c>
      <c r="B54" s="38">
        <v>11</v>
      </c>
      <c r="C54" s="38">
        <v>9.9</v>
      </c>
      <c r="D54" s="38">
        <f t="shared" si="3"/>
        <v>1.0999999999999996</v>
      </c>
      <c r="E54" s="38">
        <v>12.3</v>
      </c>
      <c r="F54" s="38">
        <v>5</v>
      </c>
      <c r="G54" s="38">
        <f t="shared" si="4"/>
        <v>7.3000000000000007</v>
      </c>
    </row>
    <row r="55" spans="1:7" x14ac:dyDescent="0.3">
      <c r="A55" s="38">
        <v>10</v>
      </c>
      <c r="B55" s="38">
        <v>12.1</v>
      </c>
      <c r="C55" s="38">
        <v>9.9</v>
      </c>
      <c r="D55" s="38">
        <f t="shared" si="3"/>
        <v>2.1999999999999993</v>
      </c>
      <c r="E55" s="38">
        <v>13.5</v>
      </c>
      <c r="F55" s="38">
        <v>5</v>
      </c>
      <c r="G55" s="38">
        <f t="shared" si="4"/>
        <v>8.5</v>
      </c>
    </row>
    <row r="56" spans="1:7" x14ac:dyDescent="0.3">
      <c r="A56" s="38">
        <v>11</v>
      </c>
      <c r="B56" s="38">
        <v>12.46</v>
      </c>
      <c r="C56" s="38">
        <v>9.9</v>
      </c>
      <c r="D56" s="38">
        <f t="shared" si="3"/>
        <v>2.5600000000000005</v>
      </c>
      <c r="E56" s="38">
        <v>13.9</v>
      </c>
      <c r="F56" s="38">
        <v>5</v>
      </c>
      <c r="G56" s="38">
        <f t="shared" si="4"/>
        <v>8.9</v>
      </c>
    </row>
    <row r="57" spans="1:7" x14ac:dyDescent="0.3">
      <c r="A57" s="38">
        <v>12</v>
      </c>
      <c r="B57" s="38">
        <v>12.82</v>
      </c>
      <c r="C57" s="38">
        <v>9.9</v>
      </c>
      <c r="D57" s="38">
        <f t="shared" si="3"/>
        <v>2.92</v>
      </c>
      <c r="E57" s="38">
        <v>14.3</v>
      </c>
      <c r="F57" s="38">
        <v>5</v>
      </c>
      <c r="G57" s="38">
        <f t="shared" si="4"/>
        <v>9.3000000000000007</v>
      </c>
    </row>
    <row r="58" spans="1:7" x14ac:dyDescent="0.3">
      <c r="A58" s="38">
        <v>13</v>
      </c>
      <c r="B58" s="38">
        <v>13.18</v>
      </c>
      <c r="C58" s="38">
        <v>9.9</v>
      </c>
      <c r="D58" s="38">
        <f t="shared" si="3"/>
        <v>3.2799999999999994</v>
      </c>
      <c r="E58" s="38">
        <v>14.7</v>
      </c>
      <c r="F58" s="38">
        <v>5</v>
      </c>
      <c r="G58" s="38">
        <f t="shared" si="4"/>
        <v>9.6999999999999993</v>
      </c>
    </row>
    <row r="59" spans="1:7" x14ac:dyDescent="0.3">
      <c r="A59" s="38">
        <v>14</v>
      </c>
      <c r="B59" s="38">
        <v>13.54</v>
      </c>
      <c r="C59" s="38">
        <v>9.9</v>
      </c>
      <c r="D59" s="38">
        <f t="shared" si="3"/>
        <v>3.6399999999999988</v>
      </c>
      <c r="E59" s="38">
        <v>15.1</v>
      </c>
      <c r="F59" s="38">
        <v>5</v>
      </c>
      <c r="G59" s="38">
        <f t="shared" si="4"/>
        <v>10.1</v>
      </c>
    </row>
    <row r="60" spans="1:7" x14ac:dyDescent="0.3">
      <c r="A60" s="38">
        <v>15</v>
      </c>
      <c r="B60" s="38">
        <v>13.9</v>
      </c>
      <c r="C60" s="38">
        <v>9.9</v>
      </c>
      <c r="D60" s="38">
        <f t="shared" si="3"/>
        <v>4</v>
      </c>
      <c r="E60" s="38">
        <v>15.6</v>
      </c>
      <c r="F60" s="38">
        <v>5</v>
      </c>
      <c r="G60" s="38">
        <f t="shared" si="4"/>
        <v>10.6</v>
      </c>
    </row>
    <row r="61" spans="1:7" x14ac:dyDescent="0.3">
      <c r="A61" s="38">
        <v>16</v>
      </c>
      <c r="B61" s="38">
        <v>13.98</v>
      </c>
      <c r="C61" s="38">
        <v>9.9</v>
      </c>
      <c r="D61" s="38">
        <f t="shared" si="3"/>
        <v>4.08</v>
      </c>
      <c r="E61" s="38">
        <v>15.6</v>
      </c>
      <c r="F61" s="38">
        <v>5</v>
      </c>
      <c r="G61" s="38">
        <f t="shared" si="4"/>
        <v>10.6</v>
      </c>
    </row>
    <row r="62" spans="1:7" x14ac:dyDescent="0.3">
      <c r="A62" s="38">
        <v>17</v>
      </c>
      <c r="B62" s="38">
        <v>14.06</v>
      </c>
      <c r="C62" s="38">
        <v>9.9</v>
      </c>
      <c r="D62" s="38">
        <f t="shared" si="3"/>
        <v>4.16</v>
      </c>
      <c r="E62" s="38">
        <v>15.7</v>
      </c>
      <c r="F62" s="38">
        <v>5</v>
      </c>
      <c r="G62" s="38">
        <f t="shared" si="4"/>
        <v>10.7</v>
      </c>
    </row>
    <row r="63" spans="1:7" x14ac:dyDescent="0.3">
      <c r="A63" s="38">
        <v>18</v>
      </c>
      <c r="B63" s="38">
        <v>14.14</v>
      </c>
      <c r="C63" s="38">
        <v>9.9</v>
      </c>
      <c r="D63" s="38">
        <f t="shared" si="3"/>
        <v>4.24</v>
      </c>
      <c r="E63" s="38">
        <v>15.8</v>
      </c>
      <c r="F63" s="38">
        <v>5</v>
      </c>
      <c r="G63" s="38">
        <f t="shared" si="4"/>
        <v>10.8</v>
      </c>
    </row>
    <row r="64" spans="1:7" x14ac:dyDescent="0.3">
      <c r="A64" s="38">
        <v>19</v>
      </c>
      <c r="B64" s="38">
        <v>14.22</v>
      </c>
      <c r="C64" s="38">
        <v>9.9</v>
      </c>
      <c r="D64" s="38">
        <f t="shared" si="3"/>
        <v>4.32</v>
      </c>
      <c r="E64" s="38">
        <v>15.9</v>
      </c>
      <c r="F64" s="38">
        <v>5</v>
      </c>
      <c r="G64" s="38">
        <f t="shared" si="4"/>
        <v>10.9</v>
      </c>
    </row>
    <row r="65" spans="1:7" x14ac:dyDescent="0.3">
      <c r="A65" s="38">
        <v>20</v>
      </c>
      <c r="B65" s="38">
        <v>14.3</v>
      </c>
      <c r="C65" s="38">
        <v>9.9</v>
      </c>
      <c r="D65" s="38">
        <f t="shared" si="3"/>
        <v>4.4000000000000004</v>
      </c>
      <c r="E65" s="38">
        <v>16</v>
      </c>
      <c r="F65" s="38">
        <v>5</v>
      </c>
      <c r="G65" s="38">
        <f t="shared" si="4"/>
        <v>11</v>
      </c>
    </row>
    <row r="67" spans="1:7" ht="15.6" x14ac:dyDescent="0.3">
      <c r="A67" s="57" t="s">
        <v>52</v>
      </c>
      <c r="B67" s="57" t="s">
        <v>8</v>
      </c>
      <c r="C67" s="57" t="s">
        <v>70</v>
      </c>
      <c r="D67" s="57" t="s">
        <v>58</v>
      </c>
      <c r="E67" s="57" t="s">
        <v>53</v>
      </c>
    </row>
    <row r="68" spans="1:7" x14ac:dyDescent="0.3">
      <c r="A68" s="58">
        <v>10</v>
      </c>
      <c r="B68" s="38" t="s">
        <v>0</v>
      </c>
      <c r="C68" s="51" t="s">
        <v>5</v>
      </c>
      <c r="D68" s="38" t="str">
        <f>CONCATENATE(A68," - ",B68,"-",C68)</f>
        <v>10 - Grandes cultures-Climat Sec Mediterranéen</v>
      </c>
      <c r="E68" s="59">
        <f>SUM(B$46:B$55)/11</f>
        <v>6.6927272727272715</v>
      </c>
    </row>
    <row r="69" spans="1:7" x14ac:dyDescent="0.3">
      <c r="A69" s="58">
        <v>11</v>
      </c>
      <c r="B69" s="38" t="s">
        <v>0</v>
      </c>
      <c r="C69" s="51" t="s">
        <v>5</v>
      </c>
      <c r="D69" s="38" t="str">
        <f t="shared" ref="D69:D100" si="5">CONCATENATE(A69," - ",B69,"-",C69)</f>
        <v>11 - Grandes cultures-Climat Sec Mediterranéen</v>
      </c>
      <c r="E69" s="59">
        <f>SUM(B$46:B$56)/12</f>
        <v>7.173333333333332</v>
      </c>
    </row>
    <row r="70" spans="1:7" x14ac:dyDescent="0.3">
      <c r="A70" s="58">
        <v>12</v>
      </c>
      <c r="B70" s="38" t="s">
        <v>0</v>
      </c>
      <c r="C70" s="51" t="s">
        <v>5</v>
      </c>
      <c r="D70" s="38" t="str">
        <f t="shared" si="5"/>
        <v>12 - Grandes cultures-Climat Sec Mediterranéen</v>
      </c>
      <c r="E70" s="59">
        <f>SUM(B$46:B$57)/(A70+1)</f>
        <v>7.6076923076923055</v>
      </c>
    </row>
    <row r="71" spans="1:7" x14ac:dyDescent="0.3">
      <c r="A71" s="58">
        <v>13</v>
      </c>
      <c r="B71" s="38" t="s">
        <v>0</v>
      </c>
      <c r="C71" s="51" t="s">
        <v>5</v>
      </c>
      <c r="D71" s="38" t="str">
        <f t="shared" si="5"/>
        <v>13 - Grandes cultures-Climat Sec Mediterranéen</v>
      </c>
      <c r="E71" s="59">
        <f>SUM(B$46:B$58)/14</f>
        <v>8.0057142857142853</v>
      </c>
    </row>
    <row r="72" spans="1:7" x14ac:dyDescent="0.3">
      <c r="A72" s="58">
        <v>14</v>
      </c>
      <c r="B72" s="38" t="s">
        <v>0</v>
      </c>
      <c r="C72" s="51" t="s">
        <v>5</v>
      </c>
      <c r="D72" s="38" t="str">
        <f t="shared" si="5"/>
        <v>14 - Grandes cultures-Climat Sec Mediterranéen</v>
      </c>
      <c r="E72" s="59">
        <f>SUM(B$46:B$59)/15</f>
        <v>8.3746666666666645</v>
      </c>
    </row>
    <row r="73" spans="1:7" x14ac:dyDescent="0.3">
      <c r="A73" s="58">
        <v>15</v>
      </c>
      <c r="B73" s="38" t="s">
        <v>0</v>
      </c>
      <c r="C73" s="51" t="s">
        <v>5</v>
      </c>
      <c r="D73" s="38" t="str">
        <f t="shared" si="5"/>
        <v>15 - Grandes cultures-Climat Sec Mediterranéen</v>
      </c>
      <c r="E73" s="59">
        <f>SUM(B$46:B$60)/16</f>
        <v>8.7199999999999989</v>
      </c>
    </row>
    <row r="74" spans="1:7" x14ac:dyDescent="0.3">
      <c r="A74" s="58">
        <v>16</v>
      </c>
      <c r="B74" s="38" t="s">
        <v>0</v>
      </c>
      <c r="C74" s="51" t="s">
        <v>5</v>
      </c>
      <c r="D74" s="38" t="str">
        <f t="shared" si="5"/>
        <v>16 - Grandes cultures-Climat Sec Mediterranéen</v>
      </c>
      <c r="E74" s="59">
        <f>SUM(B$46:B$61)/17</f>
        <v>9.0294117647058805</v>
      </c>
    </row>
    <row r="75" spans="1:7" x14ac:dyDescent="0.3">
      <c r="A75" s="58">
        <v>17</v>
      </c>
      <c r="B75" s="38" t="s">
        <v>0</v>
      </c>
      <c r="C75" s="51" t="s">
        <v>5</v>
      </c>
      <c r="D75" s="38" t="str">
        <f t="shared" si="5"/>
        <v>17 - Grandes cultures-Climat Sec Mediterranéen</v>
      </c>
      <c r="E75" s="59">
        <f>SUM(B$46:B$62)/18</f>
        <v>9.3088888888888874</v>
      </c>
    </row>
    <row r="76" spans="1:7" x14ac:dyDescent="0.3">
      <c r="A76" s="58">
        <v>18</v>
      </c>
      <c r="B76" s="38" t="s">
        <v>0</v>
      </c>
      <c r="C76" s="51" t="s">
        <v>5</v>
      </c>
      <c r="D76" s="38" t="str">
        <f t="shared" si="5"/>
        <v>18 - Grandes cultures-Climat Sec Mediterranéen</v>
      </c>
      <c r="E76" s="59">
        <f>SUM(B$46:B$63)/19</f>
        <v>9.5631578947368414</v>
      </c>
    </row>
    <row r="77" spans="1:7" x14ac:dyDescent="0.3">
      <c r="A77" s="58">
        <v>19</v>
      </c>
      <c r="B77" s="38" t="s">
        <v>0</v>
      </c>
      <c r="C77" s="51" t="s">
        <v>5</v>
      </c>
      <c r="D77" s="38" t="str">
        <f t="shared" si="5"/>
        <v>19 - Grandes cultures-Climat Sec Mediterranéen</v>
      </c>
      <c r="E77" s="59">
        <f>SUM(B$46:B$64)/20</f>
        <v>9.7959999999999994</v>
      </c>
    </row>
    <row r="78" spans="1:7" x14ac:dyDescent="0.3">
      <c r="A78" s="58">
        <v>20</v>
      </c>
      <c r="B78" s="38" t="s">
        <v>0</v>
      </c>
      <c r="C78" s="51" t="s">
        <v>5</v>
      </c>
      <c r="D78" s="38" t="str">
        <f t="shared" si="5"/>
        <v>20 - Grandes cultures-Climat Sec Mediterranéen</v>
      </c>
      <c r="E78" s="59">
        <f>SUM(B$46:B$65)/21</f>
        <v>10.01047619047619</v>
      </c>
    </row>
    <row r="79" spans="1:7" x14ac:dyDescent="0.3">
      <c r="A79" s="58">
        <v>10</v>
      </c>
      <c r="B79" s="38" t="s">
        <v>1</v>
      </c>
      <c r="C79" s="51" t="s">
        <v>5</v>
      </c>
      <c r="D79" s="38" t="str">
        <f t="shared" si="5"/>
        <v>10 - Prairies permanentes-Climat Sec Mediterranéen</v>
      </c>
      <c r="E79" s="59">
        <f>SUM(B$46:B$55)/11</f>
        <v>6.6927272727272715</v>
      </c>
    </row>
    <row r="80" spans="1:7" x14ac:dyDescent="0.3">
      <c r="A80" s="58">
        <v>11</v>
      </c>
      <c r="B80" s="38" t="s">
        <v>1</v>
      </c>
      <c r="C80" s="51" t="s">
        <v>5</v>
      </c>
      <c r="D80" s="38" t="str">
        <f t="shared" si="5"/>
        <v>11 - Prairies permanentes-Climat Sec Mediterranéen</v>
      </c>
      <c r="E80" s="59">
        <f>SUM(B$46:B$56)/12</f>
        <v>7.173333333333332</v>
      </c>
    </row>
    <row r="81" spans="1:5" x14ac:dyDescent="0.3">
      <c r="A81" s="58">
        <v>12</v>
      </c>
      <c r="B81" s="38" t="s">
        <v>1</v>
      </c>
      <c r="C81" s="51" t="s">
        <v>5</v>
      </c>
      <c r="D81" s="38" t="str">
        <f t="shared" si="5"/>
        <v>12 - Prairies permanentes-Climat Sec Mediterranéen</v>
      </c>
      <c r="E81" s="59">
        <f>SUM(B$46:B$57)/(A81+1)</f>
        <v>7.6076923076923055</v>
      </c>
    </row>
    <row r="82" spans="1:5" x14ac:dyDescent="0.3">
      <c r="A82" s="58">
        <v>13</v>
      </c>
      <c r="B82" s="38" t="s">
        <v>1</v>
      </c>
      <c r="C82" s="51" t="s">
        <v>5</v>
      </c>
      <c r="D82" s="38" t="str">
        <f t="shared" si="5"/>
        <v>13 - Prairies permanentes-Climat Sec Mediterranéen</v>
      </c>
      <c r="E82" s="59">
        <f>SUM(B$46:B$58)/14</f>
        <v>8.0057142857142853</v>
      </c>
    </row>
    <row r="83" spans="1:5" x14ac:dyDescent="0.3">
      <c r="A83" s="58">
        <v>14</v>
      </c>
      <c r="B83" s="38" t="s">
        <v>1</v>
      </c>
      <c r="C83" s="51" t="s">
        <v>5</v>
      </c>
      <c r="D83" s="38" t="str">
        <f t="shared" si="5"/>
        <v>14 - Prairies permanentes-Climat Sec Mediterranéen</v>
      </c>
      <c r="E83" s="59">
        <f>SUM(B$46:B$59)/15</f>
        <v>8.3746666666666645</v>
      </c>
    </row>
    <row r="84" spans="1:5" x14ac:dyDescent="0.3">
      <c r="A84" s="58">
        <v>15</v>
      </c>
      <c r="B84" s="38" t="s">
        <v>1</v>
      </c>
      <c r="C84" s="51" t="s">
        <v>5</v>
      </c>
      <c r="D84" s="38" t="str">
        <f t="shared" si="5"/>
        <v>15 - Prairies permanentes-Climat Sec Mediterranéen</v>
      </c>
      <c r="E84" s="59">
        <f>SUM(B$46:B$60)/16</f>
        <v>8.7199999999999989</v>
      </c>
    </row>
    <row r="85" spans="1:5" x14ac:dyDescent="0.3">
      <c r="A85" s="58">
        <v>16</v>
      </c>
      <c r="B85" s="38" t="s">
        <v>1</v>
      </c>
      <c r="C85" s="51" t="s">
        <v>5</v>
      </c>
      <c r="D85" s="38" t="str">
        <f t="shared" si="5"/>
        <v>16 - Prairies permanentes-Climat Sec Mediterranéen</v>
      </c>
      <c r="E85" s="59">
        <f>SUM(B$46:B$61)/17</f>
        <v>9.0294117647058805</v>
      </c>
    </row>
    <row r="86" spans="1:5" x14ac:dyDescent="0.3">
      <c r="A86" s="58">
        <v>17</v>
      </c>
      <c r="B86" s="38" t="s">
        <v>1</v>
      </c>
      <c r="C86" s="51" t="s">
        <v>5</v>
      </c>
      <c r="D86" s="38" t="str">
        <f t="shared" si="5"/>
        <v>17 - Prairies permanentes-Climat Sec Mediterranéen</v>
      </c>
      <c r="E86" s="59">
        <f>SUM(B$46:B$62)/18</f>
        <v>9.3088888888888874</v>
      </c>
    </row>
    <row r="87" spans="1:5" x14ac:dyDescent="0.3">
      <c r="A87" s="58">
        <v>18</v>
      </c>
      <c r="B87" s="38" t="s">
        <v>1</v>
      </c>
      <c r="C87" s="51" t="s">
        <v>5</v>
      </c>
      <c r="D87" s="38" t="str">
        <f t="shared" si="5"/>
        <v>18 - Prairies permanentes-Climat Sec Mediterranéen</v>
      </c>
      <c r="E87" s="59">
        <f>SUM(B$46:B$63)/19</f>
        <v>9.5631578947368414</v>
      </c>
    </row>
    <row r="88" spans="1:5" x14ac:dyDescent="0.3">
      <c r="A88" s="58">
        <v>19</v>
      </c>
      <c r="B88" s="38" t="s">
        <v>1</v>
      </c>
      <c r="C88" s="51" t="s">
        <v>5</v>
      </c>
      <c r="D88" s="38" t="str">
        <f t="shared" si="5"/>
        <v>19 - Prairies permanentes-Climat Sec Mediterranéen</v>
      </c>
      <c r="E88" s="59">
        <f>SUM(B$46:B$64)/20</f>
        <v>9.7959999999999994</v>
      </c>
    </row>
    <row r="89" spans="1:5" x14ac:dyDescent="0.3">
      <c r="A89" s="58">
        <v>20</v>
      </c>
      <c r="B89" s="38" t="s">
        <v>1</v>
      </c>
      <c r="C89" s="51" t="s">
        <v>5</v>
      </c>
      <c r="D89" s="38" t="str">
        <f t="shared" si="5"/>
        <v>20 - Prairies permanentes-Climat Sec Mediterranéen</v>
      </c>
      <c r="E89" s="59">
        <f>SUM(B$46:B$65)/21</f>
        <v>10.01047619047619</v>
      </c>
    </row>
    <row r="90" spans="1:5" x14ac:dyDescent="0.3">
      <c r="A90" s="58">
        <v>10</v>
      </c>
      <c r="B90" s="38" t="s">
        <v>2</v>
      </c>
      <c r="C90" s="51" t="s">
        <v>5</v>
      </c>
      <c r="D90" s="38" t="str">
        <f t="shared" si="5"/>
        <v>10 - Viticulture-Climat Sec Mediterranéen</v>
      </c>
      <c r="E90" s="59">
        <f>SUM(D46:D55)/11</f>
        <v>-2.3072727272727271</v>
      </c>
    </row>
    <row r="91" spans="1:5" x14ac:dyDescent="0.3">
      <c r="A91" s="58">
        <v>11</v>
      </c>
      <c r="B91" s="38" t="s">
        <v>2</v>
      </c>
      <c r="C91" s="51" t="s">
        <v>5</v>
      </c>
      <c r="D91" s="38" t="str">
        <f t="shared" si="5"/>
        <v>11 - Viticulture-Climat Sec Mediterranéen</v>
      </c>
      <c r="E91" s="59">
        <f>SUM(D46:D56)/12</f>
        <v>-1.9016666666666666</v>
      </c>
    </row>
    <row r="92" spans="1:5" x14ac:dyDescent="0.3">
      <c r="A92" s="58">
        <v>12</v>
      </c>
      <c r="B92" s="38" t="s">
        <v>2</v>
      </c>
      <c r="C92" s="51" t="s">
        <v>5</v>
      </c>
      <c r="D92" s="38" t="str">
        <f t="shared" si="5"/>
        <v>12 - Viticulture-Climat Sec Mediterranéen</v>
      </c>
      <c r="E92" s="59">
        <f>SUM(D46:D57)/13</f>
        <v>-1.5307692307692307</v>
      </c>
    </row>
    <row r="93" spans="1:5" x14ac:dyDescent="0.3">
      <c r="A93" s="58">
        <v>13</v>
      </c>
      <c r="B93" s="38" t="s">
        <v>2</v>
      </c>
      <c r="C93" s="51" t="s">
        <v>5</v>
      </c>
      <c r="D93" s="38" t="str">
        <f t="shared" si="5"/>
        <v>13 - Viticulture-Climat Sec Mediterranéen</v>
      </c>
      <c r="E93" s="59">
        <f>SUM(D46:D58)/14</f>
        <v>-1.1871428571428571</v>
      </c>
    </row>
    <row r="94" spans="1:5" x14ac:dyDescent="0.3">
      <c r="A94" s="58">
        <v>14</v>
      </c>
      <c r="B94" s="38" t="s">
        <v>2</v>
      </c>
      <c r="C94" s="51" t="s">
        <v>5</v>
      </c>
      <c r="D94" s="38" t="str">
        <f t="shared" si="5"/>
        <v>14 - Viticulture-Climat Sec Mediterranéen</v>
      </c>
      <c r="E94" s="59">
        <f>SUM(D46:D59)/15</f>
        <v>-0.86533333333333329</v>
      </c>
    </row>
    <row r="95" spans="1:5" x14ac:dyDescent="0.3">
      <c r="A95" s="58">
        <v>15</v>
      </c>
      <c r="B95" s="38" t="s">
        <v>2</v>
      </c>
      <c r="C95" s="51" t="s">
        <v>5</v>
      </c>
      <c r="D95" s="38" t="str">
        <f t="shared" si="5"/>
        <v>15 - Viticulture-Climat Sec Mediterranéen</v>
      </c>
      <c r="E95" s="59">
        <f>SUM(D46:D60)/16</f>
        <v>-0.56124999999999992</v>
      </c>
    </row>
    <row r="96" spans="1:5" x14ac:dyDescent="0.3">
      <c r="A96" s="58">
        <v>16</v>
      </c>
      <c r="B96" s="38" t="s">
        <v>2</v>
      </c>
      <c r="C96" s="51" t="s">
        <v>5</v>
      </c>
      <c r="D96" s="38" t="str">
        <f t="shared" si="5"/>
        <v>16 - Viticulture-Climat Sec Mediterranéen</v>
      </c>
      <c r="E96" s="59">
        <f>SUM(D46:D61)/17</f>
        <v>-0.28823529411764698</v>
      </c>
    </row>
    <row r="97" spans="1:5" x14ac:dyDescent="0.3">
      <c r="A97" s="58">
        <v>17</v>
      </c>
      <c r="B97" s="38" t="s">
        <v>2</v>
      </c>
      <c r="C97" s="51" t="s">
        <v>5</v>
      </c>
      <c r="D97" s="38" t="str">
        <f t="shared" si="5"/>
        <v>17 - Viticulture-Climat Sec Mediterranéen</v>
      </c>
      <c r="E97" s="59">
        <f>SUM(D46:D62)/18</f>
        <v>-4.1111111111111022E-2</v>
      </c>
    </row>
    <row r="98" spans="1:5" x14ac:dyDescent="0.3">
      <c r="A98" s="58">
        <v>18</v>
      </c>
      <c r="B98" s="38" t="s">
        <v>2</v>
      </c>
      <c r="C98" s="51" t="s">
        <v>5</v>
      </c>
      <c r="D98" s="38" t="str">
        <f t="shared" si="5"/>
        <v>18 - Viticulture-Climat Sec Mediterranéen</v>
      </c>
      <c r="E98" s="59">
        <f>SUM(D46:D63)/19</f>
        <v>0.18421052631578957</v>
      </c>
    </row>
    <row r="99" spans="1:5" x14ac:dyDescent="0.3">
      <c r="A99" s="58">
        <v>19</v>
      </c>
      <c r="B99" s="38" t="s">
        <v>2</v>
      </c>
      <c r="C99" s="51" t="s">
        <v>5</v>
      </c>
      <c r="D99" s="38" t="str">
        <f t="shared" si="5"/>
        <v>19 - Viticulture-Climat Sec Mediterranéen</v>
      </c>
      <c r="E99" s="59">
        <f>SUM(D46:D64)/20</f>
        <v>0.39100000000000013</v>
      </c>
    </row>
    <row r="100" spans="1:5" x14ac:dyDescent="0.3">
      <c r="A100" s="58">
        <v>20</v>
      </c>
      <c r="B100" s="38" t="s">
        <v>2</v>
      </c>
      <c r="C100" s="51" t="s">
        <v>5</v>
      </c>
      <c r="D100" s="38" t="str">
        <f t="shared" si="5"/>
        <v>20 - Viticulture-Climat Sec Mediterranéen</v>
      </c>
      <c r="E100" s="59">
        <f>SUM(D46:D65)/21</f>
        <v>0.58190476190476204</v>
      </c>
    </row>
    <row r="101" spans="1:5" x14ac:dyDescent="0.3">
      <c r="A101" s="58">
        <v>10</v>
      </c>
      <c r="B101" s="38" t="s">
        <v>0</v>
      </c>
      <c r="C101" s="51" t="s">
        <v>6</v>
      </c>
      <c r="D101" s="38" t="str">
        <f>CONCATENATE(A101," - ",B101,"-",C101)</f>
        <v>10 - Grandes cultures-Hors climat Mediterranéen</v>
      </c>
      <c r="E101" s="59">
        <f>SUM(E$46:E$55)/11</f>
        <v>7.4818181818181833</v>
      </c>
    </row>
    <row r="102" spans="1:5" x14ac:dyDescent="0.3">
      <c r="A102" s="58">
        <v>11</v>
      </c>
      <c r="B102" s="38" t="s">
        <v>0</v>
      </c>
      <c r="C102" s="51" t="s">
        <v>6</v>
      </c>
      <c r="D102" s="38" t="str">
        <f t="shared" ref="D102:D133" si="6">CONCATENATE(A102," - ",B102,"-",C102)</f>
        <v>11 - Grandes cultures-Hors climat Mediterranéen</v>
      </c>
      <c r="E102" s="59">
        <f>SUM(E$46:E$56)/12</f>
        <v>8.0166666666666675</v>
      </c>
    </row>
    <row r="103" spans="1:5" x14ac:dyDescent="0.3">
      <c r="A103" s="58">
        <v>12</v>
      </c>
      <c r="B103" s="38" t="s">
        <v>0</v>
      </c>
      <c r="C103" s="51" t="s">
        <v>6</v>
      </c>
      <c r="D103" s="38" t="str">
        <f t="shared" si="6"/>
        <v>12 - Grandes cultures-Hors climat Mediterranéen</v>
      </c>
      <c r="E103" s="59">
        <f>SUM(E$46:E$57)/(A103+1)</f>
        <v>8.5000000000000018</v>
      </c>
    </row>
    <row r="104" spans="1:5" x14ac:dyDescent="0.3">
      <c r="A104" s="58">
        <v>13</v>
      </c>
      <c r="B104" s="38" t="s">
        <v>0</v>
      </c>
      <c r="C104" s="51" t="s">
        <v>6</v>
      </c>
      <c r="D104" s="38" t="str">
        <f t="shared" si="6"/>
        <v>13 - Grandes cultures-Hors climat Mediterranéen</v>
      </c>
      <c r="E104" s="59">
        <f>SUM(E$46:E$58)/14</f>
        <v>8.9428571428571448</v>
      </c>
    </row>
    <row r="105" spans="1:5" x14ac:dyDescent="0.3">
      <c r="A105" s="58">
        <v>14</v>
      </c>
      <c r="B105" s="38" t="s">
        <v>0</v>
      </c>
      <c r="C105" s="51" t="s">
        <v>6</v>
      </c>
      <c r="D105" s="38" t="str">
        <f t="shared" si="6"/>
        <v>14 - Grandes cultures-Hors climat Mediterranéen</v>
      </c>
      <c r="E105" s="59">
        <f>SUM(E$46:E$59)/15</f>
        <v>9.3533333333333335</v>
      </c>
    </row>
    <row r="106" spans="1:5" x14ac:dyDescent="0.3">
      <c r="A106" s="58">
        <v>15</v>
      </c>
      <c r="B106" s="38" t="s">
        <v>0</v>
      </c>
      <c r="C106" s="51" t="s">
        <v>6</v>
      </c>
      <c r="D106" s="38" t="str">
        <f t="shared" si="6"/>
        <v>15 - Grandes cultures-Hors climat Mediterranéen</v>
      </c>
      <c r="E106" s="59">
        <f>SUM(E$46:E$60)/16</f>
        <v>9.7437500000000004</v>
      </c>
    </row>
    <row r="107" spans="1:5" x14ac:dyDescent="0.3">
      <c r="A107" s="58">
        <v>16</v>
      </c>
      <c r="B107" s="38" t="s">
        <v>0</v>
      </c>
      <c r="C107" s="51" t="s">
        <v>6</v>
      </c>
      <c r="D107" s="38" t="str">
        <f t="shared" si="6"/>
        <v>16 - Grandes cultures-Hors climat Mediterranéen</v>
      </c>
      <c r="E107" s="59">
        <f>SUM(E$46:E$61)/17</f>
        <v>10.088235294117647</v>
      </c>
    </row>
    <row r="108" spans="1:5" x14ac:dyDescent="0.3">
      <c r="A108" s="58">
        <v>17</v>
      </c>
      <c r="B108" s="38" t="s">
        <v>0</v>
      </c>
      <c r="C108" s="51" t="s">
        <v>6</v>
      </c>
      <c r="D108" s="38" t="str">
        <f t="shared" si="6"/>
        <v>17 - Grandes cultures-Hors climat Mediterranéen</v>
      </c>
      <c r="E108" s="59">
        <f>SUM(E$46:E$62)/18</f>
        <v>10.399999999999999</v>
      </c>
    </row>
    <row r="109" spans="1:5" x14ac:dyDescent="0.3">
      <c r="A109" s="58">
        <v>18</v>
      </c>
      <c r="B109" s="38" t="s">
        <v>0</v>
      </c>
      <c r="C109" s="51" t="s">
        <v>6</v>
      </c>
      <c r="D109" s="38" t="str">
        <f t="shared" si="6"/>
        <v>18 - Grandes cultures-Hors climat Mediterranéen</v>
      </c>
      <c r="E109" s="59">
        <f>SUM(E$46:E$63)/19</f>
        <v>10.684210526315789</v>
      </c>
    </row>
    <row r="110" spans="1:5" x14ac:dyDescent="0.3">
      <c r="A110" s="58">
        <v>19</v>
      </c>
      <c r="B110" s="38" t="s">
        <v>0</v>
      </c>
      <c r="C110" s="51" t="s">
        <v>6</v>
      </c>
      <c r="D110" s="38" t="str">
        <f t="shared" si="6"/>
        <v>19 - Grandes cultures-Hors climat Mediterranéen</v>
      </c>
      <c r="E110" s="59">
        <f>SUM(E$46:E$64)/20</f>
        <v>10.945</v>
      </c>
    </row>
    <row r="111" spans="1:5" x14ac:dyDescent="0.3">
      <c r="A111" s="58">
        <v>20</v>
      </c>
      <c r="B111" s="38" t="s">
        <v>0</v>
      </c>
      <c r="C111" s="51" t="s">
        <v>6</v>
      </c>
      <c r="D111" s="38" t="str">
        <f t="shared" si="6"/>
        <v>20 - Grandes cultures-Hors climat Mediterranéen</v>
      </c>
      <c r="E111" s="59">
        <f>SUM(E$46:E$65)/21</f>
        <v>11.185714285714287</v>
      </c>
    </row>
    <row r="112" spans="1:5" x14ac:dyDescent="0.3">
      <c r="A112" s="58">
        <v>10</v>
      </c>
      <c r="B112" s="38" t="s">
        <v>1</v>
      </c>
      <c r="C112" s="51" t="s">
        <v>6</v>
      </c>
      <c r="D112" s="38" t="str">
        <f t="shared" si="6"/>
        <v>10 - Prairies permanentes-Hors climat Mediterranéen</v>
      </c>
      <c r="E112" s="59">
        <f>SUM(E$46:E$55)/11</f>
        <v>7.4818181818181833</v>
      </c>
    </row>
    <row r="113" spans="1:5" x14ac:dyDescent="0.3">
      <c r="A113" s="58">
        <v>11</v>
      </c>
      <c r="B113" s="38" t="s">
        <v>1</v>
      </c>
      <c r="C113" s="51" t="s">
        <v>6</v>
      </c>
      <c r="D113" s="38" t="str">
        <f t="shared" si="6"/>
        <v>11 - Prairies permanentes-Hors climat Mediterranéen</v>
      </c>
      <c r="E113" s="59">
        <f>SUM(E$46:E$56)/12</f>
        <v>8.0166666666666675</v>
      </c>
    </row>
    <row r="114" spans="1:5" x14ac:dyDescent="0.3">
      <c r="A114" s="58">
        <v>12</v>
      </c>
      <c r="B114" s="38" t="s">
        <v>1</v>
      </c>
      <c r="C114" s="51" t="s">
        <v>6</v>
      </c>
      <c r="D114" s="38" t="str">
        <f t="shared" si="6"/>
        <v>12 - Prairies permanentes-Hors climat Mediterranéen</v>
      </c>
      <c r="E114" s="59">
        <f>SUM(E$46:E$57)/(A114+1)</f>
        <v>8.5000000000000018</v>
      </c>
    </row>
    <row r="115" spans="1:5" x14ac:dyDescent="0.3">
      <c r="A115" s="58">
        <v>13</v>
      </c>
      <c r="B115" s="38" t="s">
        <v>1</v>
      </c>
      <c r="C115" s="51" t="s">
        <v>6</v>
      </c>
      <c r="D115" s="38" t="str">
        <f t="shared" si="6"/>
        <v>13 - Prairies permanentes-Hors climat Mediterranéen</v>
      </c>
      <c r="E115" s="59">
        <f>SUM(E$46:E$58)/14</f>
        <v>8.9428571428571448</v>
      </c>
    </row>
    <row r="116" spans="1:5" x14ac:dyDescent="0.3">
      <c r="A116" s="58">
        <v>14</v>
      </c>
      <c r="B116" s="38" t="s">
        <v>1</v>
      </c>
      <c r="C116" s="51" t="s">
        <v>6</v>
      </c>
      <c r="D116" s="38" t="str">
        <f t="shared" si="6"/>
        <v>14 - Prairies permanentes-Hors climat Mediterranéen</v>
      </c>
      <c r="E116" s="59">
        <f>SUM(E$46:E$59)/15</f>
        <v>9.3533333333333335</v>
      </c>
    </row>
    <row r="117" spans="1:5" x14ac:dyDescent="0.3">
      <c r="A117" s="58">
        <v>15</v>
      </c>
      <c r="B117" s="38" t="s">
        <v>1</v>
      </c>
      <c r="C117" s="51" t="s">
        <v>6</v>
      </c>
      <c r="D117" s="38" t="str">
        <f t="shared" si="6"/>
        <v>15 - Prairies permanentes-Hors climat Mediterranéen</v>
      </c>
      <c r="E117" s="59">
        <f>SUM(E$46:E$60)/16</f>
        <v>9.7437500000000004</v>
      </c>
    </row>
    <row r="118" spans="1:5" x14ac:dyDescent="0.3">
      <c r="A118" s="58">
        <v>16</v>
      </c>
      <c r="B118" s="38" t="s">
        <v>1</v>
      </c>
      <c r="C118" s="51" t="s">
        <v>6</v>
      </c>
      <c r="D118" s="38" t="str">
        <f t="shared" si="6"/>
        <v>16 - Prairies permanentes-Hors climat Mediterranéen</v>
      </c>
      <c r="E118" s="59">
        <f>SUM(E$46:E$61)/17</f>
        <v>10.088235294117647</v>
      </c>
    </row>
    <row r="119" spans="1:5" x14ac:dyDescent="0.3">
      <c r="A119" s="58">
        <v>17</v>
      </c>
      <c r="B119" s="38" t="s">
        <v>1</v>
      </c>
      <c r="C119" s="51" t="s">
        <v>6</v>
      </c>
      <c r="D119" s="38" t="str">
        <f t="shared" si="6"/>
        <v>17 - Prairies permanentes-Hors climat Mediterranéen</v>
      </c>
      <c r="E119" s="59">
        <f>SUM(E$46:E$62)/18</f>
        <v>10.399999999999999</v>
      </c>
    </row>
    <row r="120" spans="1:5" x14ac:dyDescent="0.3">
      <c r="A120" s="58">
        <v>18</v>
      </c>
      <c r="B120" s="38" t="s">
        <v>1</v>
      </c>
      <c r="C120" s="51" t="s">
        <v>6</v>
      </c>
      <c r="D120" s="38" t="str">
        <f t="shared" si="6"/>
        <v>18 - Prairies permanentes-Hors climat Mediterranéen</v>
      </c>
      <c r="E120" s="59">
        <f>SUM(E$46:E$63)/19</f>
        <v>10.684210526315789</v>
      </c>
    </row>
    <row r="121" spans="1:5" x14ac:dyDescent="0.3">
      <c r="A121" s="58">
        <v>19</v>
      </c>
      <c r="B121" s="38" t="s">
        <v>1</v>
      </c>
      <c r="C121" s="51" t="s">
        <v>6</v>
      </c>
      <c r="D121" s="38" t="str">
        <f t="shared" si="6"/>
        <v>19 - Prairies permanentes-Hors climat Mediterranéen</v>
      </c>
      <c r="E121" s="59">
        <f>SUM(E$46:E$64)/20</f>
        <v>10.945</v>
      </c>
    </row>
    <row r="122" spans="1:5" x14ac:dyDescent="0.3">
      <c r="A122" s="58">
        <v>20</v>
      </c>
      <c r="B122" s="38" t="s">
        <v>1</v>
      </c>
      <c r="C122" s="51" t="s">
        <v>6</v>
      </c>
      <c r="D122" s="38" t="str">
        <f t="shared" si="6"/>
        <v>20 - Prairies permanentes-Hors climat Mediterranéen</v>
      </c>
      <c r="E122" s="59">
        <f>SUM(E$46:E$65)/21</f>
        <v>11.185714285714287</v>
      </c>
    </row>
    <row r="123" spans="1:5" x14ac:dyDescent="0.3">
      <c r="A123" s="58">
        <v>10</v>
      </c>
      <c r="B123" s="38" t="s">
        <v>2</v>
      </c>
      <c r="C123" s="51" t="s">
        <v>6</v>
      </c>
      <c r="D123" s="38" t="str">
        <f t="shared" si="6"/>
        <v>10 - Viticulture-Hors climat Mediterranéen</v>
      </c>
      <c r="E123" s="59">
        <f>SUM(G$46:G$55)/11</f>
        <v>2.9363636363636361</v>
      </c>
    </row>
    <row r="124" spans="1:5" x14ac:dyDescent="0.3">
      <c r="A124" s="58">
        <v>11</v>
      </c>
      <c r="B124" s="38" t="s">
        <v>2</v>
      </c>
      <c r="C124" s="51" t="s">
        <v>6</v>
      </c>
      <c r="D124" s="38" t="str">
        <f t="shared" si="6"/>
        <v>11 - Viticulture-Hors climat Mediterranéen</v>
      </c>
      <c r="E124" s="59">
        <f>SUM(G$46:G$56)/12</f>
        <v>3.4333333333333331</v>
      </c>
    </row>
    <row r="125" spans="1:5" x14ac:dyDescent="0.3">
      <c r="A125" s="58">
        <v>12</v>
      </c>
      <c r="B125" s="38" t="s">
        <v>2</v>
      </c>
      <c r="C125" s="51" t="s">
        <v>6</v>
      </c>
      <c r="D125" s="38" t="str">
        <f t="shared" si="6"/>
        <v>12 - Viticulture-Hors climat Mediterranéen</v>
      </c>
      <c r="E125" s="59">
        <f>SUM(G$46:G$57)/(A125+1)</f>
        <v>3.8846153846153846</v>
      </c>
    </row>
    <row r="126" spans="1:5" x14ac:dyDescent="0.3">
      <c r="A126" s="58">
        <v>13</v>
      </c>
      <c r="B126" s="38" t="s">
        <v>2</v>
      </c>
      <c r="C126" s="51" t="s">
        <v>6</v>
      </c>
      <c r="D126" s="38" t="str">
        <f t="shared" si="6"/>
        <v>13 - Viticulture-Hors climat Mediterranéen</v>
      </c>
      <c r="E126" s="59">
        <f>SUM(G$46:G$58)/14</f>
        <v>4.3</v>
      </c>
    </row>
    <row r="127" spans="1:5" x14ac:dyDescent="0.3">
      <c r="A127" s="58">
        <v>14</v>
      </c>
      <c r="B127" s="38" t="s">
        <v>2</v>
      </c>
      <c r="C127" s="51" t="s">
        <v>6</v>
      </c>
      <c r="D127" s="38" t="str">
        <f t="shared" si="6"/>
        <v>14 - Viticulture-Hors climat Mediterranéen</v>
      </c>
      <c r="E127" s="59">
        <f>SUM(G$46:G$59)/15</f>
        <v>4.6866666666666665</v>
      </c>
    </row>
    <row r="128" spans="1:5" x14ac:dyDescent="0.3">
      <c r="A128" s="58">
        <v>15</v>
      </c>
      <c r="B128" s="38" t="s">
        <v>2</v>
      </c>
      <c r="C128" s="51" t="s">
        <v>6</v>
      </c>
      <c r="D128" s="38" t="str">
        <f t="shared" si="6"/>
        <v>15 - Viticulture-Hors climat Mediterranéen</v>
      </c>
      <c r="E128" s="59">
        <f>SUM(G$46:G$60)/16</f>
        <v>5.0562499999999995</v>
      </c>
    </row>
    <row r="129" spans="1:5" x14ac:dyDescent="0.3">
      <c r="A129" s="58">
        <v>16</v>
      </c>
      <c r="B129" s="38" t="s">
        <v>2</v>
      </c>
      <c r="C129" s="51" t="s">
        <v>6</v>
      </c>
      <c r="D129" s="38" t="str">
        <f t="shared" si="6"/>
        <v>16 - Viticulture-Hors climat Mediterranéen</v>
      </c>
      <c r="E129" s="59">
        <f>SUM(G$46:G$61)/17</f>
        <v>5.3823529411764701</v>
      </c>
    </row>
    <row r="130" spans="1:5" x14ac:dyDescent="0.3">
      <c r="A130" s="58">
        <v>17</v>
      </c>
      <c r="B130" s="38" t="s">
        <v>2</v>
      </c>
      <c r="C130" s="51" t="s">
        <v>6</v>
      </c>
      <c r="D130" s="38" t="str">
        <f t="shared" si="6"/>
        <v>17 - Viticulture-Hors climat Mediterranéen</v>
      </c>
      <c r="E130" s="59">
        <f>SUM(G$46:G$62)/18</f>
        <v>5.6777777777777771</v>
      </c>
    </row>
    <row r="131" spans="1:5" x14ac:dyDescent="0.3">
      <c r="A131" s="58">
        <v>18</v>
      </c>
      <c r="B131" s="38" t="s">
        <v>2</v>
      </c>
      <c r="C131" s="51" t="s">
        <v>6</v>
      </c>
      <c r="D131" s="38" t="str">
        <f t="shared" si="6"/>
        <v>18 - Viticulture-Hors climat Mediterranéen</v>
      </c>
      <c r="E131" s="59">
        <f>SUM(G$46:G$63)/19</f>
        <v>5.947368421052631</v>
      </c>
    </row>
    <row r="132" spans="1:5" x14ac:dyDescent="0.3">
      <c r="A132" s="58">
        <v>19</v>
      </c>
      <c r="B132" s="38" t="s">
        <v>2</v>
      </c>
      <c r="C132" s="51" t="s">
        <v>6</v>
      </c>
      <c r="D132" s="38" t="str">
        <f t="shared" si="6"/>
        <v>19 - Viticulture-Hors climat Mediterranéen</v>
      </c>
      <c r="E132" s="59">
        <f>SUM(G$46:G$64)/20</f>
        <v>6.1949999999999994</v>
      </c>
    </row>
    <row r="133" spans="1:5" x14ac:dyDescent="0.3">
      <c r="A133" s="58">
        <v>20</v>
      </c>
      <c r="B133" s="38" t="s">
        <v>2</v>
      </c>
      <c r="C133" s="51" t="s">
        <v>6</v>
      </c>
      <c r="D133" s="38" t="str">
        <f t="shared" si="6"/>
        <v>20 - Viticulture-Hors climat Mediterranéen</v>
      </c>
      <c r="E133" s="59">
        <f>SUM(G$46:G$65)/21</f>
        <v>6.4238095238095223</v>
      </c>
    </row>
    <row r="134" spans="1:5" x14ac:dyDescent="0.3">
      <c r="A134" s="60"/>
      <c r="C134" s="50"/>
    </row>
    <row r="135" spans="1:5" x14ac:dyDescent="0.3">
      <c r="A135" s="60"/>
      <c r="C135" s="50"/>
    </row>
    <row r="136" spans="1:5" ht="15.6" x14ac:dyDescent="0.3">
      <c r="A136" s="57" t="s">
        <v>71</v>
      </c>
      <c r="B136" s="57" t="s">
        <v>127</v>
      </c>
      <c r="C136" s="50"/>
    </row>
    <row r="137" spans="1:5" x14ac:dyDescent="0.3">
      <c r="A137" s="58" t="s">
        <v>72</v>
      </c>
      <c r="B137" s="61">
        <v>3023.6659187519999</v>
      </c>
      <c r="C137" s="50"/>
    </row>
    <row r="138" spans="1:5" x14ac:dyDescent="0.3">
      <c r="A138" s="58" t="s">
        <v>73</v>
      </c>
      <c r="B138" s="61">
        <v>3462.3325584952004</v>
      </c>
      <c r="C138" s="50"/>
    </row>
    <row r="139" spans="1:5" x14ac:dyDescent="0.3">
      <c r="A139" s="58" t="s">
        <v>74</v>
      </c>
      <c r="B139" s="61">
        <v>1051.9666372200002</v>
      </c>
      <c r="C139" s="50"/>
    </row>
    <row r="140" spans="1:5" x14ac:dyDescent="0.3">
      <c r="A140" s="58" t="s">
        <v>75</v>
      </c>
      <c r="B140" s="61">
        <v>680.11092420000011</v>
      </c>
      <c r="C140" s="50"/>
    </row>
    <row r="141" spans="1:5" x14ac:dyDescent="0.3">
      <c r="A141" s="58" t="s">
        <v>76</v>
      </c>
      <c r="B141" s="61">
        <v>3969.2165201334001</v>
      </c>
      <c r="C141" s="50"/>
    </row>
    <row r="142" spans="1:5" x14ac:dyDescent="0.3">
      <c r="A142" s="58" t="s">
        <v>77</v>
      </c>
      <c r="B142" s="61">
        <v>3120.9100082900004</v>
      </c>
      <c r="C142" s="50"/>
    </row>
    <row r="143" spans="1:5" x14ac:dyDescent="0.3">
      <c r="A143" s="58" t="s">
        <v>78</v>
      </c>
      <c r="B143" s="61">
        <v>3118.3572501499998</v>
      </c>
      <c r="C143" s="50"/>
    </row>
    <row r="144" spans="1:5" x14ac:dyDescent="0.3">
      <c r="A144" s="58" t="s">
        <v>79</v>
      </c>
      <c r="B144" s="61">
        <v>2602.140331525</v>
      </c>
      <c r="C144" s="50"/>
    </row>
    <row r="145" spans="1:2" x14ac:dyDescent="0.3">
      <c r="A145" s="58" t="s">
        <v>80</v>
      </c>
      <c r="B145" s="61">
        <v>4557.9951523</v>
      </c>
    </row>
    <row r="146" spans="1:2" x14ac:dyDescent="0.3">
      <c r="A146" s="58" t="s">
        <v>81</v>
      </c>
      <c r="B146" s="61">
        <v>3047.448611238</v>
      </c>
    </row>
    <row r="147" spans="1:2" x14ac:dyDescent="0.3">
      <c r="A147" s="58" t="s">
        <v>82</v>
      </c>
      <c r="B147" s="61">
        <v>740.69039574999999</v>
      </c>
    </row>
    <row r="148" spans="1:2" x14ac:dyDescent="0.3">
      <c r="A148" s="58" t="s">
        <v>83</v>
      </c>
      <c r="B148" s="61">
        <v>897.80714540400004</v>
      </c>
    </row>
    <row r="149" spans="1:2" x14ac:dyDescent="0.3">
      <c r="A149" s="58" t="s">
        <v>84</v>
      </c>
      <c r="B149" s="61">
        <v>883.16209499700005</v>
      </c>
    </row>
    <row r="150" spans="1:2" x14ac:dyDescent="0.3">
      <c r="A150" s="58" t="s">
        <v>85</v>
      </c>
      <c r="B150" s="61">
        <v>1019.94225066</v>
      </c>
    </row>
    <row r="151" spans="1:2" x14ac:dyDescent="0.3">
      <c r="A151" s="58" t="s">
        <v>86</v>
      </c>
      <c r="B151" s="61">
        <v>889.46139315170001</v>
      </c>
    </row>
    <row r="152" spans="1:2" x14ac:dyDescent="0.3">
      <c r="A152" s="58" t="s">
        <v>87</v>
      </c>
      <c r="B152" s="61">
        <v>752.72081800977992</v>
      </c>
    </row>
    <row r="153" spans="1:2" x14ac:dyDescent="0.3">
      <c r="A153" s="58" t="s">
        <v>88</v>
      </c>
      <c r="B153" s="61">
        <v>946.9611047855999</v>
      </c>
    </row>
    <row r="154" spans="1:2" x14ac:dyDescent="0.3">
      <c r="A154" s="58" t="s">
        <v>89</v>
      </c>
      <c r="B154" s="61">
        <v>1074.1029483240002</v>
      </c>
    </row>
    <row r="155" spans="1:2" x14ac:dyDescent="0.3">
      <c r="A155" s="58" t="s">
        <v>90</v>
      </c>
      <c r="B155" s="61">
        <v>1420.210775454</v>
      </c>
    </row>
    <row r="156" spans="1:2" x14ac:dyDescent="0.3">
      <c r="A156" s="58" t="s">
        <v>91</v>
      </c>
      <c r="B156" s="61">
        <v>774.61553566148007</v>
      </c>
    </row>
    <row r="157" spans="1:2" x14ac:dyDescent="0.3">
      <c r="A157" s="58" t="s">
        <v>92</v>
      </c>
      <c r="B157" s="61">
        <v>765.12397890409</v>
      </c>
    </row>
    <row r="158" spans="1:2" x14ac:dyDescent="0.3">
      <c r="A158" s="58" t="s">
        <v>93</v>
      </c>
      <c r="B158" s="61">
        <v>1001.1849360304</v>
      </c>
    </row>
    <row r="159" spans="1:2" x14ac:dyDescent="0.3">
      <c r="A159" s="58" t="s">
        <v>94</v>
      </c>
      <c r="B159" s="61">
        <v>1279.8013208596001</v>
      </c>
    </row>
    <row r="160" spans="1:2" x14ac:dyDescent="0.3">
      <c r="A160" s="58" t="s">
        <v>95</v>
      </c>
      <c r="B160" s="61">
        <v>723.80564597088994</v>
      </c>
    </row>
    <row r="161" spans="1:2" x14ac:dyDescent="0.3">
      <c r="A161" s="58" t="s">
        <v>96</v>
      </c>
      <c r="B161" s="61">
        <v>1232.6787939830401</v>
      </c>
    </row>
    <row r="162" spans="1:2" x14ac:dyDescent="0.3">
      <c r="A162" s="58" t="s">
        <v>97</v>
      </c>
      <c r="B162" s="61">
        <v>1788.5815223822999</v>
      </c>
    </row>
    <row r="163" spans="1:2" x14ac:dyDescent="0.3">
      <c r="A163" s="58" t="s">
        <v>98</v>
      </c>
      <c r="B163" s="61">
        <v>626.40579813411489</v>
      </c>
    </row>
    <row r="164" spans="1:2" x14ac:dyDescent="0.3">
      <c r="A164" s="58" t="s">
        <v>99</v>
      </c>
      <c r="B164" s="61">
        <v>1886.3492469093001</v>
      </c>
    </row>
    <row r="165" spans="1:2" x14ac:dyDescent="0.3">
      <c r="A165" s="58" t="s">
        <v>100</v>
      </c>
      <c r="B165" s="61">
        <v>1245.7052980295</v>
      </c>
    </row>
    <row r="166" spans="1:2" x14ac:dyDescent="0.3">
      <c r="A166" s="58" t="s">
        <v>101</v>
      </c>
      <c r="B166" s="61">
        <v>1283.4653141729998</v>
      </c>
    </row>
    <row r="167" spans="1:2" x14ac:dyDescent="0.3">
      <c r="A167" s="58" t="s">
        <v>102</v>
      </c>
      <c r="B167" s="61">
        <v>1487.4535399215001</v>
      </c>
    </row>
    <row r="168" spans="1:2" x14ac:dyDescent="0.3">
      <c r="A168" s="58" t="s">
        <v>103</v>
      </c>
      <c r="B168" s="61">
        <v>1457.6311863044998</v>
      </c>
    </row>
    <row r="169" spans="1:2" x14ac:dyDescent="0.3">
      <c r="A169" s="58" t="s">
        <v>104</v>
      </c>
      <c r="B169" s="61">
        <v>1441.472337333</v>
      </c>
    </row>
    <row r="170" spans="1:2" x14ac:dyDescent="0.3">
      <c r="A170" s="58" t="s">
        <v>105</v>
      </c>
      <c r="B170" s="61">
        <v>2444.8047991999997</v>
      </c>
    </row>
    <row r="171" spans="1:2" x14ac:dyDescent="0.3">
      <c r="A171" s="58" t="s">
        <v>106</v>
      </c>
      <c r="B171" s="61">
        <v>3601.9636359103997</v>
      </c>
    </row>
    <row r="172" spans="1:2" x14ac:dyDescent="0.3">
      <c r="A172" s="58" t="s">
        <v>347</v>
      </c>
      <c r="B172" s="61">
        <f>25000*0.17</f>
        <v>4250</v>
      </c>
    </row>
    <row r="173" spans="1:2" x14ac:dyDescent="0.3">
      <c r="A173" s="58" t="s">
        <v>107</v>
      </c>
      <c r="B173" s="61">
        <v>2724.2246671013995</v>
      </c>
    </row>
    <row r="174" spans="1:2" x14ac:dyDescent="0.3">
      <c r="A174" s="58" t="s">
        <v>108</v>
      </c>
      <c r="B174" s="61">
        <v>2678.1548398122004</v>
      </c>
    </row>
    <row r="175" spans="1:2" x14ac:dyDescent="0.3">
      <c r="A175" s="58" t="s">
        <v>109</v>
      </c>
      <c r="B175" s="61">
        <v>925.39090928000007</v>
      </c>
    </row>
    <row r="176" spans="1:2" x14ac:dyDescent="0.3">
      <c r="A176" s="58" t="s">
        <v>110</v>
      </c>
      <c r="B176" s="61">
        <v>832.84025582999993</v>
      </c>
    </row>
    <row r="177" spans="1:2" x14ac:dyDescent="0.3">
      <c r="A177" s="58" t="s">
        <v>111</v>
      </c>
      <c r="B177" s="61">
        <v>3847.6402921410004</v>
      </c>
    </row>
    <row r="178" spans="1:2" x14ac:dyDescent="0.3">
      <c r="A178" s="58" t="s">
        <v>112</v>
      </c>
      <c r="B178" s="61">
        <v>3849.2868810089999</v>
      </c>
    </row>
    <row r="179" spans="1:2" x14ac:dyDescent="0.3">
      <c r="A179" s="58" t="s">
        <v>113</v>
      </c>
      <c r="B179" s="61">
        <v>3453.8088875220001</v>
      </c>
    </row>
    <row r="180" spans="1:2" x14ac:dyDescent="0.3">
      <c r="A180" s="58" t="s">
        <v>114</v>
      </c>
      <c r="B180" s="61">
        <v>3391.1981881470001</v>
      </c>
    </row>
    <row r="181" spans="1:2" x14ac:dyDescent="0.3">
      <c r="A181" s="58" t="s">
        <v>115</v>
      </c>
      <c r="B181" s="61">
        <v>3759.2860042549196</v>
      </c>
    </row>
    <row r="182" spans="1:2" x14ac:dyDescent="0.3">
      <c r="A182" s="58" t="s">
        <v>116</v>
      </c>
      <c r="B182" s="61">
        <v>2658.9292517203125</v>
      </c>
    </row>
    <row r="183" spans="1:2" x14ac:dyDescent="0.3">
      <c r="A183" s="58" t="s">
        <v>117</v>
      </c>
      <c r="B183" s="61">
        <v>4303.8993272226562</v>
      </c>
    </row>
    <row r="184" spans="1:2" x14ac:dyDescent="0.3">
      <c r="A184" s="58" t="s">
        <v>118</v>
      </c>
      <c r="B184" s="61">
        <v>4054.8428879156254</v>
      </c>
    </row>
    <row r="185" spans="1:2" x14ac:dyDescent="0.3">
      <c r="A185" s="58" t="s">
        <v>119</v>
      </c>
      <c r="B185" s="61">
        <v>3165.3350675625002</v>
      </c>
    </row>
    <row r="186" spans="1:2" x14ac:dyDescent="0.3">
      <c r="A186" s="58" t="s">
        <v>120</v>
      </c>
      <c r="B186" s="61">
        <v>21727.520374600001</v>
      </c>
    </row>
    <row r="187" spans="1:2" x14ac:dyDescent="0.3">
      <c r="A187" s="58" t="s">
        <v>121</v>
      </c>
      <c r="B187" s="61">
        <v>763729.18826415588</v>
      </c>
    </row>
    <row r="188" spans="1:2" x14ac:dyDescent="0.3">
      <c r="A188" s="58" t="s">
        <v>122</v>
      </c>
      <c r="B188" s="61">
        <v>28201.949841089998</v>
      </c>
    </row>
    <row r="189" spans="1:2" x14ac:dyDescent="0.3">
      <c r="A189" s="58" t="s">
        <v>123</v>
      </c>
      <c r="B189" s="61">
        <v>745475.31653372501</v>
      </c>
    </row>
    <row r="190" spans="1:2" x14ac:dyDescent="0.3">
      <c r="A190" s="58" t="s">
        <v>124</v>
      </c>
      <c r="B190" s="61">
        <v>1313.2063369499999</v>
      </c>
    </row>
    <row r="191" spans="1:2" x14ac:dyDescent="0.3">
      <c r="A191" s="58" t="s">
        <v>125</v>
      </c>
      <c r="B191" s="61">
        <v>864.20333642999981</v>
      </c>
    </row>
    <row r="192" spans="1:2" x14ac:dyDescent="0.3">
      <c r="A192" s="58" t="s">
        <v>126</v>
      </c>
      <c r="B192" s="61">
        <v>2605.9006745199999</v>
      </c>
    </row>
    <row r="194" spans="1:2" x14ac:dyDescent="0.3">
      <c r="A194" s="23" t="s">
        <v>71</v>
      </c>
      <c r="B194" s="62" t="s">
        <v>127</v>
      </c>
    </row>
    <row r="195" spans="1:2" x14ac:dyDescent="0.3">
      <c r="A195" t="s">
        <v>128</v>
      </c>
      <c r="B195" s="63">
        <v>5895.9797374104</v>
      </c>
    </row>
    <row r="196" spans="1:2" x14ac:dyDescent="0.3">
      <c r="A196" t="s">
        <v>129</v>
      </c>
      <c r="B196" s="63">
        <v>2576.2094178333336</v>
      </c>
    </row>
    <row r="197" spans="1:2" x14ac:dyDescent="0.3">
      <c r="A197" t="s">
        <v>130</v>
      </c>
      <c r="B197" s="63">
        <v>4062.9965796000001</v>
      </c>
    </row>
    <row r="198" spans="1:2" x14ac:dyDescent="0.3">
      <c r="A198" t="s">
        <v>131</v>
      </c>
      <c r="B198" s="63">
        <v>4011.4789508640006</v>
      </c>
    </row>
    <row r="199" spans="1:2" x14ac:dyDescent="0.3">
      <c r="A199" t="s">
        <v>132</v>
      </c>
      <c r="B199" s="63">
        <v>2682.7232290992001</v>
      </c>
    </row>
    <row r="200" spans="1:2" x14ac:dyDescent="0.3">
      <c r="A200" t="s">
        <v>133</v>
      </c>
      <c r="B200" s="63">
        <v>2548.7495763313045</v>
      </c>
    </row>
    <row r="201" spans="1:2" x14ac:dyDescent="0.3">
      <c r="A201" t="s">
        <v>134</v>
      </c>
      <c r="B201" s="63">
        <v>3366.7024762240003</v>
      </c>
    </row>
    <row r="202" spans="1:2" x14ac:dyDescent="0.3">
      <c r="A202" t="s">
        <v>135</v>
      </c>
      <c r="B202" s="63">
        <v>3370.0393371360001</v>
      </c>
    </row>
    <row r="203" spans="1:2" x14ac:dyDescent="0.3">
      <c r="A203" t="s">
        <v>136</v>
      </c>
      <c r="B203" s="63">
        <v>3392.0923222031997</v>
      </c>
    </row>
    <row r="204" spans="1:2" x14ac:dyDescent="0.3">
      <c r="A204" t="s">
        <v>137</v>
      </c>
      <c r="B204" s="63">
        <v>3141.3860726075795</v>
      </c>
    </row>
    <row r="206" spans="1:2" x14ac:dyDescent="0.3">
      <c r="A206" s="23" t="s">
        <v>172</v>
      </c>
      <c r="B206" s="23" t="s">
        <v>24</v>
      </c>
    </row>
    <row r="207" spans="1:2" x14ac:dyDescent="0.3">
      <c r="A207" t="s">
        <v>153</v>
      </c>
      <c r="B207">
        <v>1.6E-2</v>
      </c>
    </row>
    <row r="208" spans="1:2" x14ac:dyDescent="0.3">
      <c r="A208" t="s">
        <v>152</v>
      </c>
      <c r="B208">
        <v>6.0000000000000001E-3</v>
      </c>
    </row>
    <row r="209" spans="1:5" x14ac:dyDescent="0.3">
      <c r="A209" t="s">
        <v>156</v>
      </c>
      <c r="B209" s="64">
        <v>0.01</v>
      </c>
    </row>
    <row r="210" spans="1:5" x14ac:dyDescent="0.3">
      <c r="A210" t="s">
        <v>158</v>
      </c>
      <c r="B210" s="64">
        <v>1.0999999999999999E-2</v>
      </c>
    </row>
    <row r="211" spans="1:5" x14ac:dyDescent="0.3">
      <c r="A211" t="s">
        <v>174</v>
      </c>
      <c r="B211" s="64">
        <v>5.7000000000000002E-2</v>
      </c>
    </row>
    <row r="212" spans="1:5" x14ac:dyDescent="0.3">
      <c r="A212" t="s">
        <v>176</v>
      </c>
      <c r="B212" s="64">
        <v>4.51</v>
      </c>
    </row>
    <row r="213" spans="1:5" x14ac:dyDescent="0.3">
      <c r="A213" t="s">
        <v>177</v>
      </c>
      <c r="B213" s="64">
        <v>1.45</v>
      </c>
    </row>
    <row r="214" spans="1:5" x14ac:dyDescent="0.3">
      <c r="A214" t="s">
        <v>178</v>
      </c>
      <c r="B214" s="64">
        <v>0.71</v>
      </c>
    </row>
    <row r="215" spans="1:5" x14ac:dyDescent="0.3">
      <c r="A215" s="65" t="s">
        <v>180</v>
      </c>
      <c r="B215" s="64">
        <v>6.0090000000000003</v>
      </c>
    </row>
    <row r="216" spans="1:5" x14ac:dyDescent="0.3">
      <c r="A216" s="65" t="s">
        <v>181</v>
      </c>
      <c r="B216" s="64">
        <v>8.9849999999999994</v>
      </c>
    </row>
    <row r="217" spans="1:5" x14ac:dyDescent="0.3">
      <c r="A217" s="65" t="s">
        <v>182</v>
      </c>
      <c r="B217" s="64">
        <v>25.134</v>
      </c>
    </row>
    <row r="218" spans="1:5" x14ac:dyDescent="0.3">
      <c r="A218" s="66" t="s">
        <v>183</v>
      </c>
      <c r="B218" s="64">
        <v>8.4779999999999998</v>
      </c>
    </row>
    <row r="219" spans="1:5" x14ac:dyDescent="0.3">
      <c r="A219" s="67"/>
    </row>
    <row r="220" spans="1:5" x14ac:dyDescent="0.3">
      <c r="A220" t="s">
        <v>154</v>
      </c>
      <c r="B220">
        <v>0.11</v>
      </c>
    </row>
    <row r="221" spans="1:5" x14ac:dyDescent="0.3">
      <c r="A221" t="s">
        <v>155</v>
      </c>
      <c r="B221">
        <v>0.21</v>
      </c>
    </row>
    <row r="222" spans="1:5" x14ac:dyDescent="0.3">
      <c r="A222" s="68" t="s">
        <v>157</v>
      </c>
      <c r="B222">
        <v>0.24</v>
      </c>
    </row>
    <row r="224" spans="1:5" x14ac:dyDescent="0.3">
      <c r="A224" s="23" t="s">
        <v>159</v>
      </c>
      <c r="B224" s="23" t="s">
        <v>160</v>
      </c>
      <c r="C224" s="23" t="s">
        <v>161</v>
      </c>
      <c r="D224" s="23" t="s">
        <v>162</v>
      </c>
      <c r="E224" s="23" t="s">
        <v>163</v>
      </c>
    </row>
    <row r="225" spans="1:5" x14ac:dyDescent="0.3">
      <c r="A225" t="s">
        <v>164</v>
      </c>
      <c r="B225" t="s">
        <v>165</v>
      </c>
      <c r="C225">
        <f>D225+E225</f>
        <v>3.0680000000000001</v>
      </c>
      <c r="D225">
        <v>2.6459999999999999</v>
      </c>
      <c r="E225">
        <v>0.42199999999999999</v>
      </c>
    </row>
    <row r="226" spans="1:5" x14ac:dyDescent="0.3">
      <c r="A226" t="s">
        <v>166</v>
      </c>
      <c r="B226" t="s">
        <v>165</v>
      </c>
      <c r="C226">
        <f t="shared" ref="C226:C230" si="7">D226+E226</f>
        <v>3.0709999999999997</v>
      </c>
      <c r="D226">
        <v>2.6459999999999999</v>
      </c>
      <c r="E226">
        <v>0.42499999999999999</v>
      </c>
    </row>
    <row r="227" spans="1:5" x14ac:dyDescent="0.3">
      <c r="A227" t="s">
        <v>167</v>
      </c>
      <c r="B227" t="s">
        <v>165</v>
      </c>
      <c r="C227">
        <f t="shared" si="7"/>
        <v>3.286</v>
      </c>
      <c r="D227">
        <v>2.698</v>
      </c>
      <c r="E227">
        <v>0.58799999999999997</v>
      </c>
    </row>
    <row r="228" spans="1:5" x14ac:dyDescent="0.3">
      <c r="A228" t="s">
        <v>168</v>
      </c>
      <c r="B228" t="s">
        <v>169</v>
      </c>
      <c r="C228">
        <f t="shared" si="7"/>
        <v>3.4169999999999998</v>
      </c>
      <c r="D228">
        <v>2.827</v>
      </c>
      <c r="E228">
        <v>0.59</v>
      </c>
    </row>
    <row r="229" spans="1:5" x14ac:dyDescent="0.3">
      <c r="A229" t="s">
        <v>168</v>
      </c>
      <c r="B229" t="s">
        <v>170</v>
      </c>
      <c r="C229">
        <f t="shared" si="7"/>
        <v>0.24819999999999998</v>
      </c>
      <c r="D229">
        <v>0.20519999999999999</v>
      </c>
      <c r="E229">
        <v>4.2999999999999997E-2</v>
      </c>
    </row>
    <row r="230" spans="1:5" x14ac:dyDescent="0.3">
      <c r="A230" t="s">
        <v>171</v>
      </c>
      <c r="B230" t="s">
        <v>169</v>
      </c>
      <c r="C230">
        <f t="shared" si="7"/>
        <v>3.5430000000000001</v>
      </c>
      <c r="D230">
        <v>2.944</v>
      </c>
      <c r="E230">
        <v>0.59899999999999998</v>
      </c>
    </row>
    <row r="232" spans="1:5" x14ac:dyDescent="0.3">
      <c r="A232" t="s">
        <v>187</v>
      </c>
      <c r="B232">
        <v>265</v>
      </c>
    </row>
    <row r="235" spans="1:5" ht="15" customHeight="1" x14ac:dyDescent="0.3">
      <c r="A235" s="38"/>
      <c r="B235" s="38" t="s">
        <v>202</v>
      </c>
      <c r="C235" s="38"/>
      <c r="D235" s="38" t="s">
        <v>203</v>
      </c>
      <c r="E235" s="38"/>
    </row>
    <row r="236" spans="1:5" ht="15.6" x14ac:dyDescent="0.35">
      <c r="A236" s="38" t="s">
        <v>204</v>
      </c>
      <c r="B236" s="38" t="s">
        <v>214</v>
      </c>
      <c r="C236" s="38" t="s">
        <v>205</v>
      </c>
      <c r="D236" s="38" t="s">
        <v>214</v>
      </c>
      <c r="E236" s="38" t="s">
        <v>205</v>
      </c>
    </row>
    <row r="237" spans="1:5" x14ac:dyDescent="0.3">
      <c r="A237" s="38" t="s">
        <v>0</v>
      </c>
      <c r="B237" s="38">
        <v>0</v>
      </c>
      <c r="C237" s="38" t="s">
        <v>206</v>
      </c>
      <c r="D237" s="38">
        <v>0</v>
      </c>
      <c r="E237" s="38" t="s">
        <v>206</v>
      </c>
    </row>
    <row r="238" spans="1:5" x14ac:dyDescent="0.3">
      <c r="A238" s="38" t="s">
        <v>1</v>
      </c>
      <c r="B238" s="38">
        <v>0</v>
      </c>
      <c r="C238" s="38" t="s">
        <v>206</v>
      </c>
      <c r="D238" s="38">
        <v>0</v>
      </c>
      <c r="E238" s="38" t="s">
        <v>206</v>
      </c>
    </row>
    <row r="239" spans="1:5" x14ac:dyDescent="0.3">
      <c r="A239" s="38" t="s">
        <v>2</v>
      </c>
      <c r="B239" s="38">
        <v>5</v>
      </c>
      <c r="C239" s="38" t="s">
        <v>207</v>
      </c>
      <c r="D239" s="38">
        <v>9.9</v>
      </c>
      <c r="E239" s="38" t="s">
        <v>208</v>
      </c>
    </row>
    <row r="240" spans="1:5" x14ac:dyDescent="0.3">
      <c r="A240" s="38" t="s">
        <v>209</v>
      </c>
      <c r="B240" s="38">
        <v>16</v>
      </c>
      <c r="C240" s="38" t="s">
        <v>207</v>
      </c>
      <c r="D240" s="38">
        <v>14.3</v>
      </c>
      <c r="E240" s="38" t="s">
        <v>208</v>
      </c>
    </row>
    <row r="242" spans="1:3" ht="15" customHeight="1" x14ac:dyDescent="0.3">
      <c r="A242" s="38"/>
      <c r="B242" s="38" t="s">
        <v>202</v>
      </c>
      <c r="C242" s="38" t="s">
        <v>203</v>
      </c>
    </row>
    <row r="243" spans="1:3" ht="18.75" customHeight="1" x14ac:dyDescent="0.4">
      <c r="A243" s="38" t="s">
        <v>212</v>
      </c>
      <c r="B243" s="38" t="s">
        <v>213</v>
      </c>
      <c r="C243" s="38" t="s">
        <v>213</v>
      </c>
    </row>
    <row r="244" spans="1:3" x14ac:dyDescent="0.3">
      <c r="A244" s="38">
        <v>1</v>
      </c>
      <c r="B244" s="38">
        <v>2.7</v>
      </c>
      <c r="C244" s="38">
        <v>2.4</v>
      </c>
    </row>
    <row r="245" spans="1:3" x14ac:dyDescent="0.3">
      <c r="A245" s="38">
        <v>2</v>
      </c>
      <c r="B245" s="38">
        <v>4.2</v>
      </c>
      <c r="C245" s="38">
        <v>3.72</v>
      </c>
    </row>
    <row r="246" spans="1:3" x14ac:dyDescent="0.3">
      <c r="A246" s="38">
        <v>3</v>
      </c>
      <c r="B246" s="38">
        <v>5.6</v>
      </c>
      <c r="C246" s="38">
        <v>5.04</v>
      </c>
    </row>
    <row r="247" spans="1:3" x14ac:dyDescent="0.3">
      <c r="A247" s="38">
        <v>4</v>
      </c>
      <c r="B247" s="38">
        <v>7.1</v>
      </c>
      <c r="C247" s="38">
        <v>6.36</v>
      </c>
    </row>
    <row r="248" spans="1:3" x14ac:dyDescent="0.3">
      <c r="A248" s="38">
        <v>5</v>
      </c>
      <c r="B248" s="38">
        <v>7.4</v>
      </c>
      <c r="C248" s="38">
        <v>6.6</v>
      </c>
    </row>
    <row r="249" spans="1:3" x14ac:dyDescent="0.3">
      <c r="A249" s="38">
        <v>6</v>
      </c>
      <c r="B249" s="38">
        <v>8.6</v>
      </c>
      <c r="C249" s="38">
        <v>7.7</v>
      </c>
    </row>
    <row r="250" spans="1:3" x14ac:dyDescent="0.3">
      <c r="A250" s="38">
        <v>7</v>
      </c>
      <c r="B250" s="38">
        <v>9.8000000000000007</v>
      </c>
      <c r="C250" s="38">
        <v>8.8000000000000007</v>
      </c>
    </row>
    <row r="251" spans="1:3" x14ac:dyDescent="0.3">
      <c r="A251" s="38">
        <v>8</v>
      </c>
      <c r="B251" s="38">
        <v>11.1</v>
      </c>
      <c r="C251" s="38">
        <v>9.9</v>
      </c>
    </row>
    <row r="252" spans="1:3" x14ac:dyDescent="0.3">
      <c r="A252" s="38">
        <v>9</v>
      </c>
      <c r="B252" s="38">
        <v>12.3</v>
      </c>
      <c r="C252" s="38">
        <v>11</v>
      </c>
    </row>
    <row r="253" spans="1:3" x14ac:dyDescent="0.3">
      <c r="A253" s="38">
        <v>10</v>
      </c>
      <c r="B253" s="38">
        <v>13.5</v>
      </c>
      <c r="C253" s="38">
        <v>12.1</v>
      </c>
    </row>
    <row r="254" spans="1:3" x14ac:dyDescent="0.3">
      <c r="A254" s="38">
        <v>11</v>
      </c>
      <c r="B254" s="38">
        <v>13.9</v>
      </c>
      <c r="C254" s="38">
        <v>12.46</v>
      </c>
    </row>
    <row r="255" spans="1:3" x14ac:dyDescent="0.3">
      <c r="A255" s="38">
        <v>12</v>
      </c>
      <c r="B255" s="38">
        <v>14.3</v>
      </c>
      <c r="C255" s="38">
        <v>12.82</v>
      </c>
    </row>
    <row r="256" spans="1:3" x14ac:dyDescent="0.3">
      <c r="A256" s="38">
        <v>13</v>
      </c>
      <c r="B256" s="38">
        <v>14.7</v>
      </c>
      <c r="C256" s="38">
        <v>13.18</v>
      </c>
    </row>
    <row r="257" spans="1:3" x14ac:dyDescent="0.3">
      <c r="A257" s="38">
        <v>14</v>
      </c>
      <c r="B257" s="38">
        <v>15.1</v>
      </c>
      <c r="C257" s="38">
        <v>13.54</v>
      </c>
    </row>
    <row r="258" spans="1:3" x14ac:dyDescent="0.3">
      <c r="A258" s="38">
        <v>15</v>
      </c>
      <c r="B258" s="38">
        <v>15.6</v>
      </c>
      <c r="C258" s="38">
        <v>13.9</v>
      </c>
    </row>
    <row r="259" spans="1:3" x14ac:dyDescent="0.3">
      <c r="A259" s="38">
        <v>16</v>
      </c>
      <c r="B259" s="38">
        <v>15.6</v>
      </c>
      <c r="C259" s="38">
        <v>13.98</v>
      </c>
    </row>
    <row r="260" spans="1:3" x14ac:dyDescent="0.3">
      <c r="A260" s="38">
        <v>17</v>
      </c>
      <c r="B260" s="38">
        <v>15.7</v>
      </c>
      <c r="C260" s="38">
        <v>14.06</v>
      </c>
    </row>
    <row r="261" spans="1:3" x14ac:dyDescent="0.3">
      <c r="A261" s="38">
        <v>18</v>
      </c>
      <c r="B261" s="38">
        <v>15.8</v>
      </c>
      <c r="C261" s="38">
        <v>14.14</v>
      </c>
    </row>
    <row r="262" spans="1:3" x14ac:dyDescent="0.3">
      <c r="A262" s="38">
        <v>19</v>
      </c>
      <c r="B262" s="38">
        <v>15.9</v>
      </c>
      <c r="C262" s="38">
        <v>14.22</v>
      </c>
    </row>
    <row r="263" spans="1:3" x14ac:dyDescent="0.3">
      <c r="A263" s="38">
        <v>20</v>
      </c>
      <c r="B263" s="38">
        <v>16</v>
      </c>
      <c r="C263" s="38">
        <v>14.3</v>
      </c>
    </row>
    <row r="265" spans="1:3" ht="15" customHeight="1" x14ac:dyDescent="0.3">
      <c r="A265" s="38" t="s">
        <v>8</v>
      </c>
      <c r="B265" s="38" t="s">
        <v>219</v>
      </c>
      <c r="C265" s="38" t="s">
        <v>220</v>
      </c>
    </row>
    <row r="266" spans="1:3" x14ac:dyDescent="0.3">
      <c r="A266" s="38" t="s">
        <v>2</v>
      </c>
      <c r="B266" s="38">
        <v>34.299999999999997</v>
      </c>
      <c r="C266" s="38">
        <v>34</v>
      </c>
    </row>
    <row r="267" spans="1:3" x14ac:dyDescent="0.3">
      <c r="A267" s="38" t="s">
        <v>1</v>
      </c>
      <c r="B267" s="38">
        <v>49.5</v>
      </c>
      <c r="C267" s="38">
        <v>85</v>
      </c>
    </row>
    <row r="268" spans="1:3" x14ac:dyDescent="0.3">
      <c r="A268" s="38" t="s">
        <v>0</v>
      </c>
      <c r="B268" s="38">
        <v>43.1</v>
      </c>
      <c r="C268" s="38">
        <v>52</v>
      </c>
    </row>
    <row r="269" spans="1:3" x14ac:dyDescent="0.3">
      <c r="A269" s="38" t="s">
        <v>216</v>
      </c>
      <c r="B269" s="38" t="s">
        <v>217</v>
      </c>
      <c r="C269" s="38" t="s">
        <v>218</v>
      </c>
    </row>
    <row r="271" spans="1:3" ht="15" customHeight="1" x14ac:dyDescent="0.3">
      <c r="A271" s="38" t="s">
        <v>8</v>
      </c>
      <c r="B271" s="38" t="s">
        <v>221</v>
      </c>
      <c r="C271" s="38" t="s">
        <v>220</v>
      </c>
    </row>
    <row r="272" spans="1:3" x14ac:dyDescent="0.3">
      <c r="A272" s="38" t="s">
        <v>209</v>
      </c>
      <c r="B272" s="38">
        <v>41.5</v>
      </c>
      <c r="C272" s="38">
        <v>47</v>
      </c>
    </row>
    <row r="273" spans="1:3" x14ac:dyDescent="0.3">
      <c r="A273" s="38" t="s">
        <v>216</v>
      </c>
      <c r="B273" s="38" t="s">
        <v>217</v>
      </c>
      <c r="C273" s="38" t="s">
        <v>218</v>
      </c>
    </row>
    <row r="276" spans="1:3" x14ac:dyDescent="0.3">
      <c r="A276" s="38" t="s">
        <v>225</v>
      </c>
      <c r="B276" s="38">
        <v>0.49</v>
      </c>
    </row>
    <row r="278" spans="1:3" x14ac:dyDescent="0.3">
      <c r="A278" s="38" t="s">
        <v>228</v>
      </c>
      <c r="B278" s="38">
        <v>277.77800000000002</v>
      </c>
    </row>
  </sheetData>
  <sheetProtection algorithmName="SHA-512" hashValue="Czv7UHUdYObXNrAXbn8up03eZmXGXPflI+hK9HARyyiQbeAth+7y4z5F14pEWt0KnF+vkPWj5ER24Pew3cagFw==" saltValue="v+aXL33mOD1LaAqHO3NB/Q==" spinCount="100000" sheet="1" objects="1" scenarios="1"/>
  <mergeCells count="2">
    <mergeCell ref="B44:D44"/>
    <mergeCell ref="E44:G44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10</vt:i4>
      </vt:variant>
    </vt:vector>
  </HeadingPairs>
  <TitlesOfParts>
    <vt:vector size="10" baseType="lpstr">
      <vt:lpstr>Accueil</vt:lpstr>
      <vt:lpstr>Eligibilité_projet</vt:lpstr>
      <vt:lpstr>RECeff + REIamont (1)</vt:lpstr>
      <vt:lpstr>RECeff + REIamont (2)</vt:lpstr>
      <vt:lpstr>REIaval</vt:lpstr>
      <vt:lpstr>RECant_biom</vt:lpstr>
      <vt:lpstr>RECant_sol</vt:lpstr>
      <vt:lpstr>RE</vt:lpstr>
      <vt:lpstr>(ne pas modifier) BDD_REF</vt:lpstr>
      <vt:lpstr>(ne pas modifier) LISTES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HENAFF Morgane</dc:creator>
  <cp:lastModifiedBy>Clément GARIN</cp:lastModifiedBy>
  <dcterms:created xsi:type="dcterms:W3CDTF">2020-09-28T09:31:11Z</dcterms:created>
  <dcterms:modified xsi:type="dcterms:W3CDTF">2024-01-18T16:46:22Z</dcterms:modified>
</cp:coreProperties>
</file>