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PERCHE SOLOGNE\_TIERS\_PROPRIETAIRES_\DUREL Dominique--AD17008\28 REVERCOURT--AD17008P1\LBC Boisement--2025-JRE-265\LBC Montage dossier\Docs tech\"/>
    </mc:Choice>
  </mc:AlternateContent>
  <xr:revisionPtr revIDLastSave="0" documentId="13_ncr:1_{5BCF1E6D-E999-4F8B-9D35-E8B8570A6534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<sst xmlns="http://schemas.openxmlformats.org/spreadsheetml/2006/main" count="1244" uniqueCount="326">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</sst>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169.613452288893</c:v>
                </c:pt>
                <c:pt idx="32">
                  <c:v>185.69564922944699</c:v>
                </c:pt>
                <c:pt idx="33">
                  <c:v>201.74532528316698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249.7265012785368</c:v>
                </c:pt>
                <c:pt idx="37">
                  <c:v>265.67139861401199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247.97507238738754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296.33489822464173</c:v>
                </c:pt>
                <c:pt idx="45">
                  <c:v>312.4140721854024</c:v>
                </c:pt>
                <c:pt idx="46">
                  <c:v>328.47489405645246</c:v>
                </c:pt>
                <c:pt idx="47">
                  <c:v>344.51838738035786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341.6202011551116</c:v>
                </c:pt>
                <c:pt idx="53">
                  <c:v>356.68497890922032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401.79827552592525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407.95878231757479</c:v>
                </c:pt>
                <c:pt idx="63">
                  <c:v>421.42793186976132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239.64842231953807</c:v>
                </c:pt>
                <c:pt idx="32">
                  <c:v>255.0033723682819</c:v>
                </c:pt>
                <c:pt idx="33">
                  <c:v>270.33740172409563</c:v>
                </c:pt>
                <c:pt idx="34">
                  <c:v>285.65186421008156</c:v>
                </c:pt>
                <c:pt idx="35">
                  <c:v>300.94795659170251</c:v>
                </c:pt>
                <c:pt idx="36">
                  <c:v>316.22674402277079</c:v>
                </c:pt>
                <c:pt idx="37">
                  <c:v>333.24699934003382</c:v>
                </c:pt>
                <c:pt idx="38">
                  <c:v>350.24810019036448</c:v>
                </c:pt>
                <c:pt idx="39">
                  <c:v>367.23110697168204</c:v>
                </c:pt>
                <c:pt idx="40">
                  <c:v>384.19697401526679</c:v>
                </c:pt>
                <c:pt idx="41">
                  <c:v>401.14656450778028</c:v>
                </c:pt>
                <c:pt idx="42">
                  <c:v>418.08066275933976</c:v>
                </c:pt>
                <c:pt idx="43">
                  <c:v>253.82189207718497</c:v>
                </c:pt>
                <c:pt idx="44">
                  <c:v>269.50657509328352</c:v>
                </c:pt>
                <c:pt idx="45">
                  <c:v>285.17071673248148</c:v>
                </c:pt>
                <c:pt idx="46">
                  <c:v>300.81560417042863</c:v>
                </c:pt>
                <c:pt idx="47">
                  <c:v>316.48601990443689</c:v>
                </c:pt>
                <c:pt idx="48">
                  <c:v>332.1392510711803</c:v>
                </c:pt>
                <c:pt idx="49">
                  <c:v>347.77622150490652</c:v>
                </c:pt>
                <c:pt idx="50">
                  <c:v>267.56453407241469</c:v>
                </c:pt>
                <c:pt idx="51">
                  <c:v>282.04023978215281</c:v>
                </c:pt>
                <c:pt idx="52">
                  <c:v>296.49930129675232</c:v>
                </c:pt>
                <c:pt idx="53">
                  <c:v>310.94264467119581</c:v>
                </c:pt>
                <c:pt idx="54">
                  <c:v>325.96564369687246</c:v>
                </c:pt>
                <c:pt idx="55">
                  <c:v>340.97335280521577</c:v>
                </c:pt>
                <c:pt idx="56">
                  <c:v>355.96653970474659</c:v>
                </c:pt>
                <c:pt idx="57">
                  <c:v>297.2281004543517</c:v>
                </c:pt>
                <c:pt idx="58">
                  <c:v>311.31629401755214</c:v>
                </c:pt>
                <c:pt idx="59">
                  <c:v>325.39034406673755</c:v>
                </c:pt>
                <c:pt idx="60">
                  <c:v>339.45094855776</c:v>
                </c:pt>
                <c:pt idx="61">
                  <c:v>353.98977164080435</c:v>
                </c:pt>
                <c:pt idx="62">
                  <c:v>368.51551555740826</c:v>
                </c:pt>
                <c:pt idx="63">
                  <c:v>383.0287684267314</c:v>
                </c:pt>
                <c:pt idx="64">
                  <c:v>325.53080390846873</c:v>
                </c:pt>
                <c:pt idx="65">
                  <c:v>339.08185825915479</c:v>
                </c:pt>
                <c:pt idx="66">
                  <c:v>352.62099976210396</c:v>
                </c:pt>
                <c:pt idx="67">
                  <c:v>366.14875028847382</c:v>
                </c:pt>
                <c:pt idx="68">
                  <c:v>380.0395214579292</c:v>
                </c:pt>
                <c:pt idx="69">
                  <c:v>393.91924985771925</c:v>
                </c:pt>
                <c:pt idx="70">
                  <c:v>407.78837937152508</c:v>
                </c:pt>
                <c:pt idx="71">
                  <c:v>421.647321227367</c:v>
                </c:pt>
                <c:pt idx="72">
                  <c:v>354.25160485356218</c:v>
                </c:pt>
                <c:pt idx="73">
                  <c:v>367.01233837264937</c:v>
                </c:pt>
                <c:pt idx="74">
                  <c:v>379.76338822931876</c:v>
                </c:pt>
                <c:pt idx="75">
                  <c:v>392.50512541059106</c:v>
                </c:pt>
                <c:pt idx="76">
                  <c:v>405.49832055062024</c:v>
                </c:pt>
                <c:pt idx="77">
                  <c:v>418.4825185407139</c:v>
                </c:pt>
                <c:pt idx="78">
                  <c:v>431.45803786445936</c:v>
                </c:pt>
                <c:pt idx="79">
                  <c:v>444.42517628710772</c:v>
                </c:pt>
                <c:pt idx="80">
                  <c:v>379.43930963036883</c:v>
                </c:pt>
                <c:pt idx="81">
                  <c:v>391.45499946443937</c:v>
                </c:pt>
                <c:pt idx="82">
                  <c:v>403.46269077532946</c:v>
                </c:pt>
                <c:pt idx="83">
                  <c:v>415.46265518984268</c:v>
                </c:pt>
                <c:pt idx="84">
                  <c:v>427.59477436037196</c:v>
                </c:pt>
                <c:pt idx="85">
                  <c:v>439.71949376175115</c:v>
                </c:pt>
                <c:pt idx="86">
                  <c:v>451.83704619496626</c:v>
                </c:pt>
                <c:pt idx="87">
                  <c:v>463.94765095548405</c:v>
                </c:pt>
                <c:pt idx="88">
                  <c:v>398.18586786276882</c:v>
                </c:pt>
                <c:pt idx="89">
                  <c:v>409.3410955033678</c:v>
                </c:pt>
                <c:pt idx="90">
                  <c:v>420.48975949433253</c:v>
                </c:pt>
                <c:pt idx="91">
                  <c:v>431.63205842249857</c:v>
                </c:pt>
                <c:pt idx="92">
                  <c:v>442.84845256935586</c:v>
                </c:pt>
                <c:pt idx="93">
                  <c:v>454.05876085334563</c:v>
                </c:pt>
                <c:pt idx="94">
                  <c:v>465.26315472237735</c:v>
                </c:pt>
                <c:pt idx="95">
                  <c:v>476.46179669257435</c:v>
                </c:pt>
                <c:pt idx="96">
                  <c:v>249.90508693913634</c:v>
                </c:pt>
                <c:pt idx="97">
                  <c:v>257.48201521428513</c:v>
                </c:pt>
                <c:pt idx="98">
                  <c:v>265.0539025214984</c:v>
                </c:pt>
                <c:pt idx="99">
                  <c:v>272.62091334809492</c:v>
                </c:pt>
                <c:pt idx="100">
                  <c:v>280.18320229421863</c:v>
                </c:pt>
                <c:pt idx="101">
                  <c:v>287.68226149213513</c:v>
                </c:pt>
                <c:pt idx="102">
                  <c:v>295.17694930150827</c:v>
                </c:pt>
                <c:pt idx="103">
                  <c:v>302.66739248827344</c:v>
                </c:pt>
                <c:pt idx="104">
                  <c:v>310.15371102522892</c:v>
                </c:pt>
                <c:pt idx="105">
                  <c:v>317.63601861488411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1" sqref="E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10.9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0.5</v>
      </c>
      <c r="D9" s="33">
        <f t="shared" ref="D9:D18" si="0">C9*$C$5</f>
        <v>5.45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0.5</v>
      </c>
      <c r="D10" s="33">
        <f t="shared" si="0"/>
        <v>5.45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10.9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v>70</v>
      </c>
      <c r="C36" s="60">
        <v>1</v>
      </c>
      <c r="D36" s="60">
        <v>8</v>
      </c>
      <c r="E36" s="51"/>
      <c r="F36" s="51"/>
      <c r="G36" s="51">
        <v>0.4</v>
      </c>
      <c r="H36" s="51">
        <v>0.6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97</v>
      </c>
      <c r="C37" s="60">
        <v>2</v>
      </c>
      <c r="D37" s="60">
        <v>21</v>
      </c>
      <c r="E37" s="51"/>
      <c r="F37" s="51"/>
      <c r="G37" s="51">
        <v>0.4</v>
      </c>
      <c r="H37" s="51">
        <v>0.6</v>
      </c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158</v>
      </c>
      <c r="C38" s="60">
        <v>3</v>
      </c>
      <c r="D38" s="60"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199</v>
      </c>
      <c r="C39" s="60">
        <v>4</v>
      </c>
      <c r="D39" s="60"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235</v>
      </c>
      <c r="C40" s="60">
        <v>5</v>
      </c>
      <c r="D40" s="60"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263</v>
      </c>
      <c r="C41" s="60">
        <v>6</v>
      </c>
      <c r="D41" s="60"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282</v>
      </c>
      <c r="C42" s="60">
        <v>7</v>
      </c>
      <c r="D42" s="60"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296</v>
      </c>
      <c r="C43" s="60">
        <v>8</v>
      </c>
      <c r="D43" s="60"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303</v>
      </c>
      <c r="C44" s="60" t="s">
        <v>324</v>
      </c>
      <c r="D44" s="60">
        <v>303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v>216.79230769230767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7.2264102564102561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36</v>
      </c>
      <c r="B63" s="60">
        <v>308.30769230769232</v>
      </c>
      <c r="C63" s="60">
        <v>0</v>
      </c>
      <c r="D63" s="60">
        <v>0</v>
      </c>
      <c r="E63" s="51" t="s">
        <v>325</v>
      </c>
      <c r="F63" s="51" t="s">
        <v>325</v>
      </c>
      <c r="G63" s="51" t="s">
        <v>325</v>
      </c>
      <c r="H63" s="51" t="s">
        <v>325</v>
      </c>
      <c r="I63" s="49">
        <f>IF(A63&lt;&gt;0,(B63-(B62-D62))/(A63-A62),"")</f>
        <v>15.252564102564108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42</v>
      </c>
      <c r="B64" s="60">
        <v>410.3692307692308</v>
      </c>
      <c r="C64" s="60">
        <v>1</v>
      </c>
      <c r="D64" s="60">
        <v>179.84615384615384</v>
      </c>
      <c r="E64" s="51" t="s">
        <v>325</v>
      </c>
      <c r="F64" s="51" t="s">
        <v>325</v>
      </c>
      <c r="G64" s="51" t="s">
        <v>325</v>
      </c>
      <c r="H64" s="51" t="s">
        <v>325</v>
      </c>
      <c r="I64" s="49">
        <f>IF(A64&lt;&gt;0,(B64-(B63-D63))/(A64-A63),"")</f>
        <v>17.010256410256414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46</v>
      </c>
      <c r="B65" s="60">
        <v>292.92307692307691</v>
      </c>
      <c r="C65" s="60">
        <v>0</v>
      </c>
      <c r="D65" s="60">
        <v>0</v>
      </c>
      <c r="E65" s="51" t="s">
        <v>325</v>
      </c>
      <c r="F65" s="51" t="s">
        <v>325</v>
      </c>
      <c r="G65" s="51" t="s">
        <v>325</v>
      </c>
      <c r="H65" s="51" t="s">
        <v>325</v>
      </c>
      <c r="I65" s="49">
        <f>IF(A65&lt;&gt;0,(B65-(B64-D64))/(A65-A64),"")</f>
        <v>15.599999999999987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49</v>
      </c>
      <c r="B66" s="60">
        <v>339.85384615384612</v>
      </c>
      <c r="C66" s="60">
        <v>2</v>
      </c>
      <c r="D66" s="60">
        <v>94.476923076923072</v>
      </c>
      <c r="E66" s="51" t="s">
        <v>325</v>
      </c>
      <c r="F66" s="51" t="s">
        <v>325</v>
      </c>
      <c r="G66" s="51" t="s">
        <v>325</v>
      </c>
      <c r="H66" s="51" t="s">
        <v>325</v>
      </c>
      <c r="I66" s="49">
        <f t="shared" ref="I66:I81" si="2">IF(A66&lt;&gt;0,(B66-(B65-D65))/(A66-A65),"")</f>
        <v>15.643589743589738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53</v>
      </c>
      <c r="B67" s="60">
        <v>303.03076923076924</v>
      </c>
      <c r="C67" s="60">
        <v>0</v>
      </c>
      <c r="D67" s="60">
        <v>0</v>
      </c>
      <c r="E67" s="51" t="s">
        <v>325</v>
      </c>
      <c r="F67" s="51" t="s">
        <v>325</v>
      </c>
      <c r="G67" s="51" t="s">
        <v>325</v>
      </c>
      <c r="H67" s="51" t="s">
        <v>325</v>
      </c>
      <c r="I67" s="49">
        <f t="shared" si="2"/>
        <v>14.413461538461547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56</v>
      </c>
      <c r="B68" s="60">
        <v>348.05384615384617</v>
      </c>
      <c r="C68" s="60">
        <v>3</v>
      </c>
      <c r="D68" s="60">
        <v>72.769230769230759</v>
      </c>
      <c r="E68" s="51" t="s">
        <v>325</v>
      </c>
      <c r="F68" s="51" t="s">
        <v>325</v>
      </c>
      <c r="G68" s="51" t="s">
        <v>325</v>
      </c>
      <c r="H68" s="51" t="s">
        <v>325</v>
      </c>
      <c r="I68" s="49">
        <f t="shared" si="2"/>
        <v>15.007692307692309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v>331.52307692307693</v>
      </c>
      <c r="C69" s="50">
        <v>0</v>
      </c>
      <c r="D69" s="50">
        <v>0</v>
      </c>
      <c r="E69" s="51" t="s">
        <v>325</v>
      </c>
      <c r="F69" s="51" t="s">
        <v>325</v>
      </c>
      <c r="G69" s="51" t="s">
        <v>325</v>
      </c>
      <c r="H69" s="51" t="s">
        <v>325</v>
      </c>
      <c r="I69" s="49">
        <f t="shared" si="2"/>
        <v>14.059615384615384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63</v>
      </c>
      <c r="B70" s="50">
        <v>375.17692307692306</v>
      </c>
      <c r="C70" s="50">
        <v>4</v>
      </c>
      <c r="D70" s="50">
        <v>71.123076923076923</v>
      </c>
      <c r="E70" s="51" t="s">
        <v>325</v>
      </c>
      <c r="F70" s="51" t="s">
        <v>325</v>
      </c>
      <c r="G70" s="51" t="s">
        <v>325</v>
      </c>
      <c r="H70" s="51" t="s">
        <v>325</v>
      </c>
      <c r="I70" s="49">
        <f t="shared" si="2"/>
        <v>14.551282051282044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67</v>
      </c>
      <c r="B71" s="50">
        <v>358.25384615384615</v>
      </c>
      <c r="C71" s="50">
        <v>0</v>
      </c>
      <c r="D71" s="50">
        <v>0</v>
      </c>
      <c r="E71" s="51" t="s">
        <v>325</v>
      </c>
      <c r="F71" s="51" t="s">
        <v>325</v>
      </c>
      <c r="G71" s="51" t="s">
        <v>325</v>
      </c>
      <c r="H71" s="51" t="s">
        <v>325</v>
      </c>
      <c r="I71" s="49">
        <f t="shared" si="2"/>
        <v>13.549999999999997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71</v>
      </c>
      <c r="B72" s="50">
        <v>413.95384615384614</v>
      </c>
      <c r="C72" s="50">
        <v>5</v>
      </c>
      <c r="D72" s="50">
        <v>80.399999999999991</v>
      </c>
      <c r="E72" s="51" t="s">
        <v>325</v>
      </c>
      <c r="F72" s="51" t="s">
        <v>325</v>
      </c>
      <c r="G72" s="51" t="s">
        <v>325</v>
      </c>
      <c r="H72" s="51" t="s">
        <v>325</v>
      </c>
      <c r="I72" s="49">
        <f t="shared" si="2"/>
        <v>13.924999999999997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50">
        <v>384.68461538461537</v>
      </c>
      <c r="C73" s="50">
        <v>0</v>
      </c>
      <c r="D73" s="50">
        <v>0</v>
      </c>
      <c r="E73" s="51" t="s">
        <v>325</v>
      </c>
      <c r="F73" s="51" t="s">
        <v>325</v>
      </c>
      <c r="G73" s="51" t="s">
        <v>325</v>
      </c>
      <c r="H73" s="51" t="s">
        <v>325</v>
      </c>
      <c r="I73" s="49">
        <f t="shared" si="2"/>
        <v>12.782692307692301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79</v>
      </c>
      <c r="B74" s="50">
        <v>436.86153846153843</v>
      </c>
      <c r="C74" s="50">
        <v>6</v>
      </c>
      <c r="D74" s="50">
        <v>77.338461538461544</v>
      </c>
      <c r="E74" s="51" t="s">
        <v>325</v>
      </c>
      <c r="F74" s="51" t="s">
        <v>325</v>
      </c>
      <c r="G74" s="51" t="s">
        <v>325</v>
      </c>
      <c r="H74" s="51" t="s">
        <v>325</v>
      </c>
      <c r="I74" s="49">
        <f t="shared" si="2"/>
        <v>13.044230769230765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83</v>
      </c>
      <c r="B75" s="50">
        <v>407.73846153846148</v>
      </c>
      <c r="C75" s="50">
        <v>0</v>
      </c>
      <c r="D75" s="50">
        <v>0</v>
      </c>
      <c r="E75" s="51" t="s">
        <v>325</v>
      </c>
      <c r="F75" s="51" t="s">
        <v>325</v>
      </c>
      <c r="G75" s="51" t="s">
        <v>325</v>
      </c>
      <c r="H75" s="51" t="s">
        <v>325</v>
      </c>
      <c r="I75" s="49">
        <f t="shared" si="2"/>
        <v>12.053846153846152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87</v>
      </c>
      <c r="B76" s="50">
        <v>456.51538461538462</v>
      </c>
      <c r="C76" s="50">
        <v>7</v>
      </c>
      <c r="D76" s="50">
        <v>77.330769230769235</v>
      </c>
      <c r="E76" s="51" t="s">
        <v>325</v>
      </c>
      <c r="F76" s="51" t="s">
        <v>325</v>
      </c>
      <c r="G76" s="51" t="s">
        <v>325</v>
      </c>
      <c r="H76" s="51" t="s">
        <v>325</v>
      </c>
      <c r="I76" s="49">
        <f t="shared" si="2"/>
        <v>12.194230769230785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91</v>
      </c>
      <c r="B77" s="50">
        <v>423.99230769230775</v>
      </c>
      <c r="C77" s="50">
        <v>0</v>
      </c>
      <c r="D77" s="50">
        <v>0</v>
      </c>
      <c r="E77" s="51" t="s">
        <v>325</v>
      </c>
      <c r="F77" s="51" t="s">
        <v>325</v>
      </c>
      <c r="G77" s="51" t="s">
        <v>325</v>
      </c>
      <c r="H77" s="51" t="s">
        <v>325</v>
      </c>
      <c r="I77" s="49">
        <f t="shared" si="2"/>
        <v>11.201923076923094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95</v>
      </c>
      <c r="B78" s="50">
        <v>469.12307692307689</v>
      </c>
      <c r="C78" s="50">
        <v>8</v>
      </c>
      <c r="D78" s="50">
        <v>234.42307692307691</v>
      </c>
      <c r="E78" s="51" t="s">
        <v>325</v>
      </c>
      <c r="F78" s="51" t="s">
        <v>325</v>
      </c>
      <c r="G78" s="51" t="s">
        <v>325</v>
      </c>
      <c r="H78" s="51" t="s">
        <v>325</v>
      </c>
      <c r="I78" s="49">
        <f t="shared" si="2"/>
        <v>11.282692307692287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100</v>
      </c>
      <c r="B79" s="50">
        <v>272.35384615384612</v>
      </c>
      <c r="C79" s="50">
        <v>0</v>
      </c>
      <c r="D79" s="50">
        <v>0</v>
      </c>
      <c r="E79" s="51" t="s">
        <v>325</v>
      </c>
      <c r="F79" s="51" t="s">
        <v>325</v>
      </c>
      <c r="G79" s="51" t="s">
        <v>325</v>
      </c>
      <c r="H79" s="51" t="s">
        <v>325</v>
      </c>
      <c r="I79" s="49">
        <f t="shared" si="2"/>
        <v>7.5307692307692262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105</v>
      </c>
      <c r="B80" s="50">
        <v>309.71538461538461</v>
      </c>
      <c r="C80" s="50">
        <v>9</v>
      </c>
      <c r="D80" s="50">
        <v>309.71538461538461</v>
      </c>
      <c r="E80" s="51" t="s">
        <v>325</v>
      </c>
      <c r="F80" s="51" t="s">
        <v>325</v>
      </c>
      <c r="G80" s="51" t="s">
        <v>325</v>
      </c>
      <c r="H80" s="51" t="s">
        <v>325</v>
      </c>
      <c r="I80" s="49">
        <f t="shared" si="2"/>
        <v>7.4723076923076972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8" sqref="G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374.44366443573398</v>
      </c>
      <c r="T3" s="59">
        <f>IF('Données projet'!E9&gt;30,$R$33-$H$33,LOOKUP('Données projet'!$E$9,$A$3:$A$203,R3:R203)-LOOKUP('Données projet'!$E$9,$A$3:$A$203,$H$3:$H$203))</f>
        <v>250.47702091764884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325.51141702511984</v>
      </c>
      <c r="AO3" s="59">
        <f>IF('Données projet'!E10&gt;30,$AM$33-$H$33,LOOKUP('Données projet'!$E$10,$A$3:$A$203,AM3:AM203)-LOOKUP('Données projet'!$E$10,$A$3:$A$203,$H$3:$H$203))</f>
        <v>280.04509991782709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170.53396451742296</v>
      </c>
      <c r="S4" s="59">
        <f ca="1">AVERAGE(OFFSET($R$3,0,0,'Données projet'!$E$9+1,1))-AVERAGE(OFFSET($H$3,0,0,'Données projet'!$E$9+1,1))</f>
        <v>374.44366443573398</v>
      </c>
      <c r="T4" s="59">
        <f>$T$3</f>
        <v>250.47702091764884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7.2264102564102561</v>
      </c>
      <c r="AI4" s="13">
        <f>IF('Données projet'!$A$62&gt;35,AI3+AH4-AQ3,IF(A4&lt;'Données projet'!$A$62,$AF$205^A4,IF(A4='Données projet'!$A$62,'Données projet'!$B$62,AI3+AH4-AQ3)))</f>
        <v>1.1963772029987372</v>
      </c>
      <c r="AJ4" s="13">
        <f>AI4*VLOOKUP('Données projet'!$B$10,Paramètres!$A$1:$I$89,3,0)*VLOOKUP('Données projet'!$B$10,Paramètres!$A$1:$I$89,5,0)</f>
        <v>0.55990453100340898</v>
      </c>
      <c r="AK4" s="13">
        <f>EXP(-1.0587+0.8836*LN(AJ4)+0.284)</f>
        <v>0.2760486193577778</v>
      </c>
      <c r="AL4" s="20">
        <f t="shared" ref="AL4:AL67" si="4">(AJ4+AK4)*0.475*44/12</f>
        <v>1.4559517368790669</v>
      </c>
      <c r="AM4" s="59">
        <f t="shared" ref="AM4:AM67" si="5">AL4+(AD4+AE4)*44/12</f>
        <v>169.2683856898029</v>
      </c>
      <c r="AN4" s="59">
        <f ca="1">AVERAGE(OFFSET($AM$3,0,0,'Données projet'!$E$10+1,1))-AVERAGE(OFFSET($H$3,0,0,'Données projet'!$E$10+1,1))</f>
        <v>325.51141702511984</v>
      </c>
      <c r="AO4" s="59">
        <f>$AO$3</f>
        <v>280.04509991782709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173.80311050116413</v>
      </c>
      <c r="S5" s="59">
        <f ca="1">AVERAGE(OFFSET($R$3,0,0,'Données projet'!$E$9+1,1))-AVERAGE(OFFSET($H$3,0,0,'Données projet'!$E$9+1,1))</f>
        <v>374.44366443573398</v>
      </c>
      <c r="T5" s="59">
        <f t="shared" ref="T5:T68" si="34">$T$3</f>
        <v>250.47702091764884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7.2264102564102561</v>
      </c>
      <c r="AI5" s="13">
        <f>IF('Données projet'!$A$62&gt;35,AI4+AH5-AQ4,IF(A5&lt;'Données projet'!$A$62,$AF$205^A5,IF(A5='Données projet'!$A$62,'Données projet'!$B$62,AI4+AH5-AQ4)))</f>
        <v>1.4313184118550817</v>
      </c>
      <c r="AJ5" s="13">
        <f>AI5*VLOOKUP('Données projet'!$B$10,Paramètres!$A$1:$I$89,3,0)*VLOOKUP('Données projet'!$B$10,Paramètres!$A$1:$I$89,5,0)</f>
        <v>0.66985701674817832</v>
      </c>
      <c r="AK5" s="13">
        <f t="shared" ref="AK5:AK68" si="35">EXP(-1.0587+0.8836*LN(AJ5)+0.284)</f>
        <v>0.32343711768198868</v>
      </c>
      <c r="AL5" s="20">
        <f t="shared" si="4"/>
        <v>1.729987284132541</v>
      </c>
      <c r="AM5" s="59">
        <f t="shared" si="5"/>
        <v>172.32726857163337</v>
      </c>
      <c r="AN5" s="59">
        <f ca="1">AVERAGE(OFFSET($AM$3,0,0,'Données projet'!$E$10+1,1))-AVERAGE(OFFSET($H$3,0,0,'Données projet'!$E$10+1,1))</f>
        <v>325.51141702511984</v>
      </c>
      <c r="AO5" s="59">
        <f t="shared" ref="AO5:AO68" si="36">$AO$3</f>
        <v>280.04509991782709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177.13164555764678</v>
      </c>
      <c r="S6" s="59">
        <f ca="1">AVERAGE(OFFSET($R$3,0,0,'Données projet'!$E$9+1,1))-AVERAGE(OFFSET($H$3,0,0,'Données projet'!$E$9+1,1))</f>
        <v>374.44366443573398</v>
      </c>
      <c r="T6" s="59">
        <f t="shared" si="34"/>
        <v>250.47702091764884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7.2264102564102561</v>
      </c>
      <c r="AI6" s="13">
        <f>IF('Données projet'!$A$62&gt;35,AI5+AH6-AQ5,IF(A6&lt;'Données projet'!$A$62,$AF$205^A6,IF(A6='Données projet'!$A$62,'Données projet'!$B$62,AI5+AH6-AQ5)))</f>
        <v>1.7123967181757771</v>
      </c>
      <c r="AJ6" s="13">
        <f>AI6*VLOOKUP('Données projet'!$B$10,Paramètres!$A$1:$I$89,3,0)*VLOOKUP('Données projet'!$B$10,Paramètres!$A$1:$I$89,5,0)</f>
        <v>0.80140166410626379</v>
      </c>
      <c r="AK6" s="13">
        <f t="shared" si="35"/>
        <v>0.37896066764546593</v>
      </c>
      <c r="AL6" s="20">
        <f t="shared" si="4"/>
        <v>2.0557977278009294</v>
      </c>
      <c r="AM6" s="59">
        <f t="shared" si="5"/>
        <v>175.41081829768581</v>
      </c>
      <c r="AN6" s="59">
        <f ca="1">AVERAGE(OFFSET($AM$3,0,0,'Données projet'!$E$10+1,1))-AVERAGE(OFFSET($H$3,0,0,'Données projet'!$E$10+1,1))</f>
        <v>325.51141702511984</v>
      </c>
      <c r="AO6" s="59">
        <f t="shared" si="36"/>
        <v>280.04509991782709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180.53554184010875</v>
      </c>
      <c r="S7" s="59">
        <f ca="1">AVERAGE(OFFSET($R$3,0,0,'Données projet'!$E$9+1,1))-AVERAGE(OFFSET($H$3,0,0,'Données projet'!$E$9+1,1))</f>
        <v>374.44366443573398</v>
      </c>
      <c r="T7" s="59">
        <f t="shared" si="34"/>
        <v>250.47702091764884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7.2264102564102561</v>
      </c>
      <c r="AI7" s="13">
        <f>IF('Données projet'!$A$62&gt;35,AI6+AH7-AQ6,IF(A7&lt;'Données projet'!$A$62,$AF$205^A7,IF(A7='Données projet'!$A$62,'Données projet'!$B$62,AI6+AH7-AQ6)))</f>
        <v>2.0486723961153532</v>
      </c>
      <c r="AJ7" s="13">
        <f>AI7*VLOOKUP('Données projet'!$B$10,Paramètres!$A$1:$I$89,3,0)*VLOOKUP('Données projet'!$B$10,Paramètres!$A$1:$I$89,5,0)</f>
        <v>0.95877868138198519</v>
      </c>
      <c r="AK7" s="13">
        <f t="shared" si="35"/>
        <v>0.44401579092570115</v>
      </c>
      <c r="AL7" s="20">
        <f t="shared" si="4"/>
        <v>2.4432003726025537</v>
      </c>
      <c r="AM7" s="59">
        <f t="shared" si="5"/>
        <v>178.52932243677949</v>
      </c>
      <c r="AN7" s="59">
        <f ca="1">AVERAGE(OFFSET($AM$3,0,0,'Données projet'!$E$10+1,1))-AVERAGE(OFFSET($H$3,0,0,'Données projet'!$E$10+1,1))</f>
        <v>325.51141702511984</v>
      </c>
      <c r="AO7" s="59">
        <f t="shared" si="36"/>
        <v>280.04509991782709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184.0335505184639</v>
      </c>
      <c r="S8" s="59">
        <f ca="1">AVERAGE(OFFSET($R$3,0,0,'Données projet'!$E$9+1,1))-AVERAGE(OFFSET($H$3,0,0,'Données projet'!$E$9+1,1))</f>
        <v>374.44366443573398</v>
      </c>
      <c r="T8" s="59">
        <f t="shared" si="34"/>
        <v>250.47702091764884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7.2264102564102561</v>
      </c>
      <c r="AI8" s="13">
        <f>IF('Données projet'!$A$62&gt;35,AI7+AH8-AQ7,IF(A8&lt;'Données projet'!$A$62,$AF$205^A8,IF(A8='Données projet'!$A$62,'Données projet'!$B$62,AI7+AH8-AQ7)))</f>
        <v>2.4509849511252071</v>
      </c>
      <c r="AJ8" s="13">
        <f>AI8*VLOOKUP('Données projet'!$B$10,Paramètres!$A$1:$I$89,3,0)*VLOOKUP('Données projet'!$B$10,Paramètres!$A$1:$I$89,5,0)</f>
        <v>1.1470609571265968</v>
      </c>
      <c r="AK8" s="13">
        <f t="shared" si="35"/>
        <v>0.52023874619045773</v>
      </c>
      <c r="AL8" s="20">
        <f t="shared" si="4"/>
        <v>2.9038803166105365</v>
      </c>
      <c r="AM8" s="59">
        <f t="shared" si="5"/>
        <v>181.69492819305788</v>
      </c>
      <c r="AN8" s="59">
        <f ca="1">AVERAGE(OFFSET($AM$3,0,0,'Données projet'!$E$10+1,1))-AVERAGE(OFFSET($H$3,0,0,'Données projet'!$E$10+1,1))</f>
        <v>325.51141702511984</v>
      </c>
      <c r="AO8" s="59">
        <f t="shared" si="36"/>
        <v>280.04509991782709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187.64770454166634</v>
      </c>
      <c r="S9" s="59">
        <f ca="1">AVERAGE(OFFSET($R$3,0,0,'Données projet'!$E$9+1,1))-AVERAGE(OFFSET($H$3,0,0,'Données projet'!$E$9+1,1))</f>
        <v>374.44366443573398</v>
      </c>
      <c r="T9" s="59">
        <f t="shared" si="34"/>
        <v>250.47702091764884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7.2264102564102561</v>
      </c>
      <c r="AI9" s="13">
        <f>IF('Données projet'!$A$62&gt;35,AI8+AH9-AQ8,IF(A9&lt;'Données projet'!$A$62,$AF$205^A9,IF(A9='Données projet'!$A$62,'Données projet'!$B$62,AI8+AH9-AQ8)))</f>
        <v>2.9323025204191722</v>
      </c>
      <c r="AJ9" s="13">
        <f>AI9*VLOOKUP('Données projet'!$B$10,Paramètres!$A$1:$I$89,3,0)*VLOOKUP('Données projet'!$B$10,Paramètres!$A$1:$I$89,5,0)</f>
        <v>1.3723175795561726</v>
      </c>
      <c r="AK9" s="13">
        <f t="shared" si="35"/>
        <v>0.60954668407977464</v>
      </c>
      <c r="AL9" s="20">
        <f t="shared" si="4"/>
        <v>3.4517469258326074</v>
      </c>
      <c r="AM9" s="59">
        <f t="shared" si="5"/>
        <v>184.92199902209157</v>
      </c>
      <c r="AN9" s="59">
        <f ca="1">AVERAGE(OFFSET($AM$3,0,0,'Données projet'!$E$10+1,1))-AVERAGE(OFFSET($H$3,0,0,'Données projet'!$E$10+1,1))</f>
        <v>325.51141702511984</v>
      </c>
      <c r="AO9" s="59">
        <f t="shared" si="36"/>
        <v>280.04509991782709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191.40391228710212</v>
      </c>
      <c r="S10" s="59">
        <f ca="1">AVERAGE(OFFSET($R$3,0,0,'Données projet'!$E$9+1,1))-AVERAGE(OFFSET($H$3,0,0,'Données projet'!$E$9+1,1))</f>
        <v>374.44366443573398</v>
      </c>
      <c r="T10" s="59">
        <f t="shared" si="34"/>
        <v>250.47702091764884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7.2264102564102561</v>
      </c>
      <c r="AI10" s="13">
        <f>IF('Données projet'!$A$62&gt;35,AI9+AH10-AQ9,IF(A10&lt;'Données projet'!$A$62,$AF$205^A10,IF(A10='Données projet'!$A$62,'Données projet'!$B$62,AI9+AH10-AQ9)))</f>
        <v>3.5081398877252363</v>
      </c>
      <c r="AJ10" s="13">
        <f>AI10*VLOOKUP('Données projet'!$B$10,Paramètres!$A$1:$I$89,3,0)*VLOOKUP('Données projet'!$B$10,Paramètres!$A$1:$I$89,5,0)</f>
        <v>1.6418094674554107</v>
      </c>
      <c r="AK10" s="13">
        <f t="shared" si="35"/>
        <v>0.71418586714920729</v>
      </c>
      <c r="AL10" s="20">
        <f t="shared" si="4"/>
        <v>4.1033585411030424</v>
      </c>
      <c r="AM10" s="59">
        <f t="shared" si="5"/>
        <v>188.22753947683927</v>
      </c>
      <c r="AN10" s="59">
        <f ca="1">AVERAGE(OFFSET($AM$3,0,0,'Données projet'!$E$10+1,1))-AVERAGE(OFFSET($H$3,0,0,'Données projet'!$E$10+1,1))</f>
        <v>325.51141702511984</v>
      </c>
      <c r="AO10" s="59">
        <f t="shared" si="36"/>
        <v>280.04509991782709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195.33265857432079</v>
      </c>
      <c r="S11" s="59">
        <f ca="1">AVERAGE(OFFSET($R$3,0,0,'Données projet'!$E$9+1,1))-AVERAGE(OFFSET($H$3,0,0,'Données projet'!$E$9+1,1))</f>
        <v>374.44366443573398</v>
      </c>
      <c r="T11" s="59">
        <f t="shared" si="34"/>
        <v>250.47702091764884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7.2264102564102561</v>
      </c>
      <c r="AI11" s="13">
        <f>IF('Données projet'!$A$62&gt;35,AI10+AH11-AQ10,IF(A11&lt;'Données projet'!$A$62,$AF$205^A11,IF(A11='Données projet'!$A$62,'Données projet'!$B$62,AI10+AH11-AQ10)))</f>
        <v>4.1970585866050225</v>
      </c>
      <c r="AJ11" s="13">
        <f>AI11*VLOOKUP('Données projet'!$B$10,Paramètres!$A$1:$I$89,3,0)*VLOOKUP('Données projet'!$B$10,Paramètres!$A$1:$I$89,5,0)</f>
        <v>1.9642234185311505</v>
      </c>
      <c r="AK11" s="13">
        <f t="shared" si="35"/>
        <v>0.83678816759654573</v>
      </c>
      <c r="AL11" s="20">
        <f t="shared" si="4"/>
        <v>4.8784285125057369</v>
      </c>
      <c r="AM11" s="59">
        <f t="shared" si="5"/>
        <v>191.63170137872629</v>
      </c>
      <c r="AN11" s="59">
        <f ca="1">AVERAGE(OFFSET($AM$3,0,0,'Données projet'!$E$10+1,1))-AVERAGE(OFFSET($H$3,0,0,'Données projet'!$E$10+1,1))</f>
        <v>325.51141702511984</v>
      </c>
      <c r="AO11" s="59">
        <f t="shared" si="36"/>
        <v>280.04509991782709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199.46983251448123</v>
      </c>
      <c r="S12" s="59">
        <f ca="1">AVERAGE(OFFSET($R$3,0,0,'Données projet'!$E$9+1,1))-AVERAGE(OFFSET($H$3,0,0,'Données projet'!$E$9+1,1))</f>
        <v>374.44366443573398</v>
      </c>
      <c r="T12" s="59">
        <f t="shared" si="34"/>
        <v>250.47702091764884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7.2264102564102561</v>
      </c>
      <c r="AI12" s="13">
        <f>IF('Données projet'!$A$62&gt;35,AI11+AH12-AQ11,IF(A12&lt;'Données projet'!$A$62,$AF$205^A12,IF(A12='Données projet'!$A$62,'Données projet'!$B$62,AI11+AH12-AQ11)))</f>
        <v>5.0212652126643498</v>
      </c>
      <c r="AJ12" s="13">
        <f>AI12*VLOOKUP('Données projet'!$B$10,Paramètres!$A$1:$I$89,3,0)*VLOOKUP('Données projet'!$B$10,Paramètres!$A$1:$I$89,5,0)</f>
        <v>2.349952119526916</v>
      </c>
      <c r="AK12" s="13">
        <f t="shared" si="35"/>
        <v>0.98043726379605944</v>
      </c>
      <c r="AL12" s="20">
        <f t="shared" si="4"/>
        <v>5.8004281759541811</v>
      </c>
      <c r="AM12" s="59">
        <f t="shared" si="5"/>
        <v>195.15838692851025</v>
      </c>
      <c r="AN12" s="59">
        <f ca="1">AVERAGE(OFFSET($AM$3,0,0,'Données projet'!$E$10+1,1))-AVERAGE(OFFSET($H$3,0,0,'Données projet'!$E$10+1,1))</f>
        <v>325.51141702511984</v>
      </c>
      <c r="AO12" s="59">
        <f t="shared" si="36"/>
        <v>280.04509991782709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203.8577052061288</v>
      </c>
      <c r="S13" s="59">
        <f ca="1">AVERAGE(OFFSET($R$3,0,0,'Données projet'!$E$9+1,1))-AVERAGE(OFFSET($H$3,0,0,'Données projet'!$E$9+1,1))</f>
        <v>374.44366443573398</v>
      </c>
      <c r="T13" s="59">
        <f t="shared" si="34"/>
        <v>250.47702091764884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7.2264102564102561</v>
      </c>
      <c r="AI13" s="13">
        <f>IF('Données projet'!$A$62&gt;35,AI12+AH13-AQ12,IF(A13&lt;'Données projet'!$A$62,$AF$205^A13,IF(A13='Données projet'!$A$62,'Données projet'!$B$62,AI12+AH13-AQ12)))</f>
        <v>6.0073272306422343</v>
      </c>
      <c r="AJ13" s="13">
        <f>AI13*VLOOKUP('Données projet'!$B$10,Paramètres!$A$1:$I$89,3,0)*VLOOKUP('Données projet'!$B$10,Paramètres!$A$1:$I$89,5,0)</f>
        <v>2.8114291439405656</v>
      </c>
      <c r="AK13" s="13">
        <f t="shared" si="35"/>
        <v>1.1487462006075717</v>
      </c>
      <c r="AL13" s="20">
        <f t="shared" si="4"/>
        <v>6.8973053917546716</v>
      </c>
      <c r="AM13" s="59">
        <f t="shared" si="5"/>
        <v>198.83596737679957</v>
      </c>
      <c r="AN13" s="59">
        <f ca="1">AVERAGE(OFFSET($AM$3,0,0,'Données projet'!$E$10+1,1))-AVERAGE(OFFSET($H$3,0,0,'Données projet'!$E$10+1,1))</f>
        <v>325.51141702511984</v>
      </c>
      <c r="AO13" s="59">
        <f t="shared" si="36"/>
        <v>280.04509991782709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208.54608447182272</v>
      </c>
      <c r="S14" s="59">
        <f ca="1">AVERAGE(OFFSET($R$3,0,0,'Données projet'!$E$9+1,1))-AVERAGE(OFFSET($H$3,0,0,'Données projet'!$E$9+1,1))</f>
        <v>374.44366443573398</v>
      </c>
      <c r="T14" s="59">
        <f t="shared" si="34"/>
        <v>250.47702091764884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7.2264102564102561</v>
      </c>
      <c r="AI14" s="13">
        <f>IF('Données projet'!$A$62&gt;35,AI13+AH14-AQ13,IF(A14&lt;'Données projet'!$A$62,$AF$205^A14,IF(A14='Données projet'!$A$62,'Données projet'!$B$62,AI13+AH14-AQ13)))</f>
        <v>7.1870293496939057</v>
      </c>
      <c r="AJ14" s="13">
        <f>AI14*VLOOKUP('Données projet'!$B$10,Paramètres!$A$1:$I$89,3,0)*VLOOKUP('Données projet'!$B$10,Paramètres!$A$1:$I$89,5,0)</f>
        <v>3.3635297356567477</v>
      </c>
      <c r="AK14" s="13">
        <f t="shared" si="35"/>
        <v>1.3459482642479659</v>
      </c>
      <c r="AL14" s="20">
        <f t="shared" si="4"/>
        <v>8.2023408498340427</v>
      </c>
      <c r="AM14" s="59">
        <f t="shared" si="5"/>
        <v>202.69813945894816</v>
      </c>
      <c r="AN14" s="59">
        <f ca="1">AVERAGE(OFFSET($AM$3,0,0,'Données projet'!$E$10+1,1))-AVERAGE(OFFSET($H$3,0,0,'Données projet'!$E$10+1,1))</f>
        <v>325.51141702511984</v>
      </c>
      <c r="AO14" s="59">
        <f t="shared" si="36"/>
        <v>280.04509991782709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213.59367877631936</v>
      </c>
      <c r="S15" s="59">
        <f ca="1">AVERAGE(OFFSET($R$3,0,0,'Données projet'!$E$9+1,1))-AVERAGE(OFFSET($H$3,0,0,'Données projet'!$E$9+1,1))</f>
        <v>374.44366443573398</v>
      </c>
      <c r="T15" s="59">
        <f t="shared" si="34"/>
        <v>250.47702091764884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7.2264102564102561</v>
      </c>
      <c r="AI15" s="13">
        <f>IF('Données projet'!$A$62&gt;35,AI14+AH15-AQ14,IF(A15&lt;'Données projet'!$A$62,$AF$205^A15,IF(A15='Données projet'!$A$62,'Données projet'!$B$62,AI14+AH15-AQ14)))</f>
        <v>8.5983980712566286</v>
      </c>
      <c r="AJ15" s="13">
        <f>AI15*VLOOKUP('Données projet'!$B$10,Paramètres!$A$1:$I$89,3,0)*VLOOKUP('Données projet'!$B$10,Paramètres!$A$1:$I$89,5,0)</f>
        <v>4.0240502973481025</v>
      </c>
      <c r="AK15" s="13">
        <f t="shared" si="35"/>
        <v>1.5770034573990057</v>
      </c>
      <c r="AL15" s="20">
        <f t="shared" si="4"/>
        <v>9.7551686228512136</v>
      </c>
      <c r="AM15" s="59">
        <f t="shared" si="5"/>
        <v>206.78494607558409</v>
      </c>
      <c r="AN15" s="59">
        <f ca="1">AVERAGE(OFFSET($AM$3,0,0,'Données projet'!$E$10+1,1))-AVERAGE(OFFSET($H$3,0,0,'Données projet'!$E$10+1,1))</f>
        <v>325.51141702511984</v>
      </c>
      <c r="AO15" s="59">
        <f t="shared" si="36"/>
        <v>280.04509991782709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219.06970831464207</v>
      </c>
      <c r="S16" s="59">
        <f ca="1">AVERAGE(OFFSET($R$3,0,0,'Données projet'!$E$9+1,1))-AVERAGE(OFFSET($H$3,0,0,'Données projet'!$E$9+1,1))</f>
        <v>374.44366443573398</v>
      </c>
      <c r="T16" s="59">
        <f t="shared" si="34"/>
        <v>250.47702091764884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7.2264102564102561</v>
      </c>
      <c r="AI16" s="13">
        <f>IF('Données projet'!$A$62&gt;35,AI15+AH16-AQ15,IF(A16&lt;'Données projet'!$A$62,$AF$205^A16,IF(A16='Données projet'!$A$62,'Données projet'!$B$62,AI15+AH16-AQ15)))</f>
        <v>10.286927434759741</v>
      </c>
      <c r="AJ16" s="13">
        <f>AI16*VLOOKUP('Données projet'!$B$10,Paramètres!$A$1:$I$89,3,0)*VLOOKUP('Données projet'!$B$10,Paramètres!$A$1:$I$89,5,0)</f>
        <v>4.8142820394675585</v>
      </c>
      <c r="AK16" s="13">
        <f t="shared" si="35"/>
        <v>1.8477232526006253</v>
      </c>
      <c r="AL16" s="20">
        <f t="shared" si="4"/>
        <v>11.602992550352086</v>
      </c>
      <c r="AM16" s="59">
        <f t="shared" si="5"/>
        <v>211.14399280197091</v>
      </c>
      <c r="AN16" s="59">
        <f ca="1">AVERAGE(OFFSET($AM$3,0,0,'Données projet'!$E$10+1,1))-AVERAGE(OFFSET($H$3,0,0,'Données projet'!$E$10+1,1))</f>
        <v>325.51141702511984</v>
      </c>
      <c r="AO16" s="59">
        <f t="shared" si="36"/>
        <v>280.04509991782709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225.05580817200919</v>
      </c>
      <c r="S17" s="59">
        <f ca="1">AVERAGE(OFFSET($R$3,0,0,'Données projet'!$E$9+1,1))-AVERAGE(OFFSET($H$3,0,0,'Données projet'!$E$9+1,1))</f>
        <v>374.44366443573398</v>
      </c>
      <c r="T17" s="59">
        <f t="shared" si="34"/>
        <v>250.47702091764884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7.2264102564102561</v>
      </c>
      <c r="AI17" s="13">
        <f>IF('Données projet'!$A$62&gt;35,AI16+AH17-AQ16,IF(A17&lt;'Données projet'!$A$62,$AF$205^A17,IF(A17='Données projet'!$A$62,'Données projet'!$B$62,AI16+AH17-AQ16)))</f>
        <v>12.307045471848836</v>
      </c>
      <c r="AJ17" s="13">
        <f>AI17*VLOOKUP('Données projet'!$B$10,Paramètres!$A$1:$I$89,3,0)*VLOOKUP('Données projet'!$B$10,Paramètres!$A$1:$I$89,5,0)</f>
        <v>5.7596972808252556</v>
      </c>
      <c r="AK17" s="13">
        <f t="shared" si="35"/>
        <v>2.1649167617120959</v>
      </c>
      <c r="AL17" s="20">
        <f t="shared" si="4"/>
        <v>13.802036124085888</v>
      </c>
      <c r="AM17" s="59">
        <f t="shared" si="5"/>
        <v>215.83189789635907</v>
      </c>
      <c r="AN17" s="59">
        <f ca="1">AVERAGE(OFFSET($AM$3,0,0,'Données projet'!$E$10+1,1))-AVERAGE(OFFSET($H$3,0,0,'Données projet'!$E$10+1,1))</f>
        <v>325.51141702511984</v>
      </c>
      <c r="AO17" s="59">
        <f t="shared" si="36"/>
        <v>280.04509991782709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231.64827663193154</v>
      </c>
      <c r="S18" s="59">
        <f ca="1">AVERAGE(OFFSET($R$3,0,0,'Données projet'!$E$9+1,1))-AVERAGE(OFFSET($H$3,0,0,'Données projet'!$E$9+1,1))</f>
        <v>374.44366443573398</v>
      </c>
      <c r="T18" s="59">
        <f t="shared" si="34"/>
        <v>250.47702091764884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7.2264102564102561</v>
      </c>
      <c r="AI18" s="13">
        <f>IF('Données projet'!$A$62&gt;35,AI17+AH18-AQ17,IF(A18&lt;'Données projet'!$A$62,$AF$205^A18,IF(A18='Données projet'!$A$62,'Données projet'!$B$62,AI17+AH18-AQ17)))</f>
        <v>14.723868638788783</v>
      </c>
      <c r="AJ18" s="13">
        <f>AI18*VLOOKUP('Données projet'!$B$10,Paramètres!$A$1:$I$89,3,0)*VLOOKUP('Données projet'!$B$10,Paramètres!$A$1:$I$89,5,0)</f>
        <v>6.89077052295315</v>
      </c>
      <c r="AK18" s="13">
        <f t="shared" si="35"/>
        <v>2.5365619978778424</v>
      </c>
      <c r="AL18" s="20">
        <f t="shared" si="4"/>
        <v>16.419270807113978</v>
      </c>
      <c r="AM18" s="59">
        <f t="shared" si="5"/>
        <v>220.91602073999502</v>
      </c>
      <c r="AN18" s="59">
        <f ca="1">AVERAGE(OFFSET($AM$3,0,0,'Données projet'!$E$10+1,1))-AVERAGE(OFFSET($H$3,0,0,'Données projet'!$E$10+1,1))</f>
        <v>325.51141702511984</v>
      </c>
      <c r="AO18" s="59">
        <f t="shared" si="36"/>
        <v>280.04509991782709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238.96073137412537</v>
      </c>
      <c r="S19" s="59">
        <f ca="1">AVERAGE(OFFSET($R$3,0,0,'Données projet'!$E$9+1,1))-AVERAGE(OFFSET($H$3,0,0,'Données projet'!$E$9+1,1))</f>
        <v>374.44366443573398</v>
      </c>
      <c r="T19" s="59">
        <f t="shared" si="34"/>
        <v>250.47702091764884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7.2264102564102561</v>
      </c>
      <c r="AI19" s="13">
        <f>IF('Données projet'!$A$62&gt;35,AI18+AH19-AQ18,IF(A19&lt;'Données projet'!$A$62,$AF$205^A19,IF(A19='Données projet'!$A$62,'Données projet'!$B$62,AI18+AH19-AQ18)))</f>
        <v>17.61530077939495</v>
      </c>
      <c r="AJ19" s="13">
        <f>AI19*VLOOKUP('Données projet'!$B$10,Paramètres!$A$1:$I$89,3,0)*VLOOKUP('Données projet'!$B$10,Paramètres!$A$1:$I$89,5,0)</f>
        <v>8.2439607647568369</v>
      </c>
      <c r="AK19" s="13">
        <f t="shared" si="35"/>
        <v>2.972006537558364</v>
      </c>
      <c r="AL19" s="20">
        <f t="shared" si="4"/>
        <v>19.534476384865641</v>
      </c>
      <c r="AM19" s="59">
        <f t="shared" si="5"/>
        <v>226.47652230697969</v>
      </c>
      <c r="AN19" s="59">
        <f ca="1">AVERAGE(OFFSET($AM$3,0,0,'Données projet'!$E$10+1,1))-AVERAGE(OFFSET($H$3,0,0,'Données projet'!$E$10+1,1))</f>
        <v>325.51141702511984</v>
      </c>
      <c r="AO19" s="59">
        <f t="shared" si="36"/>
        <v>280.04509991782709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247.12724773264097</v>
      </c>
      <c r="S20" s="59">
        <f ca="1">AVERAGE(OFFSET($R$3,0,0,'Données projet'!$E$9+1,1))-AVERAGE(OFFSET($H$3,0,0,'Données projet'!$E$9+1,1))</f>
        <v>374.44366443573398</v>
      </c>
      <c r="T20" s="59">
        <f t="shared" si="34"/>
        <v>250.47702091764884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7.2264102564102561</v>
      </c>
      <c r="AI20" s="13">
        <f>IF('Données projet'!$A$62&gt;35,AI19+AH20-AQ19,IF(A20&lt;'Données projet'!$A$62,$AF$205^A20,IF(A20='Données projet'!$A$62,'Données projet'!$B$62,AI19+AH20-AQ19)))</f>
        <v>21.074544276434004</v>
      </c>
      <c r="AJ20" s="13">
        <f>AI20*VLOOKUP('Données projet'!$B$10,Paramètres!$A$1:$I$89,3,0)*VLOOKUP('Données projet'!$B$10,Paramètres!$A$1:$I$89,5,0)</f>
        <v>9.8628867213711136</v>
      </c>
      <c r="AK20" s="13">
        <f t="shared" si="35"/>
        <v>3.4822026296536168</v>
      </c>
      <c r="AL20" s="20">
        <f t="shared" si="4"/>
        <v>23.24269728636807</v>
      </c>
      <c r="AM20" s="59">
        <f t="shared" si="5"/>
        <v>232.60882160224079</v>
      </c>
      <c r="AN20" s="59">
        <f ca="1">AVERAGE(OFFSET($AM$3,0,0,'Données projet'!$E$10+1,1))-AVERAGE(OFFSET($H$3,0,0,'Données projet'!$E$10+1,1))</f>
        <v>325.51141702511984</v>
      </c>
      <c r="AO20" s="59">
        <f t="shared" si="36"/>
        <v>280.04509991782709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256.30606669906558</v>
      </c>
      <c r="S21" s="59">
        <f ca="1">AVERAGE(OFFSET($R$3,0,0,'Données projet'!$E$9+1,1))-AVERAGE(OFFSET($H$3,0,0,'Données projet'!$E$9+1,1))</f>
        <v>374.44366443573398</v>
      </c>
      <c r="T21" s="59">
        <f t="shared" si="34"/>
        <v>250.47702091764884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7.2264102564102561</v>
      </c>
      <c r="AI21" s="13">
        <f>IF('Données projet'!$A$62&gt;35,AI20+AH21-AQ20,IF(A21&lt;'Données projet'!$A$62,$AF$205^A21,IF(A21='Données projet'!$A$62,'Données projet'!$B$62,AI20+AH21-AQ20)))</f>
        <v>25.213104335913162</v>
      </c>
      <c r="AJ21" s="13">
        <f>AI21*VLOOKUP('Données projet'!$B$10,Paramètres!$A$1:$I$89,3,0)*VLOOKUP('Données projet'!$B$10,Paramètres!$A$1:$I$89,5,0)</f>
        <v>11.799732829207361</v>
      </c>
      <c r="AK21" s="13">
        <f t="shared" si="35"/>
        <v>4.079982665155371</v>
      </c>
      <c r="AL21" s="20">
        <f t="shared" si="4"/>
        <v>27.657171152681755</v>
      </c>
      <c r="AM21" s="59">
        <f t="shared" si="5"/>
        <v>239.42652434468488</v>
      </c>
      <c r="AN21" s="59">
        <f ca="1">AVERAGE(OFFSET($AM$3,0,0,'Données projet'!$E$10+1,1))-AVERAGE(OFFSET($H$3,0,0,'Données projet'!$E$10+1,1))</f>
        <v>325.51141702511984</v>
      </c>
      <c r="AO21" s="59">
        <f t="shared" si="36"/>
        <v>280.04509991782709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266.68397633709571</v>
      </c>
      <c r="S22" s="59">
        <f ca="1">AVERAGE(OFFSET($R$3,0,0,'Données projet'!$E$9+1,1))-AVERAGE(OFFSET($H$3,0,0,'Données projet'!$E$9+1,1))</f>
        <v>374.44366443573398</v>
      </c>
      <c r="T22" s="59">
        <f t="shared" si="34"/>
        <v>250.47702091764884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7.2264102564102561</v>
      </c>
      <c r="AI22" s="13">
        <f>IF('Données projet'!$A$62&gt;35,AI21+AH22-AQ21,IF(A22&lt;'Données projet'!$A$62,$AF$205^A22,IF(A22='Données projet'!$A$62,'Données projet'!$B$62,AI21+AH22-AQ21)))</f>
        <v>30.164383244315122</v>
      </c>
      <c r="AJ22" s="13">
        <f>AI22*VLOOKUP('Données projet'!$B$10,Paramètres!$A$1:$I$89,3,0)*VLOOKUP('Données projet'!$B$10,Paramètres!$A$1:$I$89,5,0)</f>
        <v>14.116931358339476</v>
      </c>
      <c r="AK22" s="13">
        <f t="shared" si="35"/>
        <v>4.7803819359082427</v>
      </c>
      <c r="AL22" s="20">
        <f t="shared" si="4"/>
        <v>32.912820654148106</v>
      </c>
      <c r="AM22" s="59">
        <f t="shared" si="5"/>
        <v>247.06491489717163</v>
      </c>
      <c r="AN22" s="59">
        <f ca="1">AVERAGE(OFFSET($AM$3,0,0,'Données projet'!$E$10+1,1))-AVERAGE(OFFSET($H$3,0,0,'Données projet'!$E$10+1,1))</f>
        <v>325.51141702511984</v>
      </c>
      <c r="AO22" s="59">
        <f t="shared" si="36"/>
        <v>280.04509991782709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278.48148917426323</v>
      </c>
      <c r="S23" s="59">
        <f ca="1">AVERAGE(OFFSET($R$3,0,0,'Données projet'!$E$9+1,1))-AVERAGE(OFFSET($H$3,0,0,'Données projet'!$E$9+1,1))</f>
        <v>374.44366443573398</v>
      </c>
      <c r="T23" s="59">
        <f t="shared" si="34"/>
        <v>250.47702091764884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7.2264102564102561</v>
      </c>
      <c r="AI23" s="13">
        <f>IF('Données projet'!$A$62&gt;35,AI22+AH23-AQ22,IF(A23&lt;'Données projet'!$A$62,$AF$205^A23,IF(A23='Données projet'!$A$62,'Données projet'!$B$62,AI22+AH23-AQ22)))</f>
        <v>36.0879804560157</v>
      </c>
      <c r="AJ23" s="13">
        <f>AI23*VLOOKUP('Données projet'!$B$10,Paramètres!$A$1:$I$89,3,0)*VLOOKUP('Données projet'!$B$10,Paramètres!$A$1:$I$89,5,0)</f>
        <v>16.889174853415348</v>
      </c>
      <c r="AK23" s="13">
        <f t="shared" si="35"/>
        <v>5.6010168004690764</v>
      </c>
      <c r="AL23" s="20">
        <f t="shared" si="4"/>
        <v>39.170417130515368</v>
      </c>
      <c r="AM23" s="59">
        <f t="shared" si="5"/>
        <v>255.68512001741109</v>
      </c>
      <c r="AN23" s="59">
        <f ca="1">AVERAGE(OFFSET($AM$3,0,0,'Données projet'!$E$10+1,1))-AVERAGE(OFFSET($H$3,0,0,'Données projet'!$E$10+1,1))</f>
        <v>325.51141702511984</v>
      </c>
      <c r="AO23" s="59">
        <f t="shared" si="36"/>
        <v>280.04509991782709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291.95896048782237</v>
      </c>
      <c r="S24" s="59">
        <f ca="1">AVERAGE(OFFSET($R$3,0,0,'Données projet'!$E$9+1,1))-AVERAGE(OFFSET($H$3,0,0,'Données projet'!$E$9+1,1))</f>
        <v>374.44366443573398</v>
      </c>
      <c r="T24" s="59">
        <f t="shared" si="34"/>
        <v>250.47702091764884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7.2264102564102561</v>
      </c>
      <c r="AI24" s="13">
        <f>IF('Données projet'!$A$62&gt;35,AI23+AH24-AQ23,IF(A24&lt;'Données projet'!$A$62,$AF$205^A24,IF(A24='Données projet'!$A$62,'Données projet'!$B$62,AI23+AH24-AQ23)))</f>
        <v>43.17483711984115</v>
      </c>
      <c r="AJ24" s="13">
        <f>AI24*VLOOKUP('Données projet'!$B$10,Paramètres!$A$1:$I$89,3,0)*VLOOKUP('Données projet'!$B$10,Paramètres!$A$1:$I$89,5,0)</f>
        <v>20.205823772085658</v>
      </c>
      <c r="AK24" s="13">
        <f t="shared" si="35"/>
        <v>6.5625277686471071</v>
      </c>
      <c r="AL24" s="20">
        <f t="shared" si="4"/>
        <v>46.621545600109563</v>
      </c>
      <c r="AM24" s="59">
        <f t="shared" si="5"/>
        <v>265.47907397598397</v>
      </c>
      <c r="AN24" s="59">
        <f ca="1">AVERAGE(OFFSET($AM$3,0,0,'Données projet'!$E$10+1,1))-AVERAGE(OFFSET($H$3,0,0,'Données projet'!$E$10+1,1))</f>
        <v>325.51141702511984</v>
      </c>
      <c r="AO24" s="59">
        <f t="shared" si="36"/>
        <v>280.04509991782709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307.42381883617998</v>
      </c>
      <c r="S25" s="59">
        <f ca="1">AVERAGE(OFFSET($R$3,0,0,'Données projet'!$E$9+1,1))-AVERAGE(OFFSET($H$3,0,0,'Données projet'!$E$9+1,1))</f>
        <v>374.44366443573398</v>
      </c>
      <c r="T25" s="59">
        <f t="shared" si="34"/>
        <v>250.47702091764884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7.2264102564102561</v>
      </c>
      <c r="AI25" s="13">
        <f>IF('Données projet'!$A$62&gt;35,AI24+AH25-AQ24,IF(A25&lt;'Données projet'!$A$62,$AF$205^A25,IF(A25='Données projet'!$A$62,'Données projet'!$B$62,AI24+AH25-AQ24)))</f>
        <v>51.653390873361616</v>
      </c>
      <c r="AJ25" s="13">
        <f>AI25*VLOOKUP('Données projet'!$B$10,Paramètres!$A$1:$I$89,3,0)*VLOOKUP('Données projet'!$B$10,Paramètres!$A$1:$I$89,5,0)</f>
        <v>24.173786928733236</v>
      </c>
      <c r="AK25" s="13">
        <f t="shared" si="35"/>
        <v>7.6890986491341353</v>
      </c>
      <c r="AL25" s="20">
        <f t="shared" si="4"/>
        <v>55.494525714785674</v>
      </c>
      <c r="AM25" s="59">
        <f t="shared" si="5"/>
        <v>276.67543961825407</v>
      </c>
      <c r="AN25" s="59">
        <f ca="1">AVERAGE(OFFSET($AM$3,0,0,'Données projet'!$E$10+1,1))-AVERAGE(OFFSET($H$3,0,0,'Données projet'!$E$10+1,1))</f>
        <v>325.51141702511984</v>
      </c>
      <c r="AO25" s="59">
        <f t="shared" si="36"/>
        <v>280.04509991782709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325.23911145187805</v>
      </c>
      <c r="S26" s="59">
        <f ca="1">AVERAGE(OFFSET($R$3,0,0,'Données projet'!$E$9+1,1))-AVERAGE(OFFSET($H$3,0,0,'Données projet'!$E$9+1,1))</f>
        <v>374.44366443573398</v>
      </c>
      <c r="T26" s="59">
        <f t="shared" si="34"/>
        <v>250.47702091764884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7.2264102564102561</v>
      </c>
      <c r="AI26" s="13">
        <f>IF('Données projet'!$A$62&gt;35,AI25+AH26-AQ25,IF(A26&lt;'Données projet'!$A$62,$AF$205^A26,IF(A26='Données projet'!$A$62,'Données projet'!$B$62,AI25+AH26-AQ25)))</f>
        <v>61.796939298472864</v>
      </c>
      <c r="AJ26" s="13">
        <f>AI26*VLOOKUP('Données projet'!$B$10,Paramètres!$A$1:$I$89,3,0)*VLOOKUP('Données projet'!$B$10,Paramètres!$A$1:$I$89,5,0)</f>
        <v>28.920967591685301</v>
      </c>
      <c r="AK26" s="13">
        <f t="shared" si="35"/>
        <v>9.0090648177637647</v>
      </c>
      <c r="AL26" s="20">
        <f t="shared" si="4"/>
        <v>66.061473113123796</v>
      </c>
      <c r="AM26" s="59">
        <f t="shared" si="5"/>
        <v>289.54666982267031</v>
      </c>
      <c r="AN26" s="59">
        <f ca="1">AVERAGE(OFFSET($AM$3,0,0,'Données projet'!$E$10+1,1))-AVERAGE(OFFSET($H$3,0,0,'Données projet'!$E$10+1,1))</f>
        <v>325.51141702511984</v>
      </c>
      <c r="AO26" s="59">
        <f t="shared" si="36"/>
        <v>280.04509991782709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345.83360409100112</v>
      </c>
      <c r="S27" s="59">
        <f ca="1">AVERAGE(OFFSET($R$3,0,0,'Données projet'!$E$9+1,1))-AVERAGE(OFFSET($H$3,0,0,'Données projet'!$E$9+1,1))</f>
        <v>374.44366443573398</v>
      </c>
      <c r="T27" s="59">
        <f t="shared" si="34"/>
        <v>250.47702091764884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7.2264102564102561</v>
      </c>
      <c r="AI27" s="13">
        <f>IF('Données projet'!$A$62&gt;35,AI26+AH27-AQ26,IF(A27&lt;'Données projet'!$A$62,$AF$205^A27,IF(A27='Données projet'!$A$62,'Données projet'!$B$62,AI26+AH27-AQ26)))</f>
        <v>73.932449391789717</v>
      </c>
      <c r="AJ27" s="13">
        <f>AI27*VLOOKUP('Données projet'!$B$10,Paramètres!$A$1:$I$89,3,0)*VLOOKUP('Données projet'!$B$10,Paramètres!$A$1:$I$89,5,0)</f>
        <v>34.600386315357589</v>
      </c>
      <c r="AK27" s="13">
        <f t="shared" si="35"/>
        <v>10.555625905490055</v>
      </c>
      <c r="AL27" s="20">
        <f t="shared" si="4"/>
        <v>78.646721284642979</v>
      </c>
      <c r="AM27" s="59">
        <f t="shared" si="5"/>
        <v>304.41742946826275</v>
      </c>
      <c r="AN27" s="59">
        <f ca="1">AVERAGE(OFFSET($AM$3,0,0,'Données projet'!$E$10+1,1))-AVERAGE(OFFSET($H$3,0,0,'Données projet'!$E$10+1,1))</f>
        <v>325.51141702511984</v>
      </c>
      <c r="AO27" s="59">
        <f t="shared" si="36"/>
        <v>280.04509991782709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369.71371867296341</v>
      </c>
      <c r="S28" s="59">
        <f ca="1">AVERAGE(OFFSET($R$3,0,0,'Données projet'!$E$9+1,1))-AVERAGE(OFFSET($H$3,0,0,'Données projet'!$E$9+1,1))</f>
        <v>374.44366443573398</v>
      </c>
      <c r="T28" s="59">
        <f t="shared" si="34"/>
        <v>250.47702091764884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2.731850087471857</v>
      </c>
      <c r="AC28" s="22">
        <f t="shared" si="3"/>
        <v>2.731850087471857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7.2264102564102561</v>
      </c>
      <c r="AI28" s="13">
        <f>IF('Données projet'!$A$62&gt;35,AI27+AH28-AQ27,IF(A28&lt;'Données projet'!$A$62,$AF$205^A28,IF(A28='Données projet'!$A$62,'Données projet'!$B$62,AI27+AH28-AQ27)))</f>
        <v>88.451097014195071</v>
      </c>
      <c r="AJ28" s="13">
        <f>AI28*VLOOKUP('Données projet'!$B$10,Paramètres!$A$1:$I$89,3,0)*VLOOKUP('Données projet'!$B$10,Paramètres!$A$1:$I$89,5,0)</f>
        <v>41.39511340264329</v>
      </c>
      <c r="AK28" s="13">
        <f t="shared" si="35"/>
        <v>12.367680831528276</v>
      </c>
      <c r="AL28" s="20">
        <f t="shared" si="4"/>
        <v>93.636866624515463</v>
      </c>
      <c r="AM28" s="59">
        <f t="shared" si="5"/>
        <v>321.67464059084756</v>
      </c>
      <c r="AN28" s="59">
        <f ca="1">AVERAGE(OFFSET($AM$3,0,0,'Données projet'!$E$10+1,1))-AVERAGE(OFFSET($H$3,0,0,'Données projet'!$E$10+1,1))</f>
        <v>325.51141702511984</v>
      </c>
      <c r="AO28" s="59">
        <f t="shared" si="36"/>
        <v>280.04509991782709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369.99054249424239</v>
      </c>
      <c r="S29" s="59">
        <f ca="1">AVERAGE(OFFSET($R$3,0,0,'Données projet'!$E$9+1,1))-AVERAGE(OFFSET($H$3,0,0,'Données projet'!$E$9+1,1))</f>
        <v>374.44366443573398</v>
      </c>
      <c r="T29" s="59">
        <f t="shared" si="34"/>
        <v>250.47702091764884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1.9317097220364132</v>
      </c>
      <c r="AC29" s="22">
        <f t="shared" si="3"/>
        <v>1.9317097220364132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7.2264102564102561</v>
      </c>
      <c r="AI29" s="13">
        <f>IF('Données projet'!$A$62&gt;35,AI28+AH29-AQ28,IF(A29&lt;'Données projet'!$A$62,$AF$205^A29,IF(A29='Données projet'!$A$62,'Données projet'!$B$62,AI28+AH29-AQ28)))</f>
        <v>105.82087604801265</v>
      </c>
      <c r="AJ29" s="13">
        <f>AI29*VLOOKUP('Données projet'!$B$10,Paramètres!$A$1:$I$89,3,0)*VLOOKUP('Données projet'!$B$10,Paramètres!$A$1:$I$89,5,0)</f>
        <v>49.524169990469915</v>
      </c>
      <c r="AK29" s="13">
        <f t="shared" si="35"/>
        <v>14.490806184311312</v>
      </c>
      <c r="AL29" s="20">
        <f t="shared" si="4"/>
        <v>111.4927501710773</v>
      </c>
      <c r="AM29" s="59">
        <f t="shared" si="5"/>
        <v>341.77946422026747</v>
      </c>
      <c r="AN29" s="59">
        <f ca="1">AVERAGE(OFFSET($AM$3,0,0,'Données projet'!$E$10+1,1))-AVERAGE(OFFSET($H$3,0,0,'Données projet'!$E$10+1,1))</f>
        <v>325.51141702511984</v>
      </c>
      <c r="AO29" s="59">
        <f t="shared" si="36"/>
        <v>280.04509991782709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386.0130105794799</v>
      </c>
      <c r="S30" s="59">
        <f ca="1">AVERAGE(OFFSET($R$3,0,0,'Données projet'!$E$9+1,1))-AVERAGE(OFFSET($H$3,0,0,'Données projet'!$E$9+1,1))</f>
        <v>374.44366443573398</v>
      </c>
      <c r="T30" s="59">
        <f t="shared" si="34"/>
        <v>250.47702091764884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1.3659250437359287</v>
      </c>
      <c r="AC30" s="22">
        <f t="shared" si="3"/>
        <v>1.3659250437359287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7.2264102564102561</v>
      </c>
      <c r="AI30" s="13">
        <f>IF('Données projet'!$A$62&gt;35,AI29+AH30-AQ29,IF(A30&lt;'Données projet'!$A$62,$AF$205^A30,IF(A30='Données projet'!$A$62,'Données projet'!$B$62,AI29+AH30-AQ29)))</f>
        <v>126.60168370519743</v>
      </c>
      <c r="AJ30" s="13">
        <f>AI30*VLOOKUP('Données projet'!$B$10,Paramètres!$A$1:$I$89,3,0)*VLOOKUP('Données projet'!$B$10,Paramètres!$A$1:$I$89,5,0)</f>
        <v>59.249587974032401</v>
      </c>
      <c r="AK30" s="13">
        <f t="shared" si="35"/>
        <v>16.97840255838226</v>
      </c>
      <c r="AL30" s="20">
        <f t="shared" si="4"/>
        <v>132.76375017728887</v>
      </c>
      <c r="AM30" s="59">
        <f t="shared" si="5"/>
        <v>365.2815930498524</v>
      </c>
      <c r="AN30" s="59">
        <f ca="1">AVERAGE(OFFSET($AM$3,0,0,'Données projet'!$E$10+1,1))-AVERAGE(OFFSET($H$3,0,0,'Données projet'!$E$10+1,1))</f>
        <v>325.51141702511984</v>
      </c>
      <c r="AO30" s="59">
        <f t="shared" si="36"/>
        <v>280.04509991782709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401.98849697292746</v>
      </c>
      <c r="S31" s="59">
        <f ca="1">AVERAGE(OFFSET($R$3,0,0,'Données projet'!$E$9+1,1))-AVERAGE(OFFSET($H$3,0,0,'Données projet'!$E$9+1,1))</f>
        <v>374.44366443573398</v>
      </c>
      <c r="T31" s="59">
        <f t="shared" si="34"/>
        <v>250.47702091764884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0.96585486101820672</v>
      </c>
      <c r="AC31" s="22">
        <f t="shared" si="3"/>
        <v>0.96585486101820672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7.2264102564102561</v>
      </c>
      <c r="AI31" s="13">
        <f>IF('Données projet'!$A$62&gt;35,AI30+AH31-AQ30,IF(A31&lt;'Données projet'!$A$62,$AF$205^A31,IF(A31='Données projet'!$A$62,'Données projet'!$B$62,AI30+AH31-AQ30)))</f>
        <v>151.46336824615491</v>
      </c>
      <c r="AJ31" s="13">
        <f>AI31*VLOOKUP('Données projet'!$B$10,Paramètres!$A$1:$I$89,3,0)*VLOOKUP('Données projet'!$B$10,Paramètres!$A$1:$I$89,5,0)</f>
        <v>70.884856339200496</v>
      </c>
      <c r="AK31" s="13">
        <f t="shared" si="35"/>
        <v>19.893037679751526</v>
      </c>
      <c r="AL31" s="20">
        <f t="shared" si="4"/>
        <v>158.10483208300809</v>
      </c>
      <c r="AM31" s="59">
        <f t="shared" si="5"/>
        <v>392.83630150499221</v>
      </c>
      <c r="AN31" s="59">
        <f ca="1">AVERAGE(OFFSET($AM$3,0,0,'Données projet'!$E$10+1,1))-AVERAGE(OFFSET($H$3,0,0,'Données projet'!$E$10+1,1))</f>
        <v>325.51141702511984</v>
      </c>
      <c r="AO31" s="59">
        <f t="shared" si="36"/>
        <v>280.04509991782709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417.920074181362</v>
      </c>
      <c r="S32" s="59">
        <f ca="1">AVERAGE(OFFSET($R$3,0,0,'Données projet'!$E$9+1,1))-AVERAGE(OFFSET($H$3,0,0,'Données projet'!$E$9+1,1))</f>
        <v>374.44366443573398</v>
      </c>
      <c r="T32" s="59">
        <f t="shared" si="34"/>
        <v>250.47702091764884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0.68296252186796447</v>
      </c>
      <c r="AC32" s="22">
        <f t="shared" si="3"/>
        <v>0.68296252186796447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7.2264102564102561</v>
      </c>
      <c r="AI32" s="13">
        <f>IF('Données projet'!$A$62&gt;35,AI31+AH32-AQ31,IF(A32&lt;'Données projet'!$A$62,$AF$205^A32,IF(A32='Données projet'!$A$62,'Données projet'!$B$62,AI31+AH32-AQ31)))</f>
        <v>181.20732085910257</v>
      </c>
      <c r="AJ32" s="13">
        <f>AI32*VLOOKUP('Données projet'!$B$10,Paramètres!$A$1:$I$89,3,0)*VLOOKUP('Données projet'!$B$10,Paramètres!$A$1:$I$89,5,0)</f>
        <v>84.805026162060003</v>
      </c>
      <c r="AK32" s="13">
        <f t="shared" si="35"/>
        <v>23.308020101846395</v>
      </c>
      <c r="AL32" s="20">
        <f t="shared" si="4"/>
        <v>188.29688890963698</v>
      </c>
      <c r="AM32" s="59">
        <f t="shared" si="5"/>
        <v>425.22478623241284</v>
      </c>
      <c r="AN32" s="59">
        <f ca="1">AVERAGE(OFFSET($AM$3,0,0,'Données projet'!$E$10+1,1))-AVERAGE(OFFSET($H$3,0,0,'Données projet'!$E$10+1,1))</f>
        <v>325.51141702511984</v>
      </c>
      <c r="AO32" s="59">
        <f t="shared" si="36"/>
        <v>280.04509991782709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433.81035425098219</v>
      </c>
      <c r="S33" s="59">
        <f ca="1">AVERAGE(OFFSET($R$3,0,0,'Données projet'!$E$9+1,1))-AVERAGE(OFFSET($H$3,0,0,'Données projet'!$E$9+1,1))</f>
        <v>374.44366443573398</v>
      </c>
      <c r="T33" s="59">
        <f t="shared" si="34"/>
        <v>250.47702091764884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7.6540339101227266</v>
      </c>
      <c r="AC33" s="22">
        <f t="shared" si="3"/>
        <v>7.6540339101227266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216.79230769230767</v>
      </c>
      <c r="AG33" s="12">
        <f>VLOOKUP(A33,'Données projet'!$A$61:$I$81,9,0)</f>
        <v>7.2264102564102561</v>
      </c>
      <c r="AH33" s="12">
        <f t="array" ref="AH33">INDEX(AG:AG,MIN(IF(ISNUMBER(AG33:AG229),ROW(AG33:AG229),"")))</f>
        <v>7.2264102564102561</v>
      </c>
      <c r="AI33" s="13">
        <f>IF('Données projet'!$A$62&gt;35,AI32+AH33-AQ32,IF(A33&lt;'Données projet'!$A$62,$AF$205^A33,IF(A33='Données projet'!$A$62,'Données projet'!$B$62,AI32+AH33-AQ32)))</f>
        <v>216.79230769230767</v>
      </c>
      <c r="AJ33" s="13">
        <f>AI33*VLOOKUP('Données projet'!$B$10,Paramètres!$A$1:$I$89,3,0)*VLOOKUP('Données projet'!$B$10,Paramètres!$A$1:$I$89,5,0)</f>
        <v>101.45879999999998</v>
      </c>
      <c r="AK33" s="13">
        <f t="shared" si="35"/>
        <v>27.309243053465156</v>
      </c>
      <c r="AL33" s="20">
        <f t="shared" si="4"/>
        <v>224.27100831811845</v>
      </c>
      <c r="AM33" s="59">
        <f t="shared" si="5"/>
        <v>463.37843325116046</v>
      </c>
      <c r="AN33" s="59">
        <f ca="1">AVERAGE(OFFSET($AM$3,0,0,'Données projet'!$E$10+1,1))-AVERAGE(OFFSET($H$3,0,0,'Données projet'!$E$10+1,1))</f>
        <v>325.51141702511984</v>
      </c>
      <c r="AO33" s="59">
        <f t="shared" si="36"/>
        <v>280.04509991782709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84.2</v>
      </c>
      <c r="O34" s="13">
        <f>N34*VLOOKUP('Données projet'!$B$9,Paramètres!$A$1:$I$89,3,0)*VLOOKUP('Données projet'!$B$9,Paramètres!$A$1:$I$89,5,0)</f>
        <v>76.184160000000006</v>
      </c>
      <c r="P34" s="13">
        <f t="shared" si="33"/>
        <v>21.201554232857223</v>
      </c>
      <c r="Q34" s="20">
        <f t="shared" si="2"/>
        <v>169.613452288893</v>
      </c>
      <c r="R34" s="59">
        <f t="shared" si="0"/>
        <v>409.66157550171056</v>
      </c>
      <c r="S34" s="59">
        <f ca="1">AVERAGE(OFFSET($R$3,0,0,'Données projet'!$E$9+1,1))-AVERAGE(OFFSET($H$3,0,0,'Données projet'!$E$9+1,1))</f>
        <v>374.44366443573398</v>
      </c>
      <c r="T34" s="59">
        <f t="shared" si="34"/>
        <v>250.47702091764884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5.4122192812795662</v>
      </c>
      <c r="AC34" s="22">
        <f t="shared" si="3"/>
        <v>5.4122192812795662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15.252564102564108</v>
      </c>
      <c r="AI34" s="13">
        <f>IF('Données projet'!$A$62&gt;35,AI33+AH34-AQ33,IF(A34&lt;'Données projet'!$A$62,$AF$205^A34,IF(A34='Données projet'!$A$62,'Données projet'!$B$62,AI33+AH34-AQ33)))</f>
        <v>232.04487179487177</v>
      </c>
      <c r="AJ34" s="13">
        <f>AI34*VLOOKUP('Données projet'!$B$10,Paramètres!$A$1:$I$89,3,0)*VLOOKUP('Données projet'!$B$10,Paramètres!$A$1:$I$89,5,0)</f>
        <v>108.59699999999999</v>
      </c>
      <c r="AK34" s="13">
        <f t="shared" si="35"/>
        <v>29.000180279160592</v>
      </c>
      <c r="AL34" s="20">
        <f t="shared" si="4"/>
        <v>239.64842231953807</v>
      </c>
      <c r="AM34" s="59">
        <f t="shared" si="5"/>
        <v>479.69654553235563</v>
      </c>
      <c r="AN34" s="59">
        <f ca="1">AVERAGE(OFFSET($AM$3,0,0,'Données projet'!$E$10+1,1))-AVERAGE(OFFSET($H$3,0,0,'Données projet'!$E$10+1,1))</f>
        <v>325.51141702511984</v>
      </c>
      <c r="AO34" s="59">
        <f t="shared" si="36"/>
        <v>280.04509991782709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92.4</v>
      </c>
      <c r="O35" s="13">
        <f>N35*VLOOKUP('Données projet'!$B$9,Paramètres!$A$1:$I$89,3,0)*VLOOKUP('Données projet'!$B$9,Paramètres!$A$1:$I$89,5,0)</f>
        <v>83.603520000000003</v>
      </c>
      <c r="P35" s="13">
        <f t="shared" si="33"/>
        <v>23.0159915192997</v>
      </c>
      <c r="Q35" s="20">
        <f t="shared" ref="Q35:Q66" si="53">(O35+P35)*0.475*44/12</f>
        <v>185.69564922944699</v>
      </c>
      <c r="R35" s="59">
        <f t="shared" si="0"/>
        <v>426.66815170997234</v>
      </c>
      <c r="S35" s="59">
        <f ca="1">AVERAGE(OFFSET($R$3,0,0,'Données projet'!$E$9+1,1))-AVERAGE(OFFSET($H$3,0,0,'Données projet'!$E$9+1,1))</f>
        <v>374.44366443573398</v>
      </c>
      <c r="T35" s="59">
        <f t="shared" si="34"/>
        <v>250.47702091764884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3.8270169550613642</v>
      </c>
      <c r="AC35" s="22">
        <f t="shared" si="3"/>
        <v>3.8270169550613642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15.252564102564108</v>
      </c>
      <c r="AI35" s="13">
        <f>IF('Données projet'!$A$62&gt;35,AI34+AH35-AQ34,IF(A35&lt;'Données projet'!$A$62,$AF$205^A35,IF(A35='Données projet'!$A$62,'Données projet'!$B$62,AI34+AH35-AQ34)))</f>
        <v>247.29743589743589</v>
      </c>
      <c r="AJ35" s="13">
        <f>AI35*VLOOKUP('Données projet'!$B$10,Paramètres!$A$1:$I$89,3,0)*VLOOKUP('Données projet'!$B$10,Paramètres!$A$1:$I$89,5,0)</f>
        <v>115.73519999999999</v>
      </c>
      <c r="AK35" s="13">
        <f t="shared" si="35"/>
        <v>30.678219541597265</v>
      </c>
      <c r="AL35" s="20">
        <f t="shared" si="4"/>
        <v>255.0033723682819</v>
      </c>
      <c r="AM35" s="59">
        <f t="shared" si="5"/>
        <v>495.97587484880722</v>
      </c>
      <c r="AN35" s="59">
        <f ca="1">AVERAGE(OFFSET($AM$3,0,0,'Données projet'!$E$10+1,1))-AVERAGE(OFFSET($H$3,0,0,'Données projet'!$E$10+1,1))</f>
        <v>325.51141702511984</v>
      </c>
      <c r="AO35" s="59">
        <f t="shared" si="36"/>
        <v>280.04509991782709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100.60000000000001</v>
      </c>
      <c r="O36" s="13">
        <f>N36*VLOOKUP('Données projet'!$B$9,Paramètres!$A$1:$I$89,3,0)*VLOOKUP('Données projet'!$B$9,Paramètres!$A$1:$I$89,5,0)</f>
        <v>91.022880000000001</v>
      </c>
      <c r="P36" s="13">
        <f t="shared" si="33"/>
        <v>24.811756526220293</v>
      </c>
      <c r="Q36" s="20">
        <f t="shared" si="53"/>
        <v>201.74532528316698</v>
      </c>
      <c r="R36" s="59">
        <f t="shared" si="0"/>
        <v>443.62617111770771</v>
      </c>
      <c r="S36" s="59">
        <f ca="1">AVERAGE(OFFSET($R$3,0,0,'Données projet'!$E$9+1,1))-AVERAGE(OFFSET($H$3,0,0,'Données projet'!$E$9+1,1))</f>
        <v>374.44366443573398</v>
      </c>
      <c r="T36" s="59">
        <f t="shared" si="34"/>
        <v>250.47702091764884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2.7061096406397835</v>
      </c>
      <c r="AC36" s="22">
        <f t="shared" si="3"/>
        <v>2.7061096406397835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15.252564102564108</v>
      </c>
      <c r="AI36" s="13">
        <f>IF('Données projet'!$A$62&gt;35,AI35+AH36-AQ35,IF(A36&lt;'Données projet'!$A$62,$AF$205^A36,IF(A36='Données projet'!$A$62,'Données projet'!$B$62,AI35+AH36-AQ35)))</f>
        <v>262.55</v>
      </c>
      <c r="AJ36" s="13">
        <f>AI36*VLOOKUP('Données projet'!$B$10,Paramètres!$A$1:$I$89,3,0)*VLOOKUP('Données projet'!$B$10,Paramètres!$A$1:$I$89,5,0)</f>
        <v>122.8734</v>
      </c>
      <c r="AK36" s="13">
        <f t="shared" si="35"/>
        <v>32.344246922925713</v>
      </c>
      <c r="AL36" s="20">
        <f t="shared" si="4"/>
        <v>270.33740172409563</v>
      </c>
      <c r="AM36" s="59">
        <f t="shared" si="5"/>
        <v>512.21824755863634</v>
      </c>
      <c r="AN36" s="59">
        <f ca="1">AVERAGE(OFFSET($AM$3,0,0,'Données projet'!$E$10+1,1))-AVERAGE(OFFSET($H$3,0,0,'Données projet'!$E$10+1,1))</f>
        <v>325.51141702511984</v>
      </c>
      <c r="AO36" s="59">
        <f t="shared" si="36"/>
        <v>280.04509991782709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108.80000000000001</v>
      </c>
      <c r="O37" s="13">
        <f>N37*VLOOKUP('Données projet'!$B$9,Paramètres!$A$1:$I$89,3,0)*VLOOKUP('Données projet'!$B$9,Paramètres!$A$1:$I$89,5,0)</f>
        <v>98.442239999999998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460.53886408990843</v>
      </c>
      <c r="S37" s="59">
        <f ca="1">AVERAGE(OFFSET($R$3,0,0,'Données projet'!$E$9+1,1))-AVERAGE(OFFSET($H$3,0,0,'Données projet'!$E$9+1,1))</f>
        <v>374.44366443573398</v>
      </c>
      <c r="T37" s="59">
        <f t="shared" si="34"/>
        <v>250.47702091764884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1.9135084775306823</v>
      </c>
      <c r="AC37" s="22">
        <f t="shared" si="3"/>
        <v>1.9135084775306823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15.252564102564108</v>
      </c>
      <c r="AI37" s="13">
        <f>IF('Données projet'!$A$62&gt;35,AI36+AH37-AQ36,IF(A37&lt;'Données projet'!$A$62,$AF$205^A37,IF(A37='Données projet'!$A$62,'Données projet'!$B$62,AI36+AH37-AQ36)))</f>
        <v>277.80256410256413</v>
      </c>
      <c r="AJ37" s="13">
        <f>AI37*VLOOKUP('Données projet'!$B$10,Paramètres!$A$1:$I$89,3,0)*VLOOKUP('Données projet'!$B$10,Paramètres!$A$1:$I$89,5,0)</f>
        <v>130.01160000000002</v>
      </c>
      <c r="AK37" s="13">
        <f t="shared" si="35"/>
        <v>33.99903973784582</v>
      </c>
      <c r="AL37" s="20">
        <f t="shared" si="4"/>
        <v>285.65186421008156</v>
      </c>
      <c r="AM37" s="59">
        <f t="shared" si="5"/>
        <v>528.42529567219708</v>
      </c>
      <c r="AN37" s="59">
        <f ca="1">AVERAGE(OFFSET($AM$3,0,0,'Données projet'!$E$10+1,1))-AVERAGE(OFFSET($H$3,0,0,'Données projet'!$E$10+1,1))</f>
        <v>325.51141702511984</v>
      </c>
      <c r="AO37" s="59">
        <f t="shared" si="36"/>
        <v>280.04509991782709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117.00000000000001</v>
      </c>
      <c r="O38" s="13">
        <f>N38*VLOOKUP('Données projet'!$B$9,Paramètres!$A$1:$I$89,3,0)*VLOOKUP('Données projet'!$B$9,Paramètres!$A$1:$I$89,5,0)</f>
        <v>105.8616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477.40898590924797</v>
      </c>
      <c r="S38" s="59">
        <f ca="1">AVERAGE(OFFSET($R$3,0,0,'Données projet'!$E$9+1,1))-AVERAGE(OFFSET($H$3,0,0,'Données projet'!$E$9+1,1))</f>
        <v>374.44366443573398</v>
      </c>
      <c r="T38" s="59">
        <f t="shared" si="34"/>
        <v>250.47702091764884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1.353054820319892</v>
      </c>
      <c r="AC38" s="22">
        <f t="shared" si="3"/>
        <v>1.353054820319892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15.252564102564108</v>
      </c>
      <c r="AI38" s="13">
        <f>IF('Données projet'!$A$62&gt;35,AI37+AH38-AQ37,IF(A38&lt;'Données projet'!$A$62,$AF$205^A38,IF(A38='Données projet'!$A$62,'Données projet'!$B$62,AI37+AH38-AQ37)))</f>
        <v>293.05512820512826</v>
      </c>
      <c r="AJ38" s="13">
        <f>AI38*VLOOKUP('Données projet'!$B$10,Paramètres!$A$1:$I$89,3,0)*VLOOKUP('Données projet'!$B$10,Paramètres!$A$1:$I$89,5,0)</f>
        <v>137.14980000000003</v>
      </c>
      <c r="AK38" s="13">
        <f t="shared" si="35"/>
        <v>35.643285124422462</v>
      </c>
      <c r="AL38" s="20">
        <f t="shared" si="4"/>
        <v>300.94795659170251</v>
      </c>
      <c r="AM38" s="59">
        <f t="shared" si="5"/>
        <v>544.59848931627698</v>
      </c>
      <c r="AN38" s="59">
        <f ca="1">AVERAGE(OFFSET($AM$3,0,0,'Données projet'!$E$10+1,1))-AVERAGE(OFFSET($H$3,0,0,'Données projet'!$E$10+1,1))</f>
        <v>325.51141702511984</v>
      </c>
      <c r="AO38" s="59">
        <f t="shared" si="36"/>
        <v>280.04509991782709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125.20000000000002</v>
      </c>
      <c r="O39" s="13">
        <f>N39*VLOOKUP('Données projet'!$B$9,Paramètres!$A$1:$I$89,3,0)*VLOOKUP('Données projet'!$B$9,Paramètres!$A$1:$I$89,5,0)</f>
        <v>113.28096000000001</v>
      </c>
      <c r="P39" s="13">
        <f t="shared" si="33"/>
        <v>30.102677097724484</v>
      </c>
      <c r="Q39" s="20">
        <f t="shared" si="53"/>
        <v>249.7265012785368</v>
      </c>
      <c r="R39" s="59">
        <f t="shared" si="0"/>
        <v>494.23891951957125</v>
      </c>
      <c r="S39" s="59">
        <f ca="1">AVERAGE(OFFSET($R$3,0,0,'Données projet'!$E$9+1,1))-AVERAGE(OFFSET($H$3,0,0,'Données projet'!$E$9+1,1))</f>
        <v>374.44366443573398</v>
      </c>
      <c r="T39" s="59">
        <f t="shared" si="34"/>
        <v>250.47702091764884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0.95675423876534127</v>
      </c>
      <c r="AC39" s="22">
        <f t="shared" si="3"/>
        <v>0.95675423876534127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308.30769230769232</v>
      </c>
      <c r="AG39" s="12">
        <f>VLOOKUP(A39,'Données projet'!$A$61:$I$81,9,0)</f>
        <v>15.252564102564108</v>
      </c>
      <c r="AH39" s="12">
        <f t="array" ref="AH39">INDEX(AG:AG,MIN(IF(ISNUMBER(AG39:AG235),ROW(AG39:AG235),"")))</f>
        <v>15.252564102564108</v>
      </c>
      <c r="AI39" s="13">
        <f>IF('Données projet'!$A$62&gt;35,AI38+AH39-AQ38,IF(A39&lt;'Données projet'!$A$62,$AF$205^A39,IF(A39='Données projet'!$A$62,'Données projet'!$B$62,AI38+AH39-AQ38)))</f>
        <v>308.30769230769238</v>
      </c>
      <c r="AJ39" s="13">
        <f>AI39*VLOOKUP('Données projet'!$B$10,Paramètres!$A$1:$I$89,3,0)*VLOOKUP('Données projet'!$B$10,Paramètres!$A$1:$I$89,5,0)</f>
        <v>144.28800000000001</v>
      </c>
      <c r="AK39" s="13">
        <f t="shared" si="35"/>
        <v>37.277594654222469</v>
      </c>
      <c r="AL39" s="20">
        <f t="shared" si="4"/>
        <v>316.22674402277079</v>
      </c>
      <c r="AM39" s="59">
        <f t="shared" si="5"/>
        <v>560.73916226380516</v>
      </c>
      <c r="AN39" s="59">
        <f ca="1">AVERAGE(OFFSET($AM$3,0,0,'Données projet'!$E$10+1,1))-AVERAGE(OFFSET($H$3,0,0,'Données projet'!$E$10+1,1))</f>
        <v>325.51141702511984</v>
      </c>
      <c r="AO39" s="59">
        <f t="shared" si="36"/>
        <v>280.04509991782709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 t="e">
        <f>IF(ISNA(VLOOKUP(A39,'Données projet'!$A$61:$I$81,5,0)),0%,VLOOKUP(A39,'Données projet'!$A$61:$I$81,5,0)*VLOOKUP('Données projet'!$B$10,Paramètres!$A$1:$I$89,7,0))</f>
        <v>#VALUE!</v>
      </c>
      <c r="AS39" s="16" t="e">
        <f>IF(ISNA(VLOOKUP(A39,'Données projet'!$A$61:$I$81,6,0)),0%,VLOOKUP(A39,'Données projet'!$A$61:$I$81,6,0)*VLOOKUP('Données projet'!$B$10,Paramètres!$A$1:$I$89,7,0))</f>
        <v>#VALUE!</v>
      </c>
      <c r="AT39" s="16" t="str">
        <f>IF(ISNA(VLOOKUP(A39,'Données projet'!$A$61:$I$81,7,0)),0%,VLOOKUP(A39,'Données projet'!$A$61:$I$81,7,0))</f>
        <v/>
      </c>
      <c r="AU39" s="21" t="e">
        <f>EXP(-LN(2)/35)*AU38+(1-EXP(-LN(2)/35))/(LN(2)/35)*AQ39*AR39*VLOOKUP('Données projet'!$B$10,Paramètres!$A$1:$I$89,3,0)*0.475*44/12</f>
        <v>#VALUE!</v>
      </c>
      <c r="AV39" s="21" t="e">
        <f>EXP(-LN(2)/25)*AV38+(1-EXP(-LN(2)/25))/(LN(2)/25)*Calculateur!AQ39*Calculateur!AS39*VLOOKUP('Données projet'!$B$10,Paramètres!$A$1:$I$89,3,0)*0.475*44/12</f>
        <v>#VALUE!</v>
      </c>
      <c r="AW39" s="21" t="e">
        <f>EXP(-LN(2)/2)*AW38+(1-EXP(-LN(2)/2))/(LN(2)/2)*AQ39*AT39*VLOOKUP('Données projet'!$B$10,Paramètres!$A$1:$I$89,3,0)*0.475*44/12</f>
        <v>#VALUE!</v>
      </c>
      <c r="AX39" s="21" t="e">
        <f t="shared" si="6"/>
        <v>#VALUE!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133.4</v>
      </c>
      <c r="O40" s="13">
        <f>N40*VLOOKUP('Données projet'!$B$9,Paramètres!$A$1:$I$89,3,0)*VLOOKUP('Données projet'!$B$9,Paramètres!$A$1:$I$89,5,0)</f>
        <v>120.70032</v>
      </c>
      <c r="P40" s="13">
        <f t="shared" si="33"/>
        <v>31.838282075030818</v>
      </c>
      <c r="Q40" s="20">
        <f t="shared" si="53"/>
        <v>265.67139861401199</v>
      </c>
      <c r="R40" s="59">
        <f t="shared" si="0"/>
        <v>511.03075058468312</v>
      </c>
      <c r="S40" s="59">
        <f ca="1">AVERAGE(OFFSET($R$3,0,0,'Données projet'!$E$9+1,1))-AVERAGE(OFFSET($H$3,0,0,'Données projet'!$E$9+1,1))</f>
        <v>374.44366443573398</v>
      </c>
      <c r="T40" s="59">
        <f t="shared" si="34"/>
        <v>250.47702091764884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0.67652741015994611</v>
      </c>
      <c r="AC40" s="22">
        <f t="shared" si="3"/>
        <v>0.67652741015994611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17.010256410256414</v>
      </c>
      <c r="AI40" s="13">
        <f>IF('Données projet'!$A$62&gt;35,AI39+AH40-AQ39,IF(A40&lt;'Données projet'!$A$62,$AF$205^A40,IF(A40='Données projet'!$A$62,'Données projet'!$B$62,AI39+AH40-AQ39)))</f>
        <v>325.31794871794881</v>
      </c>
      <c r="AJ40" s="13">
        <f>AI40*VLOOKUP('Données projet'!$B$10,Paramètres!$A$1:$I$89,3,0)*VLOOKUP('Données projet'!$B$10,Paramètres!$A$1:$I$89,5,0)</f>
        <v>152.24880000000005</v>
      </c>
      <c r="AK40" s="13">
        <f t="shared" si="35"/>
        <v>39.089190051694011</v>
      </c>
      <c r="AL40" s="20">
        <f t="shared" si="4"/>
        <v>333.24699934003382</v>
      </c>
      <c r="AM40" s="59">
        <f t="shared" si="5"/>
        <v>578.60635131070489</v>
      </c>
      <c r="AN40" s="59">
        <f ca="1">AVERAGE(OFFSET($AM$3,0,0,'Données projet'!$E$10+1,1))-AVERAGE(OFFSET($H$3,0,0,'Données projet'!$E$10+1,1))</f>
        <v>325.51141702511984</v>
      </c>
      <c r="AO40" s="59">
        <f t="shared" si="36"/>
        <v>280.04509991782709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#VALUE!</v>
      </c>
      <c r="AV40" s="21" t="e">
        <f>EXP(-LN(2)/25)*AV39+(1-EXP(-LN(2)/25))/(LN(2)/25)*Calculateur!AQ40*Calculateur!AS40*VLOOKUP('Données projet'!$B$10,Paramètres!$A$1:$I$89,3,0)*0.475*44/12</f>
        <v>#VALUE!</v>
      </c>
      <c r="AW40" s="21" t="e">
        <f>EXP(-LN(2)/2)*AW39+(1-EXP(-LN(2)/2))/(LN(2)/2)*AQ40*AT40*VLOOKUP('Données projet'!$B$10,Paramètres!$A$1:$I$89,3,0)*0.475*44/12</f>
        <v>#VALUE!</v>
      </c>
      <c r="AX40" s="21" t="e">
        <f t="shared" si="6"/>
        <v>#VALUE!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141.6</v>
      </c>
      <c r="O41" s="13">
        <f>N41*VLOOKUP('Données projet'!$B$9,Paramètres!$A$1:$I$89,3,0)*VLOOKUP('Données projet'!$B$9,Paramètres!$A$1:$I$89,5,0)</f>
        <v>128.11967999999999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527.786323575707</v>
      </c>
      <c r="S41" s="59">
        <f ca="1">AVERAGE(OFFSET($R$3,0,0,'Données projet'!$E$9+1,1))-AVERAGE(OFFSET($H$3,0,0,'Données projet'!$E$9+1,1))</f>
        <v>374.44366443573398</v>
      </c>
      <c r="T41" s="59">
        <f t="shared" si="34"/>
        <v>250.47702091764884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0.47837711938267075</v>
      </c>
      <c r="AC41" s="22">
        <f t="shared" si="3"/>
        <v>0.47837711938267075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17.010256410256414</v>
      </c>
      <c r="AI41" s="13">
        <f>IF('Données projet'!$A$62&gt;35,AI40+AH41-AQ40,IF(A41&lt;'Données projet'!$A$62,$AF$205^A41,IF(A41='Données projet'!$A$62,'Données projet'!$B$62,AI40+AH41-AQ40)))</f>
        <v>342.32820512820524</v>
      </c>
      <c r="AJ41" s="13">
        <f>AI41*VLOOKUP('Données projet'!$B$10,Paramètres!$A$1:$I$89,3,0)*VLOOKUP('Données projet'!$B$10,Paramètres!$A$1:$I$89,5,0)</f>
        <v>160.20960000000005</v>
      </c>
      <c r="AK41" s="13">
        <f t="shared" si="35"/>
        <v>40.889787669108735</v>
      </c>
      <c r="AL41" s="20">
        <f t="shared" si="4"/>
        <v>350.24810019036448</v>
      </c>
      <c r="AM41" s="59">
        <f t="shared" si="5"/>
        <v>596.43969348392318</v>
      </c>
      <c r="AN41" s="59">
        <f ca="1">AVERAGE(OFFSET($AM$3,0,0,'Données projet'!$E$10+1,1))-AVERAGE(OFFSET($H$3,0,0,'Données projet'!$E$10+1,1))</f>
        <v>325.51141702511984</v>
      </c>
      <c r="AO41" s="59">
        <f t="shared" si="36"/>
        <v>280.04509991782709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#VALUE!</v>
      </c>
      <c r="AV41" s="21" t="e">
        <f>EXP(-LN(2)/25)*AV40+(1-EXP(-LN(2)/25))/(LN(2)/25)*Calculateur!AQ41*Calculateur!AS41*VLOOKUP('Données projet'!$B$10,Paramètres!$A$1:$I$89,3,0)*0.475*44/12</f>
        <v>#VALUE!</v>
      </c>
      <c r="AW41" s="21" t="e">
        <f>EXP(-LN(2)/2)*AW40+(1-EXP(-LN(2)/2))/(LN(2)/2)*AQ41*AT41*VLOOKUP('Données projet'!$B$10,Paramètres!$A$1:$I$89,3,0)*0.475*44/12</f>
        <v>#VALUE!</v>
      </c>
      <c r="AX41" s="21" t="e">
        <f t="shared" si="6"/>
        <v>#VALUE!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149.79999999999998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544.50728451017119</v>
      </c>
      <c r="S42" s="59">
        <f ca="1">AVERAGE(OFFSET($R$3,0,0,'Données projet'!$E$9+1,1))-AVERAGE(OFFSET($H$3,0,0,'Données projet'!$E$9+1,1))</f>
        <v>374.44366443573398</v>
      </c>
      <c r="T42" s="59">
        <f t="shared" si="34"/>
        <v>250.47702091764884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0.33826370507997311</v>
      </c>
      <c r="AC42" s="22">
        <f t="shared" si="3"/>
        <v>0.33826370507997311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17.010256410256414</v>
      </c>
      <c r="AI42" s="13">
        <f>IF('Données projet'!$A$62&gt;35,AI41+AH42-AQ41,IF(A42&lt;'Données projet'!$A$62,$AF$205^A42,IF(A42='Données projet'!$A$62,'Données projet'!$B$62,AI41+AH42-AQ41)))</f>
        <v>359.33846153846167</v>
      </c>
      <c r="AJ42" s="13">
        <f>AI42*VLOOKUP('Données projet'!$B$10,Paramètres!$A$1:$I$89,3,0)*VLOOKUP('Données projet'!$B$10,Paramètres!$A$1:$I$89,5,0)</f>
        <v>168.17040000000006</v>
      </c>
      <c r="AK42" s="13">
        <f t="shared" si="35"/>
        <v>42.679996347377212</v>
      </c>
      <c r="AL42" s="20">
        <f t="shared" si="4"/>
        <v>367.23110697168204</v>
      </c>
      <c r="AM42" s="59">
        <f t="shared" si="5"/>
        <v>614.24050406178912</v>
      </c>
      <c r="AN42" s="59">
        <f ca="1">AVERAGE(OFFSET($AM$3,0,0,'Données projet'!$E$10+1,1))-AVERAGE(OFFSET($H$3,0,0,'Données projet'!$E$10+1,1))</f>
        <v>325.51141702511984</v>
      </c>
      <c r="AO42" s="59">
        <f t="shared" si="36"/>
        <v>280.04509991782709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#VALUE!</v>
      </c>
      <c r="AV42" s="21" t="e">
        <f>EXP(-LN(2)/25)*AV41+(1-EXP(-LN(2)/25))/(LN(2)/25)*Calculateur!AQ42*Calculateur!AS42*VLOOKUP('Données projet'!$B$10,Paramètres!$A$1:$I$89,3,0)*0.475*44/12</f>
        <v>#VALUE!</v>
      </c>
      <c r="AW42" s="21" t="e">
        <f>EXP(-LN(2)/2)*AW41+(1-EXP(-LN(2)/2))/(LN(2)/2)*AQ42*AT42*VLOOKUP('Données projet'!$B$10,Paramètres!$A$1:$I$89,3,0)*0.475*44/12</f>
        <v>#VALUE!</v>
      </c>
      <c r="AX42" s="21" t="e">
        <f t="shared" si="6"/>
        <v>#VALUE!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157.99999999999997</v>
      </c>
      <c r="O43" s="13">
        <f>N43*VLOOKUP('Données projet'!$B$9,Paramètres!$A$1:$I$89,3,0)*VLOOKUP('Données projet'!$B$9,Paramètres!$A$1:$I$89,5,0)</f>
        <v>142.95839999999995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561.19511408161702</v>
      </c>
      <c r="S43" s="59">
        <f ca="1">AVERAGE(OFFSET($R$3,0,0,'Données projet'!$E$9+1,1))-AVERAGE(OFFSET($H$3,0,0,'Données projet'!$E$9+1,1))</f>
        <v>374.44366443573398</v>
      </c>
      <c r="T43" s="59">
        <f t="shared" si="34"/>
        <v>250.47702091764884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0.2391885596913354</v>
      </c>
      <c r="AC43" s="22">
        <f t="shared" si="3"/>
        <v>0.2391885596913354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17.010256410256414</v>
      </c>
      <c r="AI43" s="13">
        <f>IF('Données projet'!$A$62&gt;35,AI42+AH43-AQ42,IF(A43&lt;'Données projet'!$A$62,$AF$205^A43,IF(A43='Données projet'!$A$62,'Données projet'!$B$62,AI42+AH43-AQ42)))</f>
        <v>376.3487179487181</v>
      </c>
      <c r="AJ43" s="13">
        <f>AI43*VLOOKUP('Données projet'!$B$10,Paramètres!$A$1:$I$89,3,0)*VLOOKUP('Données projet'!$B$10,Paramètres!$A$1:$I$89,5,0)</f>
        <v>176.13120000000006</v>
      </c>
      <c r="AK43" s="13">
        <f t="shared" si="35"/>
        <v>44.460364027904333</v>
      </c>
      <c r="AL43" s="20">
        <f t="shared" si="4"/>
        <v>384.19697401526679</v>
      </c>
      <c r="AM43" s="59">
        <f t="shared" si="5"/>
        <v>632.00998783438763</v>
      </c>
      <c r="AN43" s="59">
        <f ca="1">AVERAGE(OFFSET($AM$3,0,0,'Données projet'!$E$10+1,1))-AVERAGE(OFFSET($H$3,0,0,'Données projet'!$E$10+1,1))</f>
        <v>325.51141702511984</v>
      </c>
      <c r="AO43" s="59">
        <f t="shared" si="36"/>
        <v>280.04509991782709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#VALUE!</v>
      </c>
      <c r="AV43" s="21" t="e">
        <f>EXP(-LN(2)/25)*AV42+(1-EXP(-LN(2)/25))/(LN(2)/25)*Calculateur!AQ43*Calculateur!AS43*VLOOKUP('Données projet'!$B$10,Paramètres!$A$1:$I$89,3,0)*0.475*44/12</f>
        <v>#VALUE!</v>
      </c>
      <c r="AW43" s="21" t="e">
        <f>EXP(-LN(2)/2)*AW42+(1-EXP(-LN(2)/2))/(LN(2)/2)*AQ43*AT43*VLOOKUP('Données projet'!$B$10,Paramètres!$A$1:$I$89,3,0)*0.475*44/12</f>
        <v>#VALUE!</v>
      </c>
      <c r="AX43" s="21" t="e">
        <f t="shared" si="6"/>
        <v>#VALUE!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124.29999999999998</v>
      </c>
      <c r="O44" s="13">
        <f>N44*VLOOKUP('Données projet'!$B$9,Paramètres!$A$1:$I$89,3,0)*VLOOKUP('Données projet'!$B$9,Paramètres!$A$1:$I$89,5,0)</f>
        <v>112.46663999999997</v>
      </c>
      <c r="P44" s="13">
        <f t="shared" si="33"/>
        <v>29.911391992758421</v>
      </c>
      <c r="Q44" s="20">
        <f t="shared" si="53"/>
        <v>247.97507238738754</v>
      </c>
      <c r="R44" s="59">
        <f t="shared" si="0"/>
        <v>496.57776198189151</v>
      </c>
      <c r="S44" s="59">
        <f ca="1">AVERAGE(OFFSET($R$3,0,0,'Données projet'!$E$9+1,1))-AVERAGE(OFFSET($H$3,0,0,'Données projet'!$E$9+1,1))</f>
        <v>374.44366443573398</v>
      </c>
      <c r="T44" s="59">
        <f t="shared" si="34"/>
        <v>250.47702091764884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0.16913185253998658</v>
      </c>
      <c r="AC44" s="22">
        <f t="shared" si="3"/>
        <v>0.16913185253998658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17.010256410256414</v>
      </c>
      <c r="AI44" s="13">
        <f>IF('Données projet'!$A$62&gt;35,AI43+AH44-AQ43,IF(A44&lt;'Données projet'!$A$62,$AF$205^A44,IF(A44='Données projet'!$A$62,'Données projet'!$B$62,AI43+AH44-AQ43)))</f>
        <v>393.35897435897454</v>
      </c>
      <c r="AJ44" s="13">
        <f>AI44*VLOOKUP('Données projet'!$B$10,Paramètres!$A$1:$I$89,3,0)*VLOOKUP('Données projet'!$B$10,Paramètres!$A$1:$I$89,5,0)</f>
        <v>184.0920000000001</v>
      </c>
      <c r="AK44" s="13">
        <f t="shared" si="35"/>
        <v>46.231386320256561</v>
      </c>
      <c r="AL44" s="20">
        <f t="shared" si="4"/>
        <v>401.14656450778028</v>
      </c>
      <c r="AM44" s="59">
        <f t="shared" si="5"/>
        <v>649.74925410228423</v>
      </c>
      <c r="AN44" s="59">
        <f ca="1">AVERAGE(OFFSET($AM$3,0,0,'Données projet'!$E$10+1,1))-AVERAGE(OFFSET($H$3,0,0,'Données projet'!$E$10+1,1))</f>
        <v>325.51141702511984</v>
      </c>
      <c r="AO44" s="59">
        <f t="shared" si="36"/>
        <v>280.04509991782709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#VALUE!</v>
      </c>
      <c r="AV44" s="21" t="e">
        <f>EXP(-LN(2)/25)*AV43+(1-EXP(-LN(2)/25))/(LN(2)/25)*Calculateur!AQ44*Calculateur!AS44*VLOOKUP('Données projet'!$B$10,Paramètres!$A$1:$I$89,3,0)*0.475*44/12</f>
        <v>#VALUE!</v>
      </c>
      <c r="AW44" s="21" t="e">
        <f>EXP(-LN(2)/2)*AW43+(1-EXP(-LN(2)/2))/(LN(2)/2)*AQ44*AT44*VLOOKUP('Données projet'!$B$10,Paramètres!$A$1:$I$89,3,0)*0.475*44/12</f>
        <v>#VALUE!</v>
      </c>
      <c r="AX44" s="21" t="e">
        <f t="shared" si="6"/>
        <v>#VALUE!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132.6</v>
      </c>
      <c r="O45" s="13">
        <f>N45*VLOOKUP('Données projet'!$B$9,Paramètres!$A$1:$I$89,3,0)*VLOOKUP('Données projet'!$B$9,Paramètres!$A$1:$I$89,5,0)</f>
        <v>119.97647999999998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513.49543840860974</v>
      </c>
      <c r="S45" s="59">
        <f ca="1">AVERAGE(OFFSET($R$3,0,0,'Données projet'!$E$9+1,1))-AVERAGE(OFFSET($H$3,0,0,'Données projet'!$E$9+1,1))</f>
        <v>374.44366443573398</v>
      </c>
      <c r="T45" s="59">
        <f t="shared" si="34"/>
        <v>250.47702091764884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0.11959427984566773</v>
      </c>
      <c r="AC45" s="22">
        <f t="shared" si="3"/>
        <v>0.11959427984566773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410.3692307692308</v>
      </c>
      <c r="AG45" s="12">
        <f>VLOOKUP(A45,'Données projet'!$A$61:$I$81,9,0)</f>
        <v>17.010256410256414</v>
      </c>
      <c r="AH45" s="12">
        <f t="array" ref="AH45">INDEX(AG:AG,MIN(IF(ISNUMBER(AG45:AG241),ROW(AG45:AG241),"")))</f>
        <v>17.010256410256414</v>
      </c>
      <c r="AI45" s="13">
        <f>IF('Données projet'!$A$62&gt;35,AI44+AH45-AQ44,IF(A45&lt;'Données projet'!$A$62,$AF$205^A45,IF(A45='Données projet'!$A$62,'Données projet'!$B$62,AI44+AH45-AQ44)))</f>
        <v>410.36923076923097</v>
      </c>
      <c r="AJ45" s="13">
        <f>AI45*VLOOKUP('Données projet'!$B$10,Paramètres!$A$1:$I$89,3,0)*VLOOKUP('Données projet'!$B$10,Paramètres!$A$1:$I$89,5,0)</f>
        <v>192.05280000000008</v>
      </c>
      <c r="AK45" s="13">
        <f t="shared" si="35"/>
        <v>47.993513546032311</v>
      </c>
      <c r="AL45" s="20">
        <f t="shared" si="4"/>
        <v>418.08066275933976</v>
      </c>
      <c r="AM45" s="59">
        <f t="shared" si="5"/>
        <v>667.45932901997446</v>
      </c>
      <c r="AN45" s="59">
        <f ca="1">AVERAGE(OFFSET($AM$3,0,0,'Données projet'!$E$10+1,1))-AVERAGE(OFFSET($H$3,0,0,'Données projet'!$E$10+1,1))</f>
        <v>325.51141702511984</v>
      </c>
      <c r="AO45" s="59">
        <f t="shared" si="36"/>
        <v>280.04509991782709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179.84615384615384</v>
      </c>
      <c r="AR45" s="16" t="e">
        <f>IF(ISNA(VLOOKUP(A45,'Données projet'!$A$61:$I$81,5,0)),0%,VLOOKUP(A45,'Données projet'!$A$61:$I$81,5,0)*VLOOKUP('Données projet'!$B$10,Paramètres!$A$1:$I$89,7,0))</f>
        <v>#VALUE!</v>
      </c>
      <c r="AS45" s="16" t="e">
        <f>IF(ISNA(VLOOKUP(A45,'Données projet'!$A$61:$I$81,6,0)),0%,VLOOKUP(A45,'Données projet'!$A$61:$I$81,6,0)*VLOOKUP('Données projet'!$B$10,Paramètres!$A$1:$I$89,7,0))</f>
        <v>#VALUE!</v>
      </c>
      <c r="AT45" s="16" t="str">
        <f>IF(ISNA(VLOOKUP(A45,'Données projet'!$A$61:$I$81,7,0)),0%,VLOOKUP(A45,'Données projet'!$A$61:$I$81,7,0))</f>
        <v/>
      </c>
      <c r="AU45" s="21" t="e">
        <f>EXP(-LN(2)/35)*AU44+(1-EXP(-LN(2)/35))/(LN(2)/35)*AQ45*AR45*VLOOKUP('Données projet'!$B$10,Paramètres!$A$1:$I$89,3,0)*0.475*44/12</f>
        <v>#VALUE!</v>
      </c>
      <c r="AV45" s="21" t="e">
        <f>EXP(-LN(2)/25)*AV44+(1-EXP(-LN(2)/25))/(LN(2)/25)*Calculateur!AQ45*Calculateur!AS45*VLOOKUP('Données projet'!$B$10,Paramètres!$A$1:$I$89,3,0)*0.475*44/12</f>
        <v>#VALUE!</v>
      </c>
      <c r="AW45" s="21" t="e">
        <f>EXP(-LN(2)/2)*AW44+(1-EXP(-LN(2)/2))/(LN(2)/2)*AQ45*AT45*VLOOKUP('Données projet'!$B$10,Paramètres!$A$1:$I$89,3,0)*0.475*44/12</f>
        <v>#VALUE!</v>
      </c>
      <c r="AX45" s="21" t="e">
        <f t="shared" si="6"/>
        <v>#VALUE!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140.9</v>
      </c>
      <c r="O46" s="13">
        <f>N46*VLOOKUP('Données projet'!$B$9,Paramètres!$A$1:$I$89,3,0)*VLOOKUP('Données projet'!$B$9,Paramètres!$A$1:$I$89,5,0)</f>
        <v>127.48631999999999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530.37740902473865</v>
      </c>
      <c r="S46" s="59">
        <f ca="1">AVERAGE(OFFSET($R$3,0,0,'Données projet'!$E$9+1,1))-AVERAGE(OFFSET($H$3,0,0,'Données projet'!$E$9+1,1))</f>
        <v>374.44366443573398</v>
      </c>
      <c r="T46" s="59">
        <f t="shared" si="34"/>
        <v>250.47702091764884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8.4565926269993305E-2</v>
      </c>
      <c r="AC46" s="22">
        <f t="shared" si="3"/>
        <v>8.4565926269993305E-2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15.599999999999987</v>
      </c>
      <c r="AI46" s="13">
        <f>IF('Données projet'!$A$62&gt;35,AI45+AH46-AQ45,IF(A46&lt;'Données projet'!$A$62,$AF$205^A46,IF(A46='Données projet'!$A$62,'Données projet'!$B$62,AI45+AH46-AQ45)))</f>
        <v>246.12307692307709</v>
      </c>
      <c r="AJ46" s="13">
        <f>AI46*VLOOKUP('Données projet'!$B$10,Paramètres!$A$1:$I$89,3,0)*VLOOKUP('Données projet'!$B$10,Paramètres!$A$1:$I$89,5,0)</f>
        <v>115.18560000000009</v>
      </c>
      <c r="AK46" s="13">
        <f t="shared" si="35"/>
        <v>30.549457651972119</v>
      </c>
      <c r="AL46" s="20">
        <f t="shared" si="4"/>
        <v>253.82189207718497</v>
      </c>
      <c r="AM46" s="59">
        <f t="shared" si="5"/>
        <v>503.96307354361704</v>
      </c>
      <c r="AN46" s="59">
        <f ca="1">AVERAGE(OFFSET($AM$3,0,0,'Données projet'!$E$10+1,1))-AVERAGE(OFFSET($H$3,0,0,'Données projet'!$E$10+1,1))</f>
        <v>325.51141702511984</v>
      </c>
      <c r="AO46" s="59">
        <f t="shared" si="36"/>
        <v>280.04509991782709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#VALUE!</v>
      </c>
      <c r="AV46" s="21" t="e">
        <f>EXP(-LN(2)/25)*AV45+(1-EXP(-LN(2)/25))/(LN(2)/25)*Calculateur!AQ46*Calculateur!AS46*VLOOKUP('Données projet'!$B$10,Paramètres!$A$1:$I$89,3,0)*0.475*44/12</f>
        <v>#VALUE!</v>
      </c>
      <c r="AW46" s="21" t="e">
        <f>EXP(-LN(2)/2)*AW45+(1-EXP(-LN(2)/2))/(LN(2)/2)*AQ46*AT46*VLOOKUP('Données projet'!$B$10,Paramètres!$A$1:$I$89,3,0)*0.475*44/12</f>
        <v>#VALUE!</v>
      </c>
      <c r="AX46" s="21" t="e">
        <f t="shared" si="6"/>
        <v>#VALUE!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149.20000000000002</v>
      </c>
      <c r="O47" s="13">
        <f>N47*VLOOKUP('Données projet'!$B$9,Paramètres!$A$1:$I$89,3,0)*VLOOKUP('Données projet'!$B$9,Paramètres!$A$1:$I$89,5,0)</f>
        <v>134.99616</v>
      </c>
      <c r="P47" s="13">
        <f t="shared" si="33"/>
        <v>35.148279172043118</v>
      </c>
      <c r="Q47" s="20">
        <f t="shared" si="53"/>
        <v>296.33489822464173</v>
      </c>
      <c r="R47" s="59">
        <f t="shared" si="0"/>
        <v>547.22536696277916</v>
      </c>
      <c r="S47" s="59">
        <f ca="1">AVERAGE(OFFSET($R$3,0,0,'Données projet'!$E$9+1,1))-AVERAGE(OFFSET($H$3,0,0,'Données projet'!$E$9+1,1))</f>
        <v>374.44366443573398</v>
      </c>
      <c r="T47" s="59">
        <f t="shared" si="34"/>
        <v>250.47702091764884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5.9797139922833871E-2</v>
      </c>
      <c r="AC47" s="22">
        <f t="shared" si="3"/>
        <v>5.9797139922833871E-2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15.599999999999987</v>
      </c>
      <c r="AI47" s="13">
        <f>IF('Données projet'!$A$62&gt;35,AI46+AH47-AQ46,IF(A47&lt;'Données projet'!$A$62,$AF$205^A47,IF(A47='Données projet'!$A$62,'Données projet'!$B$62,AI46+AH47-AQ46)))</f>
        <v>261.72307692307709</v>
      </c>
      <c r="AJ47" s="13">
        <f>AI47*VLOOKUP('Données projet'!$B$10,Paramètres!$A$1:$I$89,3,0)*VLOOKUP('Données projet'!$B$10,Paramètres!$A$1:$I$89,5,0)</f>
        <v>122.48640000000007</v>
      </c>
      <c r="AK47" s="13">
        <f t="shared" si="35"/>
        <v>32.254217278440251</v>
      </c>
      <c r="AL47" s="20">
        <f t="shared" si="4"/>
        <v>269.50657509328352</v>
      </c>
      <c r="AM47" s="59">
        <f t="shared" si="5"/>
        <v>520.39704383142089</v>
      </c>
      <c r="AN47" s="59">
        <f ca="1">AVERAGE(OFFSET($AM$3,0,0,'Données projet'!$E$10+1,1))-AVERAGE(OFFSET($H$3,0,0,'Données projet'!$E$10+1,1))</f>
        <v>325.51141702511984</v>
      </c>
      <c r="AO47" s="59">
        <f t="shared" si="36"/>
        <v>280.04509991782709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#VALUE!</v>
      </c>
      <c r="AV47" s="21" t="e">
        <f>EXP(-LN(2)/25)*AV46+(1-EXP(-LN(2)/25))/(LN(2)/25)*Calculateur!AQ47*Calculateur!AS47*VLOOKUP('Données projet'!$B$10,Paramètres!$A$1:$I$89,3,0)*0.475*44/12</f>
        <v>#VALUE!</v>
      </c>
      <c r="AW47" s="21" t="e">
        <f>EXP(-LN(2)/2)*AW46+(1-EXP(-LN(2)/2))/(LN(2)/2)*AQ47*AT47*VLOOKUP('Données projet'!$B$10,Paramètres!$A$1:$I$89,3,0)*0.475*44/12</f>
        <v>#VALUE!</v>
      </c>
      <c r="AX47" s="21" t="e">
        <f t="shared" si="6"/>
        <v>#VALUE!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157.50000000000003</v>
      </c>
      <c r="O48" s="13">
        <f>N48*VLOOKUP('Données projet'!$B$9,Paramètres!$A$1:$I$89,3,0)*VLOOKUP('Données projet'!$B$9,Paramètres!$A$1:$I$89,5,0)</f>
        <v>142.50600000000003</v>
      </c>
      <c r="P48" s="13">
        <f t="shared" si="33"/>
        <v>36.870500776307573</v>
      </c>
      <c r="Q48" s="20">
        <f t="shared" si="53"/>
        <v>312.4140721854024</v>
      </c>
      <c r="R48" s="59">
        <f t="shared" si="0"/>
        <v>564.04082973623656</v>
      </c>
      <c r="S48" s="59">
        <f ca="1">AVERAGE(OFFSET($R$3,0,0,'Données projet'!$E$9+1,1))-AVERAGE(OFFSET($H$3,0,0,'Données projet'!$E$9+1,1))</f>
        <v>374.44366443573398</v>
      </c>
      <c r="T48" s="59">
        <f t="shared" si="34"/>
        <v>250.47702091764884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4.2282963134996659E-2</v>
      </c>
      <c r="AC48" s="22">
        <f t="shared" si="3"/>
        <v>4.2282963134996659E-2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15.599999999999987</v>
      </c>
      <c r="AI48" s="13">
        <f>IF('Données projet'!$A$62&gt;35,AI47+AH48-AQ47,IF(A48&lt;'Données projet'!$A$62,$AF$205^A48,IF(A48='Données projet'!$A$62,'Données projet'!$B$62,AI47+AH48-AQ47)))</f>
        <v>277.32307692307705</v>
      </c>
      <c r="AJ48" s="13">
        <f>AI48*VLOOKUP('Données projet'!$B$10,Paramètres!$A$1:$I$89,3,0)*VLOOKUP('Données projet'!$B$10,Paramètres!$A$1:$I$89,5,0)</f>
        <v>129.78720000000007</v>
      </c>
      <c r="AK48" s="13">
        <f t="shared" si="35"/>
        <v>33.947182812907982</v>
      </c>
      <c r="AL48" s="20">
        <f t="shared" si="4"/>
        <v>285.17071673248148</v>
      </c>
      <c r="AM48" s="59">
        <f t="shared" si="5"/>
        <v>536.79747428331564</v>
      </c>
      <c r="AN48" s="59">
        <f ca="1">AVERAGE(OFFSET($AM$3,0,0,'Données projet'!$E$10+1,1))-AVERAGE(OFFSET($H$3,0,0,'Données projet'!$E$10+1,1))</f>
        <v>325.51141702511984</v>
      </c>
      <c r="AO48" s="59">
        <f t="shared" si="36"/>
        <v>280.04509991782709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#VALUE!</v>
      </c>
      <c r="AV48" s="21" t="e">
        <f>EXP(-LN(2)/25)*AV47+(1-EXP(-LN(2)/25))/(LN(2)/25)*Calculateur!AQ48*Calculateur!AS48*VLOOKUP('Données projet'!$B$10,Paramètres!$A$1:$I$89,3,0)*0.475*44/12</f>
        <v>#VALUE!</v>
      </c>
      <c r="AW48" s="21" t="e">
        <f>EXP(-LN(2)/2)*AW47+(1-EXP(-LN(2)/2))/(LN(2)/2)*AQ48*AT48*VLOOKUP('Données projet'!$B$10,Paramètres!$A$1:$I$89,3,0)*0.475*44/12</f>
        <v>#VALUE!</v>
      </c>
      <c r="AX48" s="21" t="e">
        <f t="shared" si="6"/>
        <v>#VALUE!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165.80000000000004</v>
      </c>
      <c r="O49" s="13">
        <f>N49*VLOOKUP('Données projet'!$B$9,Paramètres!$A$1:$I$89,3,0)*VLOOKUP('Données projet'!$B$9,Paramètres!$A$1:$I$89,5,0)</f>
        <v>150.01584000000003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580.82516745517808</v>
      </c>
      <c r="S49" s="59">
        <f ca="1">AVERAGE(OFFSET($R$3,0,0,'Données projet'!$E$9+1,1))-AVERAGE(OFFSET($H$3,0,0,'Données projet'!$E$9+1,1))</f>
        <v>374.44366443573398</v>
      </c>
      <c r="T49" s="59">
        <f t="shared" si="34"/>
        <v>250.47702091764884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2.9898569961416939E-2</v>
      </c>
      <c r="AC49" s="22">
        <f t="shared" si="3"/>
        <v>2.9898569961416939E-2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292.92307692307691</v>
      </c>
      <c r="AG49" s="12">
        <f>VLOOKUP(A49,'Données projet'!$A$61:$I$81,9,0)</f>
        <v>15.599999999999987</v>
      </c>
      <c r="AH49" s="12">
        <f t="array" ref="AH49">INDEX(AG:AG,MIN(IF(ISNUMBER(AG49:AG245),ROW(AG49:AG245),"")))</f>
        <v>15.599999999999987</v>
      </c>
      <c r="AI49" s="13">
        <f>IF('Données projet'!$A$62&gt;35,AI48+AH49-AQ48,IF(A49&lt;'Données projet'!$A$62,$AF$205^A49,IF(A49='Données projet'!$A$62,'Données projet'!$B$62,AI48+AH49-AQ48)))</f>
        <v>292.92307692307702</v>
      </c>
      <c r="AJ49" s="13">
        <f>AI49*VLOOKUP('Données projet'!$B$10,Paramètres!$A$1:$I$89,3,0)*VLOOKUP('Données projet'!$B$10,Paramètres!$A$1:$I$89,5,0)</f>
        <v>137.08800000000005</v>
      </c>
      <c r="AK49" s="13">
        <f t="shared" si="35"/>
        <v>35.629093303595333</v>
      </c>
      <c r="AL49" s="20">
        <f t="shared" si="4"/>
        <v>300.81560417042863</v>
      </c>
      <c r="AM49" s="59">
        <f t="shared" si="5"/>
        <v>553.1658775691543</v>
      </c>
      <c r="AN49" s="59">
        <f ca="1">AVERAGE(OFFSET($AM$3,0,0,'Données projet'!$E$10+1,1))-AVERAGE(OFFSET($H$3,0,0,'Données projet'!$E$10+1,1))</f>
        <v>325.51141702511984</v>
      </c>
      <c r="AO49" s="59">
        <f t="shared" si="36"/>
        <v>280.04509991782709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 t="e">
        <f>IF(ISNA(VLOOKUP(A49,'Données projet'!$A$61:$I$81,5,0)),0%,VLOOKUP(A49,'Données projet'!$A$61:$I$81,5,0)*VLOOKUP('Données projet'!$B$10,Paramètres!$A$1:$I$89,7,0))</f>
        <v>#VALUE!</v>
      </c>
      <c r="AS49" s="16" t="e">
        <f>IF(ISNA(VLOOKUP(A49,'Données projet'!$A$61:$I$81,6,0)),0%,VLOOKUP(A49,'Données projet'!$A$61:$I$81,6,0)*VLOOKUP('Données projet'!$B$10,Paramètres!$A$1:$I$89,7,0))</f>
        <v>#VALUE!</v>
      </c>
      <c r="AT49" s="16" t="str">
        <f>IF(ISNA(VLOOKUP(A49,'Données projet'!$A$61:$I$81,7,0)),0%,VLOOKUP(A49,'Données projet'!$A$61:$I$81,7,0))</f>
        <v/>
      </c>
      <c r="AU49" s="21" t="e">
        <f>EXP(-LN(2)/35)*AU48+(1-EXP(-LN(2)/35))/(LN(2)/35)*AQ49*AR49*VLOOKUP('Données projet'!$B$10,Paramètres!$A$1:$I$89,3,0)*0.475*44/12</f>
        <v>#VALUE!</v>
      </c>
      <c r="AV49" s="21" t="e">
        <f>EXP(-LN(2)/25)*AV48+(1-EXP(-LN(2)/25))/(LN(2)/25)*Calculateur!AQ49*Calculateur!AS49*VLOOKUP('Données projet'!$B$10,Paramètres!$A$1:$I$89,3,0)*0.475*44/12</f>
        <v>#VALUE!</v>
      </c>
      <c r="AW49" s="21" t="e">
        <f>EXP(-LN(2)/2)*AW48+(1-EXP(-LN(2)/2))/(LN(2)/2)*AQ49*AT49*VLOOKUP('Données projet'!$B$10,Paramètres!$A$1:$I$89,3,0)*0.475*44/12</f>
        <v>#VALUE!</v>
      </c>
      <c r="AX49" s="21" t="e">
        <f t="shared" si="6"/>
        <v>#VALUE!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174.10000000000005</v>
      </c>
      <c r="O50" s="13">
        <f>N50*VLOOKUP('Données projet'!$B$9,Paramètres!$A$1:$I$89,3,0)*VLOOKUP('Données projet'!$B$9,Paramètres!$A$1:$I$89,5,0)</f>
        <v>157.52568000000005</v>
      </c>
      <c r="P50" s="13">
        <f t="shared" si="33"/>
        <v>40.283920409774808</v>
      </c>
      <c r="Q50" s="20">
        <f t="shared" si="53"/>
        <v>344.51838738035786</v>
      </c>
      <c r="R50" s="59">
        <f t="shared" si="0"/>
        <v>597.5796252445532</v>
      </c>
      <c r="S50" s="59">
        <f ca="1">AVERAGE(OFFSET($R$3,0,0,'Données projet'!$E$9+1,1))-AVERAGE(OFFSET($H$3,0,0,'Données projet'!$E$9+1,1))</f>
        <v>374.44366443573398</v>
      </c>
      <c r="T50" s="59">
        <f t="shared" si="34"/>
        <v>250.47702091764884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2.1141481567498333E-2</v>
      </c>
      <c r="AC50" s="22">
        <f t="shared" si="3"/>
        <v>2.1141481567498333E-2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15.643589743589738</v>
      </c>
      <c r="AI50" s="13">
        <f>IF('Données projet'!$A$62&gt;35,AI49+AH50-AQ49,IF(A50&lt;'Données projet'!$A$62,$AF$205^A50,IF(A50='Données projet'!$A$62,'Données projet'!$B$62,AI49+AH50-AQ49)))</f>
        <v>308.56666666666678</v>
      </c>
      <c r="AJ50" s="13">
        <f>AI50*VLOOKUP('Données projet'!$B$10,Paramètres!$A$1:$I$89,3,0)*VLOOKUP('Données projet'!$B$10,Paramètres!$A$1:$I$89,5,0)</f>
        <v>144.40920000000006</v>
      </c>
      <c r="AK50" s="13">
        <f t="shared" si="35"/>
        <v>37.305261189150315</v>
      </c>
      <c r="AL50" s="20">
        <f t="shared" si="4"/>
        <v>316.48601990443689</v>
      </c>
      <c r="AM50" s="59">
        <f t="shared" si="5"/>
        <v>569.54725776863233</v>
      </c>
      <c r="AN50" s="59">
        <f ca="1">AVERAGE(OFFSET($AM$3,0,0,'Données projet'!$E$10+1,1))-AVERAGE(OFFSET($H$3,0,0,'Données projet'!$E$10+1,1))</f>
        <v>325.51141702511984</v>
      </c>
      <c r="AO50" s="59">
        <f t="shared" si="36"/>
        <v>280.04509991782709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#VALUE!</v>
      </c>
      <c r="AV50" s="21" t="e">
        <f>EXP(-LN(2)/25)*AV49+(1-EXP(-LN(2)/25))/(LN(2)/25)*Calculateur!AQ50*Calculateur!AS50*VLOOKUP('Données projet'!$B$10,Paramètres!$A$1:$I$89,3,0)*0.475*44/12</f>
        <v>#VALUE!</v>
      </c>
      <c r="AW50" s="21" t="e">
        <f>EXP(-LN(2)/2)*AW49+(1-EXP(-LN(2)/2))/(LN(2)/2)*AQ50*AT50*VLOOKUP('Données projet'!$B$10,Paramètres!$A$1:$I$89,3,0)*0.475*44/12</f>
        <v>#VALUE!</v>
      </c>
      <c r="AX50" s="21" t="e">
        <f t="shared" si="6"/>
        <v>#VALUE!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182.40000000000006</v>
      </c>
      <c r="O51" s="13">
        <f>N51*VLOOKUP('Données projet'!$B$9,Paramètres!$A$1:$I$89,3,0)*VLOOKUP('Données projet'!$B$9,Paramètres!$A$1:$I$89,5,0)</f>
        <v>165.03552000000005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614.30534127865872</v>
      </c>
      <c r="S51" s="59">
        <f ca="1">AVERAGE(OFFSET($R$3,0,0,'Données projet'!$E$9+1,1))-AVERAGE(OFFSET($H$3,0,0,'Données projet'!$E$9+1,1))</f>
        <v>374.44366443573398</v>
      </c>
      <c r="T51" s="59">
        <f t="shared" si="34"/>
        <v>250.47702091764884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1.4949284980708473E-2</v>
      </c>
      <c r="AC51" s="22">
        <f t="shared" si="3"/>
        <v>1.4949284980708473E-2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15.643589743589738</v>
      </c>
      <c r="AI51" s="13">
        <f>IF('Données projet'!$A$62&gt;35,AI50+AH51-AQ50,IF(A51&lt;'Données projet'!$A$62,$AF$205^A51,IF(A51='Données projet'!$A$62,'Données projet'!$B$62,AI50+AH51-AQ50)))</f>
        <v>324.21025641025653</v>
      </c>
      <c r="AJ51" s="13">
        <f>AI51*VLOOKUP('Données projet'!$B$10,Paramètres!$A$1:$I$89,3,0)*VLOOKUP('Données projet'!$B$10,Paramètres!$A$1:$I$89,5,0)</f>
        <v>151.73040000000006</v>
      </c>
      <c r="AK51" s="13">
        <f t="shared" si="35"/>
        <v>38.971562337519707</v>
      </c>
      <c r="AL51" s="20">
        <f t="shared" si="4"/>
        <v>332.1392510711803</v>
      </c>
      <c r="AM51" s="59">
        <f t="shared" si="5"/>
        <v>585.89911975684799</v>
      </c>
      <c r="AN51" s="59">
        <f ca="1">AVERAGE(OFFSET($AM$3,0,0,'Données projet'!$E$10+1,1))-AVERAGE(OFFSET($H$3,0,0,'Données projet'!$E$10+1,1))</f>
        <v>325.51141702511984</v>
      </c>
      <c r="AO51" s="59">
        <f t="shared" si="36"/>
        <v>280.04509991782709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#VALUE!</v>
      </c>
      <c r="AV51" s="21" t="e">
        <f>EXP(-LN(2)/25)*AV50+(1-EXP(-LN(2)/25))/(LN(2)/25)*Calculateur!AQ51*Calculateur!AS51*VLOOKUP('Données projet'!$B$10,Paramètres!$A$1:$I$89,3,0)*0.475*44/12</f>
        <v>#VALUE!</v>
      </c>
      <c r="AW51" s="21" t="e">
        <f>EXP(-LN(2)/2)*AW50+(1-EXP(-LN(2)/2))/(LN(2)/2)*AQ51*AT51*VLOOKUP('Données projet'!$B$10,Paramètres!$A$1:$I$89,3,0)*0.475*44/12</f>
        <v>#VALUE!</v>
      </c>
      <c r="AX51" s="21" t="e">
        <f t="shared" si="6"/>
        <v>#VALUE!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190.70000000000007</v>
      </c>
      <c r="O52" s="13">
        <f>N52*VLOOKUP('Données projet'!$B$9,Paramètres!$A$1:$I$89,3,0)*VLOOKUP('Données projet'!$B$9,Paramètres!$A$1:$I$89,5,0)</f>
        <v>172.54536000000007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631.0033614517456</v>
      </c>
      <c r="S52" s="59">
        <f ca="1">AVERAGE(OFFSET($R$3,0,0,'Données projet'!$E$9+1,1))-AVERAGE(OFFSET($H$3,0,0,'Données projet'!$E$9+1,1))</f>
        <v>374.44366443573398</v>
      </c>
      <c r="T52" s="59">
        <f t="shared" si="34"/>
        <v>250.47702091764884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1.0570740783749168E-2</v>
      </c>
      <c r="AC52" s="22">
        <f t="shared" si="3"/>
        <v>1.0570740783749168E-2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339.85384615384612</v>
      </c>
      <c r="AG52" s="12">
        <f>VLOOKUP(A52,'Données projet'!$A$61:$I$81,9,0)</f>
        <v>15.643589743589738</v>
      </c>
      <c r="AH52" s="12">
        <f t="array" ref="AH52">INDEX(AG:AG,MIN(IF(ISNUMBER(AG52:AG248),ROW(AG52:AG248),"")))</f>
        <v>15.643589743589738</v>
      </c>
      <c r="AI52" s="13">
        <f>IF('Données projet'!$A$62&gt;35,AI51+AH52-AQ51,IF(A52&lt;'Données projet'!$A$62,$AF$205^A52,IF(A52='Données projet'!$A$62,'Données projet'!$B$62,AI51+AH52-AQ51)))</f>
        <v>339.85384615384629</v>
      </c>
      <c r="AJ52" s="13">
        <f>AI52*VLOOKUP('Données projet'!$B$10,Paramètres!$A$1:$I$89,3,0)*VLOOKUP('Données projet'!$B$10,Paramètres!$A$1:$I$89,5,0)</f>
        <v>159.05160000000006</v>
      </c>
      <c r="AK52" s="13">
        <f t="shared" si="35"/>
        <v>40.628527179850586</v>
      </c>
      <c r="AL52" s="20">
        <f t="shared" si="4"/>
        <v>347.77622150490652</v>
      </c>
      <c r="AM52" s="59">
        <f t="shared" si="5"/>
        <v>602.22260132919848</v>
      </c>
      <c r="AN52" s="59">
        <f ca="1">AVERAGE(OFFSET($AM$3,0,0,'Données projet'!$E$10+1,1))-AVERAGE(OFFSET($H$3,0,0,'Données projet'!$E$10+1,1))</f>
        <v>325.51141702511984</v>
      </c>
      <c r="AO52" s="59">
        <f t="shared" si="36"/>
        <v>280.04509991782709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94.476923076923072</v>
      </c>
      <c r="AR52" s="16" t="e">
        <f>IF(ISNA(VLOOKUP(A52,'Données projet'!$A$61:$I$81,5,0)),0%,VLOOKUP(A52,'Données projet'!$A$61:$I$81,5,0)*VLOOKUP('Données projet'!$B$10,Paramètres!$A$1:$I$89,7,0))</f>
        <v>#VALUE!</v>
      </c>
      <c r="AS52" s="16" t="e">
        <f>IF(ISNA(VLOOKUP(A52,'Données projet'!$A$61:$I$81,6,0)),0%,VLOOKUP(A52,'Données projet'!$A$61:$I$81,6,0)*VLOOKUP('Données projet'!$B$10,Paramètres!$A$1:$I$89,7,0))</f>
        <v>#VALUE!</v>
      </c>
      <c r="AT52" s="16" t="str">
        <f>IF(ISNA(VLOOKUP(A52,'Données projet'!$A$61:$I$81,7,0)),0%,VLOOKUP(A52,'Données projet'!$A$61:$I$81,7,0))</f>
        <v/>
      </c>
      <c r="AU52" s="21" t="e">
        <f>EXP(-LN(2)/35)*AU51+(1-EXP(-LN(2)/35))/(LN(2)/35)*AQ52*AR52*VLOOKUP('Données projet'!$B$10,Paramètres!$A$1:$I$89,3,0)*0.475*44/12</f>
        <v>#VALUE!</v>
      </c>
      <c r="AV52" s="21" t="e">
        <f>EXP(-LN(2)/25)*AV51+(1-EXP(-LN(2)/25))/(LN(2)/25)*Calculateur!AQ52*Calculateur!AS52*VLOOKUP('Données projet'!$B$10,Paramètres!$A$1:$I$89,3,0)*0.475*44/12</f>
        <v>#VALUE!</v>
      </c>
      <c r="AW52" s="21" t="e">
        <f>EXP(-LN(2)/2)*AW51+(1-EXP(-LN(2)/2))/(LN(2)/2)*AQ52*AT52*VLOOKUP('Données projet'!$B$10,Paramètres!$A$1:$I$89,3,0)*0.475*44/12</f>
        <v>#VALUE!</v>
      </c>
      <c r="AX52" s="21" t="e">
        <f t="shared" si="6"/>
        <v>#VALUE!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199.00000000000009</v>
      </c>
      <c r="O53" s="13">
        <f>N53*VLOOKUP('Données projet'!$B$9,Paramètres!$A$1:$I$89,3,0)*VLOOKUP('Données projet'!$B$9,Paramètres!$A$1:$I$89,5,0)</f>
        <v>180.05520000000007</v>
      </c>
      <c r="P53" s="13">
        <f t="shared" si="33"/>
        <v>45.334466930398399</v>
      </c>
      <c r="Q53" s="20">
        <f t="shared" si="53"/>
        <v>392.55366990377735</v>
      </c>
      <c r="R53" s="59">
        <f t="shared" si="0"/>
        <v>647.67465143324739</v>
      </c>
      <c r="S53" s="59">
        <f ca="1">AVERAGE(OFFSET($R$3,0,0,'Données projet'!$E$9+1,1))-AVERAGE(OFFSET($H$3,0,0,'Données projet'!$E$9+1,1))</f>
        <v>374.44366443573398</v>
      </c>
      <c r="T53" s="59">
        <f t="shared" si="34"/>
        <v>250.47702091764884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7.4746424903542373E-3</v>
      </c>
      <c r="AC53" s="22">
        <f t="shared" si="3"/>
        <v>7.4746424903542373E-3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14.413461538461547</v>
      </c>
      <c r="AI53" s="13">
        <f>IF('Données projet'!$A$62&gt;35,AI52+AH53-AQ52,IF(A53&lt;'Données projet'!$A$62,$AF$205^A53,IF(A53='Données projet'!$A$62,'Données projet'!$B$62,AI52+AH53-AQ52)))</f>
        <v>259.79038461538477</v>
      </c>
      <c r="AJ53" s="13">
        <f>AI53*VLOOKUP('Données projet'!$B$10,Paramètres!$A$1:$I$89,3,0)*VLOOKUP('Données projet'!$B$10,Paramètres!$A$1:$I$89,5,0)</f>
        <v>121.58190000000008</v>
      </c>
      <c r="AK53" s="13">
        <f t="shared" si="35"/>
        <v>32.043669802343274</v>
      </c>
      <c r="AL53" s="20">
        <f t="shared" si="4"/>
        <v>267.56453407241469</v>
      </c>
      <c r="AM53" s="59">
        <f t="shared" si="5"/>
        <v>522.68551560188484</v>
      </c>
      <c r="AN53" s="59">
        <f ca="1">AVERAGE(OFFSET($AM$3,0,0,'Données projet'!$E$10+1,1))-AVERAGE(OFFSET($H$3,0,0,'Données projet'!$E$10+1,1))</f>
        <v>325.51141702511984</v>
      </c>
      <c r="AO53" s="59">
        <f t="shared" si="36"/>
        <v>280.04509991782709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#VALUE!</v>
      </c>
      <c r="AV53" s="21" t="e">
        <f>EXP(-LN(2)/25)*AV52+(1-EXP(-LN(2)/25))/(LN(2)/25)*Calculateur!AQ53*Calculateur!AS53*VLOOKUP('Données projet'!$B$10,Paramètres!$A$1:$I$89,3,0)*0.475*44/12</f>
        <v>#VALUE!</v>
      </c>
      <c r="AW53" s="21" t="e">
        <f>EXP(-LN(2)/2)*AW52+(1-EXP(-LN(2)/2))/(LN(2)/2)*AQ53*AT53*VLOOKUP('Données projet'!$B$10,Paramètres!$A$1:$I$89,3,0)*0.475*44/12</f>
        <v>#VALUE!</v>
      </c>
      <c r="AX53" s="21" t="e">
        <f t="shared" si="6"/>
        <v>#VALUE!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164.8000000000001</v>
      </c>
      <c r="O54" s="13">
        <f>N54*VLOOKUP('Données projet'!$B$9,Paramètres!$A$1:$I$89,3,0)*VLOOKUP('Données projet'!$B$9,Paramètres!$A$1:$I$89,5,0)</f>
        <v>149.11104000000009</v>
      </c>
      <c r="P54" s="13">
        <f t="shared" si="33"/>
        <v>38.376496436982421</v>
      </c>
      <c r="Q54" s="20">
        <f t="shared" si="53"/>
        <v>326.54079262774457</v>
      </c>
      <c r="R54" s="59">
        <f t="shared" si="0"/>
        <v>582.32467303099133</v>
      </c>
      <c r="S54" s="59">
        <f ca="1">AVERAGE(OFFSET($R$3,0,0,'Données projet'!$E$9+1,1))-AVERAGE(OFFSET($H$3,0,0,'Données projet'!$E$9+1,1))</f>
        <v>374.44366443573398</v>
      </c>
      <c r="T54" s="59">
        <f t="shared" si="34"/>
        <v>250.47702091764884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5.285370391874585E-3</v>
      </c>
      <c r="AC54" s="22">
        <f t="shared" si="3"/>
        <v>5.285370391874585E-3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14.413461538461547</v>
      </c>
      <c r="AI54" s="13">
        <f>IF('Données projet'!$A$62&gt;35,AI53+AH54-AQ53,IF(A54&lt;'Données projet'!$A$62,$AF$205^A54,IF(A54='Données projet'!$A$62,'Données projet'!$B$62,AI53+AH54-AQ53)))</f>
        <v>274.20384615384631</v>
      </c>
      <c r="AJ54" s="13">
        <f>AI54*VLOOKUP('Données projet'!$B$10,Paramètres!$A$1:$I$89,3,0)*VLOOKUP('Données projet'!$B$10,Paramètres!$A$1:$I$89,5,0)</f>
        <v>128.32740000000007</v>
      </c>
      <c r="AK54" s="13">
        <f t="shared" si="35"/>
        <v>33.609579779226429</v>
      </c>
      <c r="AL54" s="20">
        <f t="shared" si="4"/>
        <v>282.04023978215281</v>
      </c>
      <c r="AM54" s="59">
        <f t="shared" si="5"/>
        <v>537.82412018539958</v>
      </c>
      <c r="AN54" s="59">
        <f ca="1">AVERAGE(OFFSET($AM$3,0,0,'Données projet'!$E$10+1,1))-AVERAGE(OFFSET($H$3,0,0,'Données projet'!$E$10+1,1))</f>
        <v>325.51141702511984</v>
      </c>
      <c r="AO54" s="59">
        <f t="shared" si="36"/>
        <v>280.04509991782709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#VALUE!</v>
      </c>
      <c r="AV54" s="21" t="e">
        <f>EXP(-LN(2)/25)*AV53+(1-EXP(-LN(2)/25))/(LN(2)/25)*Calculateur!AQ54*Calculateur!AS54*VLOOKUP('Données projet'!$B$10,Paramètres!$A$1:$I$89,3,0)*0.475*44/12</f>
        <v>#VALUE!</v>
      </c>
      <c r="AW54" s="21" t="e">
        <f>EXP(-LN(2)/2)*AW53+(1-EXP(-LN(2)/2))/(LN(2)/2)*AQ54*AT54*VLOOKUP('Données projet'!$B$10,Paramètres!$A$1:$I$89,3,0)*0.475*44/12</f>
        <v>#VALUE!</v>
      </c>
      <c r="AX54" s="21" t="e">
        <f t="shared" si="6"/>
        <v>#VALUE!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172.60000000000011</v>
      </c>
      <c r="O55" s="13">
        <f>N55*VLOOKUP('Données projet'!$B$9,Paramètres!$A$1:$I$89,3,0)*VLOOKUP('Données projet'!$B$9,Paramètres!$A$1:$I$89,5,0)</f>
        <v>156.1684800000001</v>
      </c>
      <c r="P55" s="13">
        <f t="shared" si="33"/>
        <v>39.977090041212335</v>
      </c>
      <c r="Q55" s="20">
        <f t="shared" si="53"/>
        <v>341.6202011551116</v>
      </c>
      <c r="R55" s="59">
        <f t="shared" si="0"/>
        <v>598.0554806186949</v>
      </c>
      <c r="S55" s="59">
        <f ca="1">AVERAGE(OFFSET($R$3,0,0,'Données projet'!$E$9+1,1))-AVERAGE(OFFSET($H$3,0,0,'Données projet'!$E$9+1,1))</f>
        <v>374.44366443573398</v>
      </c>
      <c r="T55" s="59">
        <f t="shared" si="34"/>
        <v>250.47702091764884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3.7373212451771195E-3</v>
      </c>
      <c r="AC55" s="22">
        <f t="shared" si="3"/>
        <v>3.7373212451771195E-3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14.413461538461547</v>
      </c>
      <c r="AI55" s="13">
        <f>IF('Données projet'!$A$62&gt;35,AI54+AH55-AQ54,IF(A55&lt;'Données projet'!$A$62,$AF$205^A55,IF(A55='Données projet'!$A$62,'Données projet'!$B$62,AI54+AH55-AQ54)))</f>
        <v>288.61730769230786</v>
      </c>
      <c r="AJ55" s="13">
        <f>AI55*VLOOKUP('Données projet'!$B$10,Paramètres!$A$1:$I$89,3,0)*VLOOKUP('Données projet'!$B$10,Paramètres!$A$1:$I$89,5,0)</f>
        <v>135.07290000000009</v>
      </c>
      <c r="AK55" s="13">
        <f t="shared" si="35"/>
        <v>35.165933280431886</v>
      </c>
      <c r="AL55" s="20">
        <f t="shared" si="4"/>
        <v>296.49930129675232</v>
      </c>
      <c r="AM55" s="59">
        <f t="shared" si="5"/>
        <v>552.93458076033562</v>
      </c>
      <c r="AN55" s="59">
        <f ca="1">AVERAGE(OFFSET($AM$3,0,0,'Données projet'!$E$10+1,1))-AVERAGE(OFFSET($H$3,0,0,'Données projet'!$E$10+1,1))</f>
        <v>325.51141702511984</v>
      </c>
      <c r="AO55" s="59">
        <f t="shared" si="36"/>
        <v>280.04509991782709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#VALUE!</v>
      </c>
      <c r="AV55" s="21" t="e">
        <f>EXP(-LN(2)/25)*AV54+(1-EXP(-LN(2)/25))/(LN(2)/25)*Calculateur!AQ55*Calculateur!AS55*VLOOKUP('Données projet'!$B$10,Paramètres!$A$1:$I$89,3,0)*0.475*44/12</f>
        <v>#VALUE!</v>
      </c>
      <c r="AW55" s="21" t="e">
        <f>EXP(-LN(2)/2)*AW54+(1-EXP(-LN(2)/2))/(LN(2)/2)*AQ55*AT55*VLOOKUP('Données projet'!$B$10,Paramètres!$A$1:$I$89,3,0)*0.475*44/12</f>
        <v>#VALUE!</v>
      </c>
      <c r="AX55" s="21" t="e">
        <f t="shared" si="6"/>
        <v>#VALUE!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180.40000000000012</v>
      </c>
      <c r="O56" s="13">
        <f>N56*VLOOKUP('Données projet'!$B$9,Paramètres!$A$1:$I$89,3,0)*VLOOKUP('Données projet'!$B$9,Paramètres!$A$1:$I$89,5,0)</f>
        <v>163.22592000000012</v>
      </c>
      <c r="P56" s="13">
        <f t="shared" si="33"/>
        <v>41.569283201466128</v>
      </c>
      <c r="Q56" s="20">
        <f t="shared" si="53"/>
        <v>356.68497890922032</v>
      </c>
      <c r="R56" s="59">
        <f t="shared" si="0"/>
        <v>613.76035711575355</v>
      </c>
      <c r="S56" s="59">
        <f ca="1">AVERAGE(OFFSET($R$3,0,0,'Données projet'!$E$9+1,1))-AVERAGE(OFFSET($H$3,0,0,'Données projet'!$E$9+1,1))</f>
        <v>374.44366443573398</v>
      </c>
      <c r="T56" s="59">
        <f t="shared" si="34"/>
        <v>250.47702091764884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2.642685195937293E-3</v>
      </c>
      <c r="AC56" s="22">
        <f t="shared" si="3"/>
        <v>2.642685195937293E-3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>
        <f>VLOOKUP(A56,'Données projet'!$A$61:$I$81,2,0)</f>
        <v>303.03076923076924</v>
      </c>
      <c r="AG56" s="12">
        <f>VLOOKUP(A56,'Données projet'!$A$61:$I$81,9,0)</f>
        <v>14.413461538461547</v>
      </c>
      <c r="AH56" s="12">
        <f t="array" ref="AH56">INDEX(AG:AG,MIN(IF(ISNUMBER(AG56:AG252),ROW(AG56:AG252),"")))</f>
        <v>14.413461538461547</v>
      </c>
      <c r="AI56" s="13">
        <f>IF('Données projet'!$A$62&gt;35,AI55+AH56-AQ55,IF(A56&lt;'Données projet'!$A$62,$AF$205^A56,IF(A56='Données projet'!$A$62,'Données projet'!$B$62,AI55+AH56-AQ55)))</f>
        <v>303.03076923076941</v>
      </c>
      <c r="AJ56" s="13">
        <f>AI56*VLOOKUP('Données projet'!$B$10,Paramètres!$A$1:$I$89,3,0)*VLOOKUP('Données projet'!$B$10,Paramètres!$A$1:$I$89,5,0)</f>
        <v>141.81840000000008</v>
      </c>
      <c r="AK56" s="13">
        <f t="shared" si="35"/>
        <v>36.713262012169757</v>
      </c>
      <c r="AL56" s="20">
        <f t="shared" si="4"/>
        <v>310.94264467119581</v>
      </c>
      <c r="AM56" s="59">
        <f t="shared" si="5"/>
        <v>568.01802287772898</v>
      </c>
      <c r="AN56" s="59">
        <f ca="1">AVERAGE(OFFSET($AM$3,0,0,'Données projet'!$E$10+1,1))-AVERAGE(OFFSET($H$3,0,0,'Données projet'!$E$10+1,1))</f>
        <v>325.51141702511984</v>
      </c>
      <c r="AO56" s="59">
        <f t="shared" si="36"/>
        <v>280.04509991782709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 t="e">
        <f>IF(ISNA(VLOOKUP(A56,'Données projet'!$A$61:$I$81,5,0)),0%,VLOOKUP(A56,'Données projet'!$A$61:$I$81,5,0)*VLOOKUP('Données projet'!$B$10,Paramètres!$A$1:$I$89,7,0))</f>
        <v>#VALUE!</v>
      </c>
      <c r="AS56" s="16" t="e">
        <f>IF(ISNA(VLOOKUP(A56,'Données projet'!$A$61:$I$81,6,0)),0%,VLOOKUP(A56,'Données projet'!$A$61:$I$81,6,0)*VLOOKUP('Données projet'!$B$10,Paramètres!$A$1:$I$89,7,0))</f>
        <v>#VALUE!</v>
      </c>
      <c r="AT56" s="16" t="str">
        <f>IF(ISNA(VLOOKUP(A56,'Données projet'!$A$61:$I$81,7,0)),0%,VLOOKUP(A56,'Données projet'!$A$61:$I$81,7,0))</f>
        <v/>
      </c>
      <c r="AU56" s="21" t="e">
        <f>EXP(-LN(2)/35)*AU55+(1-EXP(-LN(2)/35))/(LN(2)/35)*AQ56*AR56*VLOOKUP('Données projet'!$B$10,Paramètres!$A$1:$I$89,3,0)*0.475*44/12</f>
        <v>#VALUE!</v>
      </c>
      <c r="AV56" s="21" t="e">
        <f>EXP(-LN(2)/25)*AV55+(1-EXP(-LN(2)/25))/(LN(2)/25)*Calculateur!AQ56*Calculateur!AS56*VLOOKUP('Données projet'!$B$10,Paramètres!$A$1:$I$89,3,0)*0.475*44/12</f>
        <v>#VALUE!</v>
      </c>
      <c r="AW56" s="21" t="e">
        <f>EXP(-LN(2)/2)*AW55+(1-EXP(-LN(2)/2))/(LN(2)/2)*AQ56*AT56*VLOOKUP('Données projet'!$B$10,Paramètres!$A$1:$I$89,3,0)*0.475*44/12</f>
        <v>#VALUE!</v>
      </c>
      <c r="AX56" s="21" t="e">
        <f t="shared" si="6"/>
        <v>#VALUE!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188.20000000000013</v>
      </c>
      <c r="O57" s="13">
        <f>N57*VLOOKUP('Données projet'!$B$9,Paramètres!$A$1:$I$89,3,0)*VLOOKUP('Données projet'!$B$9,Paramètres!$A$1:$I$89,5,0)</f>
        <v>170.2833600000001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629.44020345992851</v>
      </c>
      <c r="S57" s="59">
        <f ca="1">AVERAGE(OFFSET($R$3,0,0,'Données projet'!$E$9+1,1))-AVERAGE(OFFSET($H$3,0,0,'Données projet'!$E$9+1,1))</f>
        <v>374.44366443573398</v>
      </c>
      <c r="T57" s="59">
        <f t="shared" si="34"/>
        <v>250.47702091764884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1.86866062258856E-3</v>
      </c>
      <c r="AC57" s="22">
        <f t="shared" si="3"/>
        <v>1.86866062258856E-3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15.007692307692309</v>
      </c>
      <c r="AI57" s="13">
        <f>IF('Données projet'!$A$62&gt;35,AI56+AH57-AQ56,IF(A57&lt;'Données projet'!$A$62,$AF$205^A57,IF(A57='Données projet'!$A$62,'Données projet'!$B$62,AI56+AH57-AQ56)))</f>
        <v>318.03846153846172</v>
      </c>
      <c r="AJ57" s="13">
        <f>AI57*VLOOKUP('Données projet'!$B$10,Paramètres!$A$1:$I$89,3,0)*VLOOKUP('Données projet'!$B$10,Paramètres!$A$1:$I$89,5,0)</f>
        <v>148.8420000000001</v>
      </c>
      <c r="AK57" s="13">
        <f t="shared" si="35"/>
        <v>38.315307385764029</v>
      </c>
      <c r="AL57" s="20">
        <f t="shared" si="4"/>
        <v>325.96564369687246</v>
      </c>
      <c r="AM57" s="59">
        <f t="shared" si="5"/>
        <v>583.67001636421173</v>
      </c>
      <c r="AN57" s="59">
        <f ca="1">AVERAGE(OFFSET($AM$3,0,0,'Données projet'!$E$10+1,1))-AVERAGE(OFFSET($H$3,0,0,'Données projet'!$E$10+1,1))</f>
        <v>325.51141702511984</v>
      </c>
      <c r="AO57" s="59">
        <f t="shared" si="36"/>
        <v>280.04509991782709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#VALUE!</v>
      </c>
      <c r="AV57" s="21" t="e">
        <f>EXP(-LN(2)/25)*AV56+(1-EXP(-LN(2)/25))/(LN(2)/25)*Calculateur!AQ57*Calculateur!AS57*VLOOKUP('Données projet'!$B$10,Paramètres!$A$1:$I$89,3,0)*0.475*44/12</f>
        <v>#VALUE!</v>
      </c>
      <c r="AW57" s="21" t="e">
        <f>EXP(-LN(2)/2)*AW56+(1-EXP(-LN(2)/2))/(LN(2)/2)*AQ57*AT57*VLOOKUP('Données projet'!$B$10,Paramètres!$A$1:$I$89,3,0)*0.475*44/12</f>
        <v>#VALUE!</v>
      </c>
      <c r="AX57" s="21" t="e">
        <f t="shared" si="6"/>
        <v>#VALUE!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196.00000000000014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645.09585545253856</v>
      </c>
      <c r="S58" s="59">
        <f ca="1">AVERAGE(OFFSET($R$3,0,0,'Données projet'!$E$9+1,1))-AVERAGE(OFFSET($H$3,0,0,'Données projet'!$E$9+1,1))</f>
        <v>374.44366443573398</v>
      </c>
      <c r="T58" s="59">
        <f t="shared" si="34"/>
        <v>250.47702091764884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1.3213425979686467E-3</v>
      </c>
      <c r="AC58" s="22">
        <f t="shared" si="3"/>
        <v>1.3213425979686467E-3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15.007692307692309</v>
      </c>
      <c r="AI58" s="13">
        <f>IF('Données projet'!$A$62&gt;35,AI57+AH58-AQ57,IF(A58&lt;'Données projet'!$A$62,$AF$205^A58,IF(A58='Données projet'!$A$62,'Données projet'!$B$62,AI57+AH58-AQ57)))</f>
        <v>333.04615384615403</v>
      </c>
      <c r="AJ58" s="13">
        <f>AI58*VLOOKUP('Données projet'!$B$10,Paramètres!$A$1:$I$89,3,0)*VLOOKUP('Données projet'!$B$10,Paramètres!$A$1:$I$89,5,0)</f>
        <v>155.86560000000009</v>
      </c>
      <c r="AK58" s="13">
        <f t="shared" si="35"/>
        <v>39.908573859453959</v>
      </c>
      <c r="AL58" s="20">
        <f t="shared" si="4"/>
        <v>340.97335280521577</v>
      </c>
      <c r="AM58" s="59">
        <f t="shared" si="5"/>
        <v>599.29580828568714</v>
      </c>
      <c r="AN58" s="59">
        <f ca="1">AVERAGE(OFFSET($AM$3,0,0,'Données projet'!$E$10+1,1))-AVERAGE(OFFSET($H$3,0,0,'Données projet'!$E$10+1,1))</f>
        <v>325.51141702511984</v>
      </c>
      <c r="AO58" s="59">
        <f t="shared" si="36"/>
        <v>280.04509991782709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#VALUE!</v>
      </c>
      <c r="AV58" s="21" t="e">
        <f>EXP(-LN(2)/25)*AV57+(1-EXP(-LN(2)/25))/(LN(2)/25)*Calculateur!AQ58*Calculateur!AS58*VLOOKUP('Données projet'!$B$10,Paramètres!$A$1:$I$89,3,0)*0.475*44/12</f>
        <v>#VALUE!</v>
      </c>
      <c r="AW58" s="21" t="e">
        <f>EXP(-LN(2)/2)*AW57+(1-EXP(-LN(2)/2))/(LN(2)/2)*AQ58*AT58*VLOOKUP('Données projet'!$B$10,Paramètres!$A$1:$I$89,3,0)*0.475*44/12</f>
        <v>#VALUE!</v>
      </c>
      <c r="AX58" s="21" t="e">
        <f t="shared" si="6"/>
        <v>#VALUE!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203.80000000000015</v>
      </c>
      <c r="O59" s="13">
        <f>N59*VLOOKUP('Données projet'!$B$9,Paramètres!$A$1:$I$89,3,0)*VLOOKUP('Données projet'!$B$9,Paramètres!$A$1:$I$89,5,0)</f>
        <v>184.39824000000013</v>
      </c>
      <c r="P59" s="13">
        <f t="shared" si="33"/>
        <v>46.299334464645959</v>
      </c>
      <c r="Q59" s="20">
        <f t="shared" si="53"/>
        <v>401.79827552592525</v>
      </c>
      <c r="R59" s="59">
        <f t="shared" si="0"/>
        <v>660.72809146454699</v>
      </c>
      <c r="S59" s="59">
        <f ca="1">AVERAGE(OFFSET($R$3,0,0,'Données projet'!$E$9+1,1))-AVERAGE(OFFSET($H$3,0,0,'Données projet'!$E$9+1,1))</f>
        <v>374.44366443573398</v>
      </c>
      <c r="T59" s="59">
        <f t="shared" si="34"/>
        <v>250.47702091764884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9.3433031129428021E-4</v>
      </c>
      <c r="AC59" s="22">
        <f t="shared" si="3"/>
        <v>9.3433031129428021E-4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348.05384615384617</v>
      </c>
      <c r="AG59" s="12">
        <f>VLOOKUP(A59,'Données projet'!$A$61:$I$81,9,0)</f>
        <v>15.007692307692309</v>
      </c>
      <c r="AH59" s="12">
        <f t="array" ref="AH59">INDEX(AG:AG,MIN(IF(ISNUMBER(AG59:AG255),ROW(AG59:AG255),"")))</f>
        <v>15.007692307692309</v>
      </c>
      <c r="AI59" s="13">
        <f>IF('Données projet'!$A$62&gt;35,AI58+AH59-AQ58,IF(A59&lt;'Données projet'!$A$62,$AF$205^A59,IF(A59='Données projet'!$A$62,'Données projet'!$B$62,AI58+AH59-AQ58)))</f>
        <v>348.05384615384634</v>
      </c>
      <c r="AJ59" s="13">
        <f>AI59*VLOOKUP('Données projet'!$B$10,Paramètres!$A$1:$I$89,3,0)*VLOOKUP('Données projet'!$B$10,Paramètres!$A$1:$I$89,5,0)</f>
        <v>162.8892000000001</v>
      </c>
      <c r="AK59" s="13">
        <f t="shared" si="35"/>
        <v>41.493502222820929</v>
      </c>
      <c r="AL59" s="20">
        <f t="shared" si="4"/>
        <v>355.96653970474659</v>
      </c>
      <c r="AM59" s="59">
        <f t="shared" si="5"/>
        <v>614.89635564336834</v>
      </c>
      <c r="AN59" s="59">
        <f ca="1">AVERAGE(OFFSET($AM$3,0,0,'Données projet'!$E$10+1,1))-AVERAGE(OFFSET($H$3,0,0,'Données projet'!$E$10+1,1))</f>
        <v>325.51141702511984</v>
      </c>
      <c r="AO59" s="59">
        <f t="shared" si="36"/>
        <v>280.04509991782709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72.769230769230759</v>
      </c>
      <c r="AR59" s="16" t="e">
        <f>IF(ISNA(VLOOKUP(A59,'Données projet'!$A$61:$I$81,5,0)),0%,VLOOKUP(A59,'Données projet'!$A$61:$I$81,5,0)*VLOOKUP('Données projet'!$B$10,Paramètres!$A$1:$I$89,7,0))</f>
        <v>#VALUE!</v>
      </c>
      <c r="AS59" s="16" t="e">
        <f>IF(ISNA(VLOOKUP(A59,'Données projet'!$A$61:$I$81,6,0)),0%,VLOOKUP(A59,'Données projet'!$A$61:$I$81,6,0)*VLOOKUP('Données projet'!$B$10,Paramètres!$A$1:$I$89,7,0))</f>
        <v>#VALUE!</v>
      </c>
      <c r="AT59" s="16" t="str">
        <f>IF(ISNA(VLOOKUP(A59,'Données projet'!$A$61:$I$81,7,0)),0%,VLOOKUP(A59,'Données projet'!$A$61:$I$81,7,0))</f>
        <v/>
      </c>
      <c r="AU59" s="21" t="e">
        <f>EXP(-LN(2)/35)*AU58+(1-EXP(-LN(2)/35))/(LN(2)/35)*AQ59*AR59*VLOOKUP('Données projet'!$B$10,Paramètres!$A$1:$I$89,3,0)*0.475*44/12</f>
        <v>#VALUE!</v>
      </c>
      <c r="AV59" s="21" t="e">
        <f>EXP(-LN(2)/25)*AV58+(1-EXP(-LN(2)/25))/(LN(2)/25)*Calculateur!AQ59*Calculateur!AS59*VLOOKUP('Données projet'!$B$10,Paramètres!$A$1:$I$89,3,0)*0.475*44/12</f>
        <v>#VALUE!</v>
      </c>
      <c r="AW59" s="21" t="e">
        <f>EXP(-LN(2)/2)*AW58+(1-EXP(-LN(2)/2))/(LN(2)/2)*AQ59*AT59*VLOOKUP('Données projet'!$B$10,Paramètres!$A$1:$I$89,3,0)*0.475*44/12</f>
        <v>#VALUE!</v>
      </c>
      <c r="AX59" s="21" t="e">
        <f t="shared" si="6"/>
        <v>#VALUE!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211.60000000000016</v>
      </c>
      <c r="O60" s="13">
        <f>N60*VLOOKUP('Données projet'!$B$9,Paramètres!$A$1:$I$89,3,0)*VLOOKUP('Données projet'!$B$9,Paramètres!$A$1:$I$89,5,0)</f>
        <v>191.45568000000014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676.33763893799767</v>
      </c>
      <c r="S60" s="59">
        <f ca="1">AVERAGE(OFFSET($R$3,0,0,'Données projet'!$E$9+1,1))-AVERAGE(OFFSET($H$3,0,0,'Données projet'!$E$9+1,1))</f>
        <v>374.44366443573398</v>
      </c>
      <c r="T60" s="59">
        <f t="shared" si="34"/>
        <v>250.47702091764884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6.6067129898432345E-4</v>
      </c>
      <c r="AC60" s="22">
        <f t="shared" si="3"/>
        <v>6.6067129898432345E-4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14.059615384615384</v>
      </c>
      <c r="AI60" s="13">
        <f>IF('Données projet'!$A$62&gt;35,AI59+AH60-AQ59,IF(A60&lt;'Données projet'!$A$62,$AF$205^A60,IF(A60='Données projet'!$A$62,'Données projet'!$B$62,AI59+AH60-AQ59)))</f>
        <v>289.34423076923093</v>
      </c>
      <c r="AJ60" s="13">
        <f>AI60*VLOOKUP('Données projet'!$B$10,Paramètres!$A$1:$I$89,3,0)*VLOOKUP('Données projet'!$B$10,Paramètres!$A$1:$I$89,5,0)</f>
        <v>135.41310000000007</v>
      </c>
      <c r="AK60" s="13">
        <f t="shared" si="35"/>
        <v>35.24418255752245</v>
      </c>
      <c r="AL60" s="20">
        <f t="shared" si="4"/>
        <v>297.2281004543517</v>
      </c>
      <c r="AM60" s="59">
        <f t="shared" si="5"/>
        <v>556.75474050502942</v>
      </c>
      <c r="AN60" s="59">
        <f ca="1">AVERAGE(OFFSET($AM$3,0,0,'Données projet'!$E$10+1,1))-AVERAGE(OFFSET($H$3,0,0,'Données projet'!$E$10+1,1))</f>
        <v>325.51141702511984</v>
      </c>
      <c r="AO60" s="59">
        <f t="shared" si="36"/>
        <v>280.04509991782709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#VALUE!</v>
      </c>
      <c r="AV60" s="21" t="e">
        <f>EXP(-LN(2)/25)*AV59+(1-EXP(-LN(2)/25))/(LN(2)/25)*Calculateur!AQ60*Calculateur!AS60*VLOOKUP('Données projet'!$B$10,Paramètres!$A$1:$I$89,3,0)*0.475*44/12</f>
        <v>#VALUE!</v>
      </c>
      <c r="AW60" s="21" t="e">
        <f>EXP(-LN(2)/2)*AW59+(1-EXP(-LN(2)/2))/(LN(2)/2)*AQ60*AT60*VLOOKUP('Données projet'!$B$10,Paramètres!$A$1:$I$89,3,0)*0.475*44/12</f>
        <v>#VALUE!</v>
      </c>
      <c r="AX60" s="21" t="e">
        <f t="shared" si="6"/>
        <v>#VALUE!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219.40000000000018</v>
      </c>
      <c r="O61" s="13">
        <f>N61*VLOOKUP('Données projet'!$B$9,Paramètres!$A$1:$I$89,3,0)*VLOOKUP('Données projet'!$B$9,Paramètres!$A$1:$I$89,5,0)</f>
        <v>198.51312000000016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691.92517990966303</v>
      </c>
      <c r="S61" s="59">
        <f ca="1">AVERAGE(OFFSET($R$3,0,0,'Données projet'!$E$9+1,1))-AVERAGE(OFFSET($H$3,0,0,'Données projet'!$E$9+1,1))</f>
        <v>374.44366443573398</v>
      </c>
      <c r="T61" s="59">
        <f t="shared" si="34"/>
        <v>250.47702091764884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4.6716515564714016E-4</v>
      </c>
      <c r="AC61" s="22">
        <f t="shared" si="3"/>
        <v>4.6716515564714016E-4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14.059615384615384</v>
      </c>
      <c r="AI61" s="13">
        <f>IF('Données projet'!$A$62&gt;35,AI60+AH61-AQ60,IF(A61&lt;'Données projet'!$A$62,$AF$205^A61,IF(A61='Données projet'!$A$62,'Données projet'!$B$62,AI60+AH61-AQ60)))</f>
        <v>303.4038461538463</v>
      </c>
      <c r="AJ61" s="13">
        <f>AI61*VLOOKUP('Données projet'!$B$10,Paramètres!$A$1:$I$89,3,0)*VLOOKUP('Données projet'!$B$10,Paramètres!$A$1:$I$89,5,0)</f>
        <v>141.99300000000008</v>
      </c>
      <c r="AK61" s="13">
        <f t="shared" si="35"/>
        <v>36.7531975220394</v>
      </c>
      <c r="AL61" s="20">
        <f t="shared" si="4"/>
        <v>311.31629401755214</v>
      </c>
      <c r="AM61" s="59">
        <f t="shared" si="5"/>
        <v>571.42940461624062</v>
      </c>
      <c r="AN61" s="59">
        <f ca="1">AVERAGE(OFFSET($AM$3,0,0,'Données projet'!$E$10+1,1))-AVERAGE(OFFSET($H$3,0,0,'Données projet'!$E$10+1,1))</f>
        <v>325.51141702511984</v>
      </c>
      <c r="AO61" s="59">
        <f t="shared" si="36"/>
        <v>280.04509991782709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#VALUE!</v>
      </c>
      <c r="AV61" s="21" t="e">
        <f>EXP(-LN(2)/25)*AV60+(1-EXP(-LN(2)/25))/(LN(2)/25)*Calculateur!AQ61*Calculateur!AS61*VLOOKUP('Données projet'!$B$10,Paramètres!$A$1:$I$89,3,0)*0.475*44/12</f>
        <v>#VALUE!</v>
      </c>
      <c r="AW61" s="21" t="e">
        <f>EXP(-LN(2)/2)*AW60+(1-EXP(-LN(2)/2))/(LN(2)/2)*AQ61*AT61*VLOOKUP('Données projet'!$B$10,Paramètres!$A$1:$I$89,3,0)*0.475*44/12</f>
        <v>#VALUE!</v>
      </c>
      <c r="AX61" s="21" t="e">
        <f t="shared" si="6"/>
        <v>#VALUE!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227.20000000000019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707.49135573446301</v>
      </c>
      <c r="S62" s="59">
        <f ca="1">AVERAGE(OFFSET($R$3,0,0,'Données projet'!$E$9+1,1))-AVERAGE(OFFSET($H$3,0,0,'Données projet'!$E$9+1,1))</f>
        <v>374.44366443573398</v>
      </c>
      <c r="T62" s="59">
        <f t="shared" si="34"/>
        <v>250.47702091764884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3.3033564949216178E-4</v>
      </c>
      <c r="AC62" s="22">
        <f t="shared" si="3"/>
        <v>3.3033564949216178E-4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14.059615384615384</v>
      </c>
      <c r="AI62" s="13">
        <f>IF('Données projet'!$A$62&gt;35,AI61+AH62-AQ61,IF(A62&lt;'Données projet'!$A$62,$AF$205^A62,IF(A62='Données projet'!$A$62,'Données projet'!$B$62,AI61+AH62-AQ61)))</f>
        <v>317.46346153846167</v>
      </c>
      <c r="AJ62" s="13">
        <f>AI62*VLOOKUP('Données projet'!$B$10,Paramètres!$A$1:$I$89,3,0)*VLOOKUP('Données projet'!$B$10,Paramètres!$A$1:$I$89,5,0)</f>
        <v>148.57290000000006</v>
      </c>
      <c r="AK62" s="13">
        <f t="shared" si="35"/>
        <v>38.254091808653072</v>
      </c>
      <c r="AL62" s="20">
        <f t="shared" si="4"/>
        <v>325.39034406673755</v>
      </c>
      <c r="AM62" s="59">
        <f t="shared" si="5"/>
        <v>586.07975126058034</v>
      </c>
      <c r="AN62" s="59">
        <f ca="1">AVERAGE(OFFSET($AM$3,0,0,'Données projet'!$E$10+1,1))-AVERAGE(OFFSET($H$3,0,0,'Données projet'!$E$10+1,1))</f>
        <v>325.51141702511984</v>
      </c>
      <c r="AO62" s="59">
        <f t="shared" si="36"/>
        <v>280.04509991782709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#VALUE!</v>
      </c>
      <c r="AV62" s="21" t="e">
        <f>EXP(-LN(2)/25)*AV61+(1-EXP(-LN(2)/25))/(LN(2)/25)*Calculateur!AQ62*Calculateur!AS62*VLOOKUP('Données projet'!$B$10,Paramètres!$A$1:$I$89,3,0)*0.475*44/12</f>
        <v>#VALUE!</v>
      </c>
      <c r="AW62" s="21" t="e">
        <f>EXP(-LN(2)/2)*AW61+(1-EXP(-LN(2)/2))/(LN(2)/2)*AQ62*AT62*VLOOKUP('Données projet'!$B$10,Paramètres!$A$1:$I$89,3,0)*0.475*44/12</f>
        <v>#VALUE!</v>
      </c>
      <c r="AX62" s="21" t="e">
        <f t="shared" si="6"/>
        <v>#VALUE!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235.0000000000002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723.03677114895515</v>
      </c>
      <c r="S63" s="59">
        <f ca="1">AVERAGE(OFFSET($R$3,0,0,'Données projet'!$E$9+1,1))-AVERAGE(OFFSET($H$3,0,0,'Données projet'!$E$9+1,1))</f>
        <v>374.44366443573398</v>
      </c>
      <c r="T63" s="59">
        <f t="shared" si="34"/>
        <v>250.47702091764884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2.3358257782357011E-4</v>
      </c>
      <c r="AC63" s="22">
        <f t="shared" si="3"/>
        <v>2.3358257782357011E-4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331.52307692307693</v>
      </c>
      <c r="AG63" s="12">
        <f>VLOOKUP(A63,'Données projet'!$A$61:$I$81,9,0)</f>
        <v>14.059615384615384</v>
      </c>
      <c r="AH63" s="12">
        <f t="array" ref="AH63">INDEX(AG:AG,MIN(IF(ISNUMBER(AG63:AG259),ROW(AG63:AG259),"")))</f>
        <v>14.059615384615384</v>
      </c>
      <c r="AI63" s="13">
        <f>IF('Données projet'!$A$62&gt;35,AI62+AH63-AQ62,IF(A63&lt;'Données projet'!$A$62,$AF$205^A63,IF(A63='Données projet'!$A$62,'Données projet'!$B$62,AI62+AH63-AQ62)))</f>
        <v>331.52307692307704</v>
      </c>
      <c r="AJ63" s="13">
        <f>AI63*VLOOKUP('Données projet'!$B$10,Paramètres!$A$1:$I$89,3,0)*VLOOKUP('Données projet'!$B$10,Paramètres!$A$1:$I$89,5,0)</f>
        <v>155.15280000000004</v>
      </c>
      <c r="AK63" s="13">
        <f t="shared" si="35"/>
        <v>39.747266157565534</v>
      </c>
      <c r="AL63" s="20">
        <f t="shared" si="4"/>
        <v>339.45094855776</v>
      </c>
      <c r="AM63" s="59">
        <f t="shared" si="5"/>
        <v>600.70665488923748</v>
      </c>
      <c r="AN63" s="59">
        <f ca="1">AVERAGE(OFFSET($AM$3,0,0,'Données projet'!$E$10+1,1))-AVERAGE(OFFSET($H$3,0,0,'Données projet'!$E$10+1,1))</f>
        <v>325.51141702511984</v>
      </c>
      <c r="AO63" s="59">
        <f t="shared" si="36"/>
        <v>280.04509991782709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 t="e">
        <f>IF(ISNA(VLOOKUP(A63,'Données projet'!$A$61:$I$81,5,0)),0%,VLOOKUP(A63,'Données projet'!$A$61:$I$81,5,0)*VLOOKUP('Données projet'!$B$10,Paramètres!$A$1:$I$89,7,0))</f>
        <v>#VALUE!</v>
      </c>
      <c r="AS63" s="16" t="e">
        <f>IF(ISNA(VLOOKUP(A63,'Données projet'!$A$61:$I$81,6,0)),0%,VLOOKUP(A63,'Données projet'!$A$61:$I$81,6,0)*VLOOKUP('Données projet'!$B$10,Paramètres!$A$1:$I$89,7,0))</f>
        <v>#VALUE!</v>
      </c>
      <c r="AT63" s="16" t="str">
        <f>IF(ISNA(VLOOKUP(A63,'Données projet'!$A$61:$I$81,7,0)),0%,VLOOKUP(A63,'Données projet'!$A$61:$I$81,7,0))</f>
        <v/>
      </c>
      <c r="AU63" s="21" t="e">
        <f>EXP(-LN(2)/35)*AU62+(1-EXP(-LN(2)/35))/(LN(2)/35)*AQ63*AR63*VLOOKUP('Données projet'!$B$10,Paramètres!$A$1:$I$89,3,0)*0.475*44/12</f>
        <v>#VALUE!</v>
      </c>
      <c r="AV63" s="21" t="e">
        <f>EXP(-LN(2)/25)*AV62+(1-EXP(-LN(2)/25))/(LN(2)/25)*Calculateur!AQ63*Calculateur!AS63*VLOOKUP('Données projet'!$B$10,Paramètres!$A$1:$I$89,3,0)*0.475*44/12</f>
        <v>#VALUE!</v>
      </c>
      <c r="AW63" s="21" t="e">
        <f>EXP(-LN(2)/2)*AW62+(1-EXP(-LN(2)/2))/(LN(2)/2)*AQ63*AT63*VLOOKUP('Données projet'!$B$10,Paramètres!$A$1:$I$89,3,0)*0.475*44/12</f>
        <v>#VALUE!</v>
      </c>
      <c r="AX63" s="21" t="e">
        <f t="shared" si="6"/>
        <v>#VALUE!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200.0000000000002</v>
      </c>
      <c r="O64" s="13">
        <f>N64*VLOOKUP('Données projet'!$B$9,Paramètres!$A$1:$I$89,3,0)*VLOOKUP('Données projet'!$B$9,Paramètres!$A$1:$I$89,5,0)</f>
        <v>180.96000000000018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656.29219631019805</v>
      </c>
      <c r="S64" s="59">
        <f ca="1">AVERAGE(OFFSET($R$3,0,0,'Données projet'!$E$9+1,1))-AVERAGE(OFFSET($H$3,0,0,'Données projet'!$E$9+1,1))</f>
        <v>374.44366443573398</v>
      </c>
      <c r="T64" s="59">
        <f t="shared" si="34"/>
        <v>250.47702091764884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1.6516782474608092E-4</v>
      </c>
      <c r="AC64" s="22">
        <f t="shared" si="3"/>
        <v>1.6516782474608092E-4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14.551282051282044</v>
      </c>
      <c r="AI64" s="13">
        <f>IF('Données projet'!$A$62&gt;35,AI63+AH64-AQ63,IF(A64&lt;'Données projet'!$A$62,$AF$205^A64,IF(A64='Données projet'!$A$62,'Données projet'!$B$62,AI63+AH64-AQ63)))</f>
        <v>346.07435897435909</v>
      </c>
      <c r="AJ64" s="13">
        <f>AI64*VLOOKUP('Données projet'!$B$10,Paramètres!$A$1:$I$89,3,0)*VLOOKUP('Données projet'!$B$10,Paramètres!$A$1:$I$89,5,0)</f>
        <v>161.96280000000004</v>
      </c>
      <c r="AK64" s="13">
        <f t="shared" si="35"/>
        <v>41.28491577462448</v>
      </c>
      <c r="AL64" s="20">
        <f t="shared" si="4"/>
        <v>353.98977164080435</v>
      </c>
      <c r="AM64" s="59">
        <f t="shared" si="5"/>
        <v>615.80195308593375</v>
      </c>
      <c r="AN64" s="59">
        <f ca="1">AVERAGE(OFFSET($AM$3,0,0,'Données projet'!$E$10+1,1))-AVERAGE(OFFSET($H$3,0,0,'Données projet'!$E$10+1,1))</f>
        <v>325.51141702511984</v>
      </c>
      <c r="AO64" s="59">
        <f t="shared" si="36"/>
        <v>280.04509991782709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#VALUE!</v>
      </c>
      <c r="AV64" s="21" t="e">
        <f>EXP(-LN(2)/25)*AV63+(1-EXP(-LN(2)/25))/(LN(2)/25)*Calculateur!AQ64*Calculateur!AS64*VLOOKUP('Données projet'!$B$10,Paramètres!$A$1:$I$89,3,0)*0.475*44/12</f>
        <v>#VALUE!</v>
      </c>
      <c r="AW64" s="21" t="e">
        <f>EXP(-LN(2)/2)*AW63+(1-EXP(-LN(2)/2))/(LN(2)/2)*AQ64*AT64*VLOOKUP('Données projet'!$B$10,Paramètres!$A$1:$I$89,3,0)*0.475*44/12</f>
        <v>#VALUE!</v>
      </c>
      <c r="AX64" s="21" t="e">
        <f t="shared" si="6"/>
        <v>#VALUE!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207.0000000000002</v>
      </c>
      <c r="O65" s="13">
        <f>N65*VLOOKUP('Données projet'!$B$9,Paramètres!$A$1:$I$89,3,0)*VLOOKUP('Données projet'!$B$9,Paramètres!$A$1:$I$89,5,0)</f>
        <v>187.29360000000017</v>
      </c>
      <c r="P65" s="13">
        <f t="shared" si="33"/>
        <v>46.941107550760499</v>
      </c>
      <c r="Q65" s="20">
        <f t="shared" si="53"/>
        <v>407.95878231757479</v>
      </c>
      <c r="R65" s="59">
        <f t="shared" si="0"/>
        <v>670.31778527722611</v>
      </c>
      <c r="S65" s="59">
        <f ca="1">AVERAGE(OFFSET($R$3,0,0,'Données projet'!$E$9+1,1))-AVERAGE(OFFSET($H$3,0,0,'Données projet'!$E$9+1,1))</f>
        <v>374.44366443573398</v>
      </c>
      <c r="T65" s="59">
        <f t="shared" si="34"/>
        <v>250.47702091764884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1.1679128891178508E-4</v>
      </c>
      <c r="AC65" s="22">
        <f t="shared" si="3"/>
        <v>1.1679128891178508E-4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14.551282051282044</v>
      </c>
      <c r="AI65" s="13">
        <f>IF('Données projet'!$A$62&gt;35,AI64+AH65-AQ64,IF(A65&lt;'Données projet'!$A$62,$AF$205^A65,IF(A65='Données projet'!$A$62,'Données projet'!$B$62,AI64+AH65-AQ64)))</f>
        <v>360.62564102564113</v>
      </c>
      <c r="AJ65" s="13">
        <f>AI65*VLOOKUP('Données projet'!$B$10,Paramètres!$A$1:$I$89,3,0)*VLOOKUP('Données projet'!$B$10,Paramètres!$A$1:$I$89,5,0)</f>
        <v>168.77280000000007</v>
      </c>
      <c r="AK65" s="13">
        <f t="shared" si="35"/>
        <v>42.81505582243534</v>
      </c>
      <c r="AL65" s="20">
        <f t="shared" si="4"/>
        <v>368.51551555740826</v>
      </c>
      <c r="AM65" s="59">
        <f t="shared" si="5"/>
        <v>630.87451851705964</v>
      </c>
      <c r="AN65" s="59">
        <f ca="1">AVERAGE(OFFSET($AM$3,0,0,'Données projet'!$E$10+1,1))-AVERAGE(OFFSET($H$3,0,0,'Données projet'!$E$10+1,1))</f>
        <v>325.51141702511984</v>
      </c>
      <c r="AO65" s="59">
        <f t="shared" si="36"/>
        <v>280.04509991782709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#VALUE!</v>
      </c>
      <c r="AV65" s="21" t="e">
        <f>EXP(-LN(2)/25)*AV64+(1-EXP(-LN(2)/25))/(LN(2)/25)*Calculateur!AQ65*Calculateur!AS65*VLOOKUP('Données projet'!$B$10,Paramètres!$A$1:$I$89,3,0)*0.475*44/12</f>
        <v>#VALUE!</v>
      </c>
      <c r="AW65" s="21" t="e">
        <f>EXP(-LN(2)/2)*AW64+(1-EXP(-LN(2)/2))/(LN(2)/2)*AQ65*AT65*VLOOKUP('Données projet'!$B$10,Paramètres!$A$1:$I$89,3,0)*0.475*44/12</f>
        <v>#VALUE!</v>
      </c>
      <c r="AX65" s="21" t="e">
        <f t="shared" si="6"/>
        <v>#VALUE!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214.0000000000002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684.32427021316744</v>
      </c>
      <c r="S66" s="59">
        <f ca="1">AVERAGE(OFFSET($R$3,0,0,'Données projet'!$E$9+1,1))-AVERAGE(OFFSET($H$3,0,0,'Données projet'!$E$9+1,1))</f>
        <v>374.44366443573398</v>
      </c>
      <c r="T66" s="59">
        <f t="shared" si="34"/>
        <v>250.47702091764884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8.2583912373040473E-5</v>
      </c>
      <c r="AC66" s="22">
        <f t="shared" si="3"/>
        <v>8.2583912373040473E-5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375.17692307692306</v>
      </c>
      <c r="AG66" s="12">
        <f>VLOOKUP(A66,'Données projet'!$A$61:$I$81,9,0)</f>
        <v>14.551282051282044</v>
      </c>
      <c r="AH66" s="12">
        <f t="array" ref="AH66">INDEX(AG:AG,MIN(IF(ISNUMBER(AG66:AG262),ROW(AG66:AG262),"")))</f>
        <v>14.551282051282044</v>
      </c>
      <c r="AI66" s="13">
        <f>IF('Données projet'!$A$62&gt;35,AI65+AH66-AQ65,IF(A66&lt;'Données projet'!$A$62,$AF$205^A66,IF(A66='Données projet'!$A$62,'Données projet'!$B$62,AI65+AH66-AQ65)))</f>
        <v>375.17692307692317</v>
      </c>
      <c r="AJ66" s="13">
        <f>AI66*VLOOKUP('Données projet'!$B$10,Paramètres!$A$1:$I$89,3,0)*VLOOKUP('Données projet'!$B$10,Paramètres!$A$1:$I$89,5,0)</f>
        <v>175.58280000000005</v>
      </c>
      <c r="AK66" s="13">
        <f t="shared" si="35"/>
        <v>44.338023977070634</v>
      </c>
      <c r="AL66" s="20">
        <f t="shared" si="4"/>
        <v>383.0287684267314</v>
      </c>
      <c r="AM66" s="59">
        <f t="shared" si="5"/>
        <v>645.92510677013752</v>
      </c>
      <c r="AN66" s="59">
        <f ca="1">AVERAGE(OFFSET($AM$3,0,0,'Données projet'!$E$10+1,1))-AVERAGE(OFFSET($H$3,0,0,'Données projet'!$E$10+1,1))</f>
        <v>325.51141702511984</v>
      </c>
      <c r="AO66" s="59">
        <f t="shared" si="36"/>
        <v>280.04509991782709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71.123076923076923</v>
      </c>
      <c r="AR66" s="16" t="e">
        <f>IF(ISNA(VLOOKUP(A66,'Données projet'!$A$61:$I$81,5,0)),0%,VLOOKUP(A66,'Données projet'!$A$61:$I$81,5,0)*VLOOKUP('Données projet'!$B$10,Paramètres!$A$1:$I$89,7,0))</f>
        <v>#VALUE!</v>
      </c>
      <c r="AS66" s="16" t="e">
        <f>IF(ISNA(VLOOKUP(A66,'Données projet'!$A$61:$I$81,6,0)),0%,VLOOKUP(A66,'Données projet'!$A$61:$I$81,6,0)*VLOOKUP('Données projet'!$B$10,Paramètres!$A$1:$I$89,7,0))</f>
        <v>#VALUE!</v>
      </c>
      <c r="AT66" s="16" t="str">
        <f>IF(ISNA(VLOOKUP(A66,'Données projet'!$A$61:$I$81,7,0)),0%,VLOOKUP(A66,'Données projet'!$A$61:$I$81,7,0))</f>
        <v/>
      </c>
      <c r="AU66" s="21" t="e">
        <f>EXP(-LN(2)/35)*AU65+(1-EXP(-LN(2)/35))/(LN(2)/35)*AQ66*AR66*VLOOKUP('Données projet'!$B$10,Paramètres!$A$1:$I$89,3,0)*0.475*44/12</f>
        <v>#VALUE!</v>
      </c>
      <c r="AV66" s="21" t="e">
        <f>EXP(-LN(2)/25)*AV65+(1-EXP(-LN(2)/25))/(LN(2)/25)*Calculateur!AQ66*Calculateur!AS66*VLOOKUP('Données projet'!$B$10,Paramètres!$A$1:$I$89,3,0)*0.475*44/12</f>
        <v>#VALUE!</v>
      </c>
      <c r="AW66" s="21" t="e">
        <f>EXP(-LN(2)/2)*AW65+(1-EXP(-LN(2)/2))/(LN(2)/2)*AQ66*AT66*VLOOKUP('Données projet'!$B$10,Paramètres!$A$1:$I$89,3,0)*0.475*44/12</f>
        <v>#VALUE!</v>
      </c>
      <c r="AX66" s="21" t="e">
        <f t="shared" si="6"/>
        <v>#VALUE!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221.0000000000002</v>
      </c>
      <c r="O67" s="13">
        <f>N67*VLOOKUP('Données projet'!$B$9,Paramètres!$A$1:$I$89,3,0)*VLOOKUP('Données projet'!$B$9,Paramètres!$A$1:$I$89,5,0)</f>
        <v>199.96080000000021</v>
      </c>
      <c r="P67" s="13">
        <f t="shared" si="33"/>
        <v>49.735552653569307</v>
      </c>
      <c r="Q67" s="20">
        <f t="shared" ref="Q67:Q98" si="54">(O67+P67)*0.475*44/12</f>
        <v>434.88781420496684</v>
      </c>
      <c r="R67" s="59">
        <f t="shared" ref="R67:R130" si="55">Q67+(I67+J67)*44/12</f>
        <v>698.31216636452154</v>
      </c>
      <c r="S67" s="59">
        <f ca="1">AVERAGE(OFFSET($R$3,0,0,'Données projet'!$E$9+1,1))-AVERAGE(OFFSET($H$3,0,0,'Données projet'!$E$9+1,1))</f>
        <v>374.44366443573398</v>
      </c>
      <c r="T67" s="59">
        <f t="shared" si="34"/>
        <v>250.47702091764884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5.8395644455892547E-5</v>
      </c>
      <c r="AC67" s="22">
        <f t="shared" si="3"/>
        <v>5.8395644455892547E-5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13.549999999999997</v>
      </c>
      <c r="AI67" s="13">
        <f>IF('Données projet'!$A$62&gt;35,AI66+AH67-AQ66,IF(A67&lt;'Données projet'!$A$62,$AF$205^A67,IF(A67='Données projet'!$A$62,'Données projet'!$B$62,AI66+AH67-AQ66)))</f>
        <v>317.60384615384623</v>
      </c>
      <c r="AJ67" s="13">
        <f>AI67*VLOOKUP('Données projet'!$B$10,Paramètres!$A$1:$I$89,3,0)*VLOOKUP('Données projet'!$B$10,Paramètres!$A$1:$I$89,5,0)</f>
        <v>148.63860000000003</v>
      </c>
      <c r="AK67" s="13">
        <f t="shared" si="35"/>
        <v>38.269038607733258</v>
      </c>
      <c r="AL67" s="20">
        <f t="shared" si="4"/>
        <v>325.53080390846873</v>
      </c>
      <c r="AM67" s="59">
        <f t="shared" si="5"/>
        <v>588.95515606802348</v>
      </c>
      <c r="AN67" s="59">
        <f ca="1">AVERAGE(OFFSET($AM$3,0,0,'Données projet'!$E$10+1,1))-AVERAGE(OFFSET($H$3,0,0,'Données projet'!$E$10+1,1))</f>
        <v>325.51141702511984</v>
      </c>
      <c r="AO67" s="59">
        <f t="shared" si="36"/>
        <v>280.04509991782709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#VALUE!</v>
      </c>
      <c r="AV67" s="21" t="e">
        <f>EXP(-LN(2)/25)*AV66+(1-EXP(-LN(2)/25))/(LN(2)/25)*Calculateur!AQ67*Calculateur!AS67*VLOOKUP('Données projet'!$B$10,Paramètres!$A$1:$I$89,3,0)*0.475*44/12</f>
        <v>#VALUE!</v>
      </c>
      <c r="AW67" s="21" t="e">
        <f>EXP(-LN(2)/2)*AW66+(1-EXP(-LN(2)/2))/(LN(2)/2)*AQ67*AT67*VLOOKUP('Données projet'!$B$10,Paramètres!$A$1:$I$89,3,0)*0.475*44/12</f>
        <v>#VALUE!</v>
      </c>
      <c r="AX67" s="21" t="e">
        <f t="shared" si="6"/>
        <v>#VALUE!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228.0000000000002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712.28196264619055</v>
      </c>
      <c r="S68" s="59">
        <f ca="1">AVERAGE(OFFSET($R$3,0,0,'Données projet'!$E$9+1,1))-AVERAGE(OFFSET($H$3,0,0,'Données projet'!$E$9+1,1))</f>
        <v>374.44366443573398</v>
      </c>
      <c r="T68" s="59">
        <f t="shared" si="34"/>
        <v>250.47702091764884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4.1291956186520243E-5</v>
      </c>
      <c r="AC68" s="22">
        <f t="shared" ref="AC68:AC131" si="57">SUM(Z68:AB68)</f>
        <v>4.1291956186520243E-5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13.549999999999997</v>
      </c>
      <c r="AI68" s="13">
        <f>IF('Données projet'!$A$62&gt;35,AI67+AH68-AQ67,IF(A68&lt;'Données projet'!$A$62,$AF$205^A68,IF(A68='Données projet'!$A$62,'Données projet'!$B$62,AI67+AH68-AQ67)))</f>
        <v>331.15384615384625</v>
      </c>
      <c r="AJ68" s="13">
        <f>AI68*VLOOKUP('Données projet'!$B$10,Paramètres!$A$1:$I$89,3,0)*VLOOKUP('Données projet'!$B$10,Paramètres!$A$1:$I$89,5,0)</f>
        <v>154.98000000000005</v>
      </c>
      <c r="AK68" s="13">
        <f t="shared" si="35"/>
        <v>39.708148282768228</v>
      </c>
      <c r="AL68" s="20">
        <f t="shared" ref="AL68:AL131" si="58">(AJ68+AK68)*0.475*44/12</f>
        <v>339.08185825915479</v>
      </c>
      <c r="AM68" s="59">
        <f t="shared" ref="AM68:AM131" si="59">AL68+(AD68+AE68)*44/12</f>
        <v>603.02506437560999</v>
      </c>
      <c r="AN68" s="59">
        <f ca="1">AVERAGE(OFFSET($AM$3,0,0,'Données projet'!$E$10+1,1))-AVERAGE(OFFSET($H$3,0,0,'Données projet'!$E$10+1,1))</f>
        <v>325.51141702511984</v>
      </c>
      <c r="AO68" s="59">
        <f t="shared" si="36"/>
        <v>280.04509991782709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#VALUE!</v>
      </c>
      <c r="AV68" s="21" t="e">
        <f>EXP(-LN(2)/25)*AV67+(1-EXP(-LN(2)/25))/(LN(2)/25)*Calculateur!AQ68*Calculateur!AS68*VLOOKUP('Données projet'!$B$10,Paramètres!$A$1:$I$89,3,0)*0.475*44/12</f>
        <v>#VALUE!</v>
      </c>
      <c r="AW68" s="21" t="e">
        <f>EXP(-LN(2)/2)*AW67+(1-EXP(-LN(2)/2))/(LN(2)/2)*AQ68*AT68*VLOOKUP('Données projet'!$B$10,Paramètres!$A$1:$I$89,3,0)*0.475*44/12</f>
        <v>#VALUE!</v>
      </c>
      <c r="AX68" s="21" t="e">
        <f t="shared" ref="AX68:AX131" si="60">SUM(AU68:AW68)</f>
        <v>#VALUE!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235.0000000000002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726.23412393466469</v>
      </c>
      <c r="S69" s="59">
        <f ca="1">AVERAGE(OFFSET($R$3,0,0,'Données projet'!$E$9+1,1))-AVERAGE(OFFSET($H$3,0,0,'Données projet'!$E$9+1,1))</f>
        <v>374.44366443573398</v>
      </c>
      <c r="T69" s="59">
        <f t="shared" ref="T69:T132" si="88">$T$3</f>
        <v>250.47702091764884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2.919782222794628E-5</v>
      </c>
      <c r="AC69" s="22">
        <f t="shared" si="57"/>
        <v>2.919782222794628E-5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13.549999999999997</v>
      </c>
      <c r="AI69" s="13">
        <f>IF('Données projet'!$A$62&gt;35,AI68+AH69-AQ68,IF(A69&lt;'Données projet'!$A$62,$AF$205^A69,IF(A69='Données projet'!$A$62,'Données projet'!$B$62,AI68+AH69-AQ68)))</f>
        <v>344.70384615384626</v>
      </c>
      <c r="AJ69" s="13">
        <f>AI69*VLOOKUP('Données projet'!$B$10,Paramètres!$A$1:$I$89,3,0)*VLOOKUP('Données projet'!$B$10,Paramètres!$A$1:$I$89,5,0)</f>
        <v>161.32140000000004</v>
      </c>
      <c r="AK69" s="13">
        <f t="shared" ref="AK69:AK132" si="89">EXP(-1.0587+0.8836*LN(AJ69)+0.284)</f>
        <v>41.140418045227108</v>
      </c>
      <c r="AL69" s="20">
        <f t="shared" si="58"/>
        <v>352.62099976210396</v>
      </c>
      <c r="AM69" s="59">
        <f t="shared" si="59"/>
        <v>617.07405887929099</v>
      </c>
      <c r="AN69" s="59">
        <f ca="1">AVERAGE(OFFSET($AM$3,0,0,'Données projet'!$E$10+1,1))-AVERAGE(OFFSET($H$3,0,0,'Données projet'!$E$10+1,1))</f>
        <v>325.51141702511984</v>
      </c>
      <c r="AO69" s="59">
        <f t="shared" ref="AO69:AO132" si="90">$AO$3</f>
        <v>280.04509991782709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#VALUE!</v>
      </c>
      <c r="AV69" s="21" t="e">
        <f>EXP(-LN(2)/25)*AV68+(1-EXP(-LN(2)/25))/(LN(2)/25)*Calculateur!AQ69*Calculateur!AS69*VLOOKUP('Données projet'!$B$10,Paramètres!$A$1:$I$89,3,0)*0.475*44/12</f>
        <v>#VALUE!</v>
      </c>
      <c r="AW69" s="21" t="e">
        <f>EXP(-LN(2)/2)*AW68+(1-EXP(-LN(2)/2))/(LN(2)/2)*AQ69*AT69*VLOOKUP('Données projet'!$B$10,Paramètres!$A$1:$I$89,3,0)*0.475*44/12</f>
        <v>#VALUE!</v>
      </c>
      <c r="AX69" s="21" t="e">
        <f t="shared" si="60"/>
        <v>#VALUE!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242.0000000000002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740.16909308550771</v>
      </c>
      <c r="S70" s="59">
        <f ca="1">AVERAGE(OFFSET($R$3,0,0,'Données projet'!$E$9+1,1))-AVERAGE(OFFSET($H$3,0,0,'Données projet'!$E$9+1,1))</f>
        <v>374.44366443573398</v>
      </c>
      <c r="T70" s="59">
        <f t="shared" si="88"/>
        <v>250.47702091764884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2.0645978093260125E-5</v>
      </c>
      <c r="AC70" s="22">
        <f t="shared" si="57"/>
        <v>2.0645978093260125E-5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358.25384615384615</v>
      </c>
      <c r="AG70" s="12">
        <f>VLOOKUP(A70,'Données projet'!$A$61:$I$81,9,0)</f>
        <v>13.549999999999997</v>
      </c>
      <c r="AH70" s="12">
        <f t="array" ref="AH70">INDEX(AG:AG,MIN(IF(ISNUMBER(AG70:AG266),ROW(AG70:AG266),"")))</f>
        <v>13.549999999999997</v>
      </c>
      <c r="AI70" s="13">
        <f>IF('Données projet'!$A$62&gt;35,AI69+AH70-AQ69,IF(A70&lt;'Données projet'!$A$62,$AF$205^A70,IF(A70='Données projet'!$A$62,'Données projet'!$B$62,AI69+AH70-AQ69)))</f>
        <v>358.25384615384627</v>
      </c>
      <c r="AJ70" s="13">
        <f>AI70*VLOOKUP('Données projet'!$B$10,Paramètres!$A$1:$I$89,3,0)*VLOOKUP('Données projet'!$B$10,Paramètres!$A$1:$I$89,5,0)</f>
        <v>167.66280000000006</v>
      </c>
      <c r="AK70" s="13">
        <f t="shared" si="89"/>
        <v>42.566147534051922</v>
      </c>
      <c r="AL70" s="20">
        <f t="shared" si="58"/>
        <v>366.14875028847382</v>
      </c>
      <c r="AM70" s="59">
        <f t="shared" si="59"/>
        <v>631.10281759669078</v>
      </c>
      <c r="AN70" s="59">
        <f ca="1">AVERAGE(OFFSET($AM$3,0,0,'Données projet'!$E$10+1,1))-AVERAGE(OFFSET($H$3,0,0,'Données projet'!$E$10+1,1))</f>
        <v>325.51141702511984</v>
      </c>
      <c r="AO70" s="59">
        <f t="shared" si="90"/>
        <v>280.04509991782709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 t="e">
        <f>IF(ISNA(VLOOKUP(A70,'Données projet'!$A$61:$I$81,5,0)),0%,VLOOKUP(A70,'Données projet'!$A$61:$I$81,5,0)*VLOOKUP('Données projet'!$B$10,Paramètres!$A$1:$I$89,7,0))</f>
        <v>#VALUE!</v>
      </c>
      <c r="AS70" s="16" t="e">
        <f>IF(ISNA(VLOOKUP(A70,'Données projet'!$A$61:$I$81,6,0)),0%,VLOOKUP(A70,'Données projet'!$A$61:$I$81,6,0)*VLOOKUP('Données projet'!$B$10,Paramètres!$A$1:$I$89,7,0))</f>
        <v>#VALUE!</v>
      </c>
      <c r="AT70" s="16" t="str">
        <f>IF(ISNA(VLOOKUP(A70,'Données projet'!$A$61:$I$81,7,0)),0%,VLOOKUP(A70,'Données projet'!$A$61:$I$81,7,0))</f>
        <v/>
      </c>
      <c r="AU70" s="21" t="e">
        <f>EXP(-LN(2)/35)*AU69+(1-EXP(-LN(2)/35))/(LN(2)/35)*AQ70*AR70*VLOOKUP('Données projet'!$B$10,Paramètres!$A$1:$I$89,3,0)*0.475*44/12</f>
        <v>#VALUE!</v>
      </c>
      <c r="AV70" s="21" t="e">
        <f>EXP(-LN(2)/25)*AV69+(1-EXP(-LN(2)/25))/(LN(2)/25)*Calculateur!AQ70*Calculateur!AS70*VLOOKUP('Données projet'!$B$10,Paramètres!$A$1:$I$89,3,0)*0.475*44/12</f>
        <v>#VALUE!</v>
      </c>
      <c r="AW70" s="21" t="e">
        <f>EXP(-LN(2)/2)*AW69+(1-EXP(-LN(2)/2))/(LN(2)/2)*AQ70*AT70*VLOOKUP('Données projet'!$B$10,Paramètres!$A$1:$I$89,3,0)*0.475*44/12</f>
        <v>#VALUE!</v>
      </c>
      <c r="AX70" s="21" t="e">
        <f t="shared" si="60"/>
        <v>#VALUE!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249.0000000000002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754.08729271579614</v>
      </c>
      <c r="S71" s="59">
        <f ca="1">AVERAGE(OFFSET($R$3,0,0,'Données projet'!$E$9+1,1))-AVERAGE(OFFSET($H$3,0,0,'Données projet'!$E$9+1,1))</f>
        <v>374.44366443573398</v>
      </c>
      <c r="T71" s="59">
        <f t="shared" si="88"/>
        <v>250.47702091764884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1.4598911113973142E-5</v>
      </c>
      <c r="AC71" s="22">
        <f t="shared" si="57"/>
        <v>1.4598911113973142E-5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13.924999999999997</v>
      </c>
      <c r="AI71" s="13">
        <f>IF('Données projet'!$A$62&gt;35,AI70+AH71-AQ70,IF(A71&lt;'Données projet'!$A$62,$AF$205^A71,IF(A71='Données projet'!$A$62,'Données projet'!$B$62,AI70+AH71-AQ70)))</f>
        <v>372.17884615384628</v>
      </c>
      <c r="AJ71" s="13">
        <f>AI71*VLOOKUP('Données projet'!$B$10,Paramètres!$A$1:$I$89,3,0)*VLOOKUP('Données projet'!$B$10,Paramètres!$A$1:$I$89,5,0)</f>
        <v>174.17970000000008</v>
      </c>
      <c r="AK71" s="13">
        <f t="shared" si="89"/>
        <v>44.02480992799758</v>
      </c>
      <c r="AL71" s="20">
        <f t="shared" si="58"/>
        <v>380.0395214579292</v>
      </c>
      <c r="AM71" s="59">
        <f t="shared" si="59"/>
        <v>645.48590558514798</v>
      </c>
      <c r="AN71" s="59">
        <f ca="1">AVERAGE(OFFSET($AM$3,0,0,'Données projet'!$E$10+1,1))-AVERAGE(OFFSET($H$3,0,0,'Données projet'!$E$10+1,1))</f>
        <v>325.51141702511984</v>
      </c>
      <c r="AO71" s="59">
        <f t="shared" si="90"/>
        <v>280.04509991782709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#VALUE!</v>
      </c>
      <c r="AV71" s="21" t="e">
        <f>EXP(-LN(2)/25)*AV70+(1-EXP(-LN(2)/25))/(LN(2)/25)*Calculateur!AQ71*Calculateur!AS71*VLOOKUP('Données projet'!$B$10,Paramètres!$A$1:$I$89,3,0)*0.475*44/12</f>
        <v>#VALUE!</v>
      </c>
      <c r="AW71" s="21" t="e">
        <f>EXP(-LN(2)/2)*AW70+(1-EXP(-LN(2)/2))/(LN(2)/2)*AQ71*AT71*VLOOKUP('Données projet'!$B$10,Paramètres!$A$1:$I$89,3,0)*0.475*44/12</f>
        <v>#VALUE!</v>
      </c>
      <c r="AX71" s="21" t="e">
        <f t="shared" si="60"/>
        <v>#VALUE!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256.00000000000023</v>
      </c>
      <c r="O72" s="13">
        <f>N72*VLOOKUP('Données projet'!$B$9,Paramètres!$A$1:$I$89,3,0)*VLOOKUP('Données projet'!$B$9,Paramètres!$A$1:$I$89,5,0)</f>
        <v>231.62880000000021</v>
      </c>
      <c r="P72" s="13">
        <f t="shared" si="87"/>
        <v>56.63472139815827</v>
      </c>
      <c r="Q72" s="20">
        <f t="shared" si="54"/>
        <v>502.05896643512602</v>
      </c>
      <c r="R72" s="59">
        <f t="shared" si="55"/>
        <v>767.98912678519264</v>
      </c>
      <c r="S72" s="59">
        <f ca="1">AVERAGE(OFFSET($R$3,0,0,'Données projet'!$E$9+1,1))-AVERAGE(OFFSET($H$3,0,0,'Données projet'!$E$9+1,1))</f>
        <v>374.44366443573398</v>
      </c>
      <c r="T72" s="59">
        <f t="shared" si="88"/>
        <v>250.47702091764884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1.0322989046630064E-5</v>
      </c>
      <c r="AC72" s="22">
        <f t="shared" si="57"/>
        <v>1.0322989046630064E-5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13.924999999999997</v>
      </c>
      <c r="AI72" s="13">
        <f>IF('Données projet'!$A$62&gt;35,AI71+AH72-AQ71,IF(A72&lt;'Données projet'!$A$62,$AF$205^A72,IF(A72='Données projet'!$A$62,'Données projet'!$B$62,AI71+AH72-AQ71)))</f>
        <v>386.10384615384629</v>
      </c>
      <c r="AJ72" s="13">
        <f>AI72*VLOOKUP('Données projet'!$B$10,Paramètres!$A$1:$I$89,3,0)*VLOOKUP('Données projet'!$B$10,Paramètres!$A$1:$I$89,5,0)</f>
        <v>180.69660000000005</v>
      </c>
      <c r="AK72" s="13">
        <f t="shared" si="89"/>
        <v>45.47713197572395</v>
      </c>
      <c r="AL72" s="20">
        <f t="shared" si="58"/>
        <v>393.91924985771925</v>
      </c>
      <c r="AM72" s="59">
        <f t="shared" si="59"/>
        <v>659.84941020778581</v>
      </c>
      <c r="AN72" s="59">
        <f ca="1">AVERAGE(OFFSET($AM$3,0,0,'Données projet'!$E$10+1,1))-AVERAGE(OFFSET($H$3,0,0,'Données projet'!$E$10+1,1))</f>
        <v>325.51141702511984</v>
      </c>
      <c r="AO72" s="59">
        <f t="shared" si="90"/>
        <v>280.04509991782709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#VALUE!</v>
      </c>
      <c r="AV72" s="21" t="e">
        <f>EXP(-LN(2)/25)*AV71+(1-EXP(-LN(2)/25))/(LN(2)/25)*Calculateur!AQ72*Calculateur!AS72*VLOOKUP('Données projet'!$B$10,Paramètres!$A$1:$I$89,3,0)*0.475*44/12</f>
        <v>#VALUE!</v>
      </c>
      <c r="AW72" s="21" t="e">
        <f>EXP(-LN(2)/2)*AW71+(1-EXP(-LN(2)/2))/(LN(2)/2)*AQ72*AT72*VLOOKUP('Données projet'!$B$10,Paramètres!$A$1:$I$89,3,0)*0.475*44/12</f>
        <v>#VALUE!</v>
      </c>
      <c r="AX72" s="21" t="e">
        <f t="shared" si="60"/>
        <v>#VALUE!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263.00000000000023</v>
      </c>
      <c r="O73" s="13">
        <f>N73*VLOOKUP('Données projet'!$B$9,Paramètres!$A$1:$I$89,3,0)*VLOOKUP('Données projet'!$B$9,Paramètres!$A$1:$I$89,5,0)</f>
        <v>237.96240000000023</v>
      </c>
      <c r="P73" s="13">
        <f t="shared" si="87"/>
        <v>58.000913607663399</v>
      </c>
      <c r="Q73" s="20">
        <f t="shared" si="54"/>
        <v>515.46943786668078</v>
      </c>
      <c r="R73" s="59">
        <f t="shared" si="55"/>
        <v>781.87498200369032</v>
      </c>
      <c r="S73" s="59">
        <f ca="1">AVERAGE(OFFSET($R$3,0,0,'Données projet'!$E$9+1,1))-AVERAGE(OFFSET($H$3,0,0,'Données projet'!$E$9+1,1))</f>
        <v>374.44366443573398</v>
      </c>
      <c r="T73" s="59">
        <f t="shared" si="88"/>
        <v>250.47702091764884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7.2994555569865718E-6</v>
      </c>
      <c r="AC73" s="22">
        <f t="shared" si="57"/>
        <v>7.2994555569865718E-6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13.924999999999997</v>
      </c>
      <c r="AI73" s="13">
        <f>IF('Données projet'!$A$62&gt;35,AI72+AH73-AQ72,IF(A73&lt;'Données projet'!$A$62,$AF$205^A73,IF(A73='Données projet'!$A$62,'Données projet'!$B$62,AI72+AH73-AQ72)))</f>
        <v>400.0288461538463</v>
      </c>
      <c r="AJ73" s="13">
        <f>AI73*VLOOKUP('Données projet'!$B$10,Paramètres!$A$1:$I$89,3,0)*VLOOKUP('Données projet'!$B$10,Paramètres!$A$1:$I$89,5,0)</f>
        <v>187.21350000000007</v>
      </c>
      <c r="AK73" s="13">
        <f t="shared" si="89"/>
        <v>46.923368538674644</v>
      </c>
      <c r="AL73" s="20">
        <f t="shared" si="58"/>
        <v>407.78837937152508</v>
      </c>
      <c r="AM73" s="59">
        <f t="shared" si="59"/>
        <v>674.19392350853457</v>
      </c>
      <c r="AN73" s="59">
        <f ca="1">AVERAGE(OFFSET($AM$3,0,0,'Données projet'!$E$10+1,1))-AVERAGE(OFFSET($H$3,0,0,'Données projet'!$E$10+1,1))</f>
        <v>325.51141702511984</v>
      </c>
      <c r="AO73" s="59">
        <f t="shared" si="90"/>
        <v>280.04509991782709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#VALUE!</v>
      </c>
      <c r="AV73" s="21" t="e">
        <f>EXP(-LN(2)/25)*AV72+(1-EXP(-LN(2)/25))/(LN(2)/25)*Calculateur!AQ73*Calculateur!AS73*VLOOKUP('Données projet'!$B$10,Paramètres!$A$1:$I$89,3,0)*0.475*44/12</f>
        <v>#VALUE!</v>
      </c>
      <c r="AW73" s="21" t="e">
        <f>EXP(-LN(2)/2)*AW72+(1-EXP(-LN(2)/2))/(LN(2)/2)*AQ73*AT73*VLOOKUP('Données projet'!$B$10,Paramètres!$A$1:$I$89,3,0)*0.475*44/12</f>
        <v>#VALUE!</v>
      </c>
      <c r="AX73" s="21" t="e">
        <f t="shared" si="60"/>
        <v>#VALUE!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227.10000000000025</v>
      </c>
      <c r="O74" s="13">
        <f>N74*VLOOKUP('Données projet'!$B$9,Paramètres!$A$1:$I$89,3,0)*VLOOKUP('Données projet'!$B$9,Paramètres!$A$1:$I$89,5,0)</f>
        <v>205.48008000000021</v>
      </c>
      <c r="P74" s="13">
        <f t="shared" si="87"/>
        <v>50.9466221581852</v>
      </c>
      <c r="Q74" s="20">
        <f t="shared" si="54"/>
        <v>446.60983959217293</v>
      </c>
      <c r="R74" s="59">
        <f t="shared" si="55"/>
        <v>713.48252067022088</v>
      </c>
      <c r="S74" s="59">
        <f ca="1">AVERAGE(OFFSET($R$3,0,0,'Données projet'!$E$9+1,1))-AVERAGE(OFFSET($H$3,0,0,'Données projet'!$E$9+1,1))</f>
        <v>374.44366443573398</v>
      </c>
      <c r="T74" s="59">
        <f t="shared" si="88"/>
        <v>250.47702091764884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5.1614945233150329E-6</v>
      </c>
      <c r="AC74" s="22">
        <f t="shared" si="57"/>
        <v>5.1614945233150329E-6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413.95384615384614</v>
      </c>
      <c r="AG74" s="12">
        <f>VLOOKUP(A74,'Données projet'!$A$61:$I$81,9,0)</f>
        <v>13.924999999999997</v>
      </c>
      <c r="AH74" s="12">
        <f t="array" ref="AH74">INDEX(AG:AG,MIN(IF(ISNUMBER(AG74:AG270),ROW(AG74:AG270),"")))</f>
        <v>13.924999999999997</v>
      </c>
      <c r="AI74" s="13">
        <f>IF('Données projet'!$A$62&gt;35,AI73+AH74-AQ73,IF(A74&lt;'Données projet'!$A$62,$AF$205^A74,IF(A74='Données projet'!$A$62,'Données projet'!$B$62,AI73+AH74-AQ73)))</f>
        <v>413.95384615384631</v>
      </c>
      <c r="AJ74" s="13">
        <f>AI74*VLOOKUP('Données projet'!$B$10,Paramètres!$A$1:$I$89,3,0)*VLOOKUP('Données projet'!$B$10,Paramètres!$A$1:$I$89,5,0)</f>
        <v>193.73040000000006</v>
      </c>
      <c r="AK74" s="13">
        <f t="shared" si="89"/>
        <v>48.363755728631737</v>
      </c>
      <c r="AL74" s="20">
        <f t="shared" si="58"/>
        <v>421.647321227367</v>
      </c>
      <c r="AM74" s="59">
        <f t="shared" si="59"/>
        <v>688.52000230541489</v>
      </c>
      <c r="AN74" s="59">
        <f ca="1">AVERAGE(OFFSET($AM$3,0,0,'Données projet'!$E$10+1,1))-AVERAGE(OFFSET($H$3,0,0,'Données projet'!$E$10+1,1))</f>
        <v>325.51141702511984</v>
      </c>
      <c r="AO74" s="59">
        <f t="shared" si="90"/>
        <v>280.04509991782709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80.399999999999991</v>
      </c>
      <c r="AR74" s="16" t="e">
        <f>IF(ISNA(VLOOKUP(A74,'Données projet'!$A$61:$I$81,5,0)),0%,VLOOKUP(A74,'Données projet'!$A$61:$I$81,5,0)*VLOOKUP('Données projet'!$B$10,Paramètres!$A$1:$I$89,7,0))</f>
        <v>#VALUE!</v>
      </c>
      <c r="AS74" s="16" t="e">
        <f>IF(ISNA(VLOOKUP(A74,'Données projet'!$A$61:$I$81,6,0)),0%,VLOOKUP(A74,'Données projet'!$A$61:$I$81,6,0)*VLOOKUP('Données projet'!$B$10,Paramètres!$A$1:$I$89,7,0))</f>
        <v>#VALUE!</v>
      </c>
      <c r="AT74" s="16" t="str">
        <f>IF(ISNA(VLOOKUP(A74,'Données projet'!$A$61:$I$81,7,0)),0%,VLOOKUP(A74,'Données projet'!$A$61:$I$81,7,0))</f>
        <v/>
      </c>
      <c r="AU74" s="21" t="e">
        <f>EXP(-LN(2)/35)*AU73+(1-EXP(-LN(2)/35))/(LN(2)/35)*AQ74*AR74*VLOOKUP('Données projet'!$B$10,Paramètres!$A$1:$I$89,3,0)*0.475*44/12</f>
        <v>#VALUE!</v>
      </c>
      <c r="AV74" s="21" t="e">
        <f>EXP(-LN(2)/25)*AV73+(1-EXP(-LN(2)/25))/(LN(2)/25)*Calculateur!AQ74*Calculateur!AS74*VLOOKUP('Données projet'!$B$10,Paramètres!$A$1:$I$89,3,0)*0.475*44/12</f>
        <v>#VALUE!</v>
      </c>
      <c r="AW74" s="21" t="e">
        <f>EXP(-LN(2)/2)*AW73+(1-EXP(-LN(2)/2))/(LN(2)/2)*AQ74*AT74*VLOOKUP('Données projet'!$B$10,Paramètres!$A$1:$I$89,3,0)*0.475*44/12</f>
        <v>#VALUE!</v>
      </c>
      <c r="AX74" s="21" t="e">
        <f t="shared" si="60"/>
        <v>#VALUE!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233.20000000000024</v>
      </c>
      <c r="O75" s="13">
        <f>N75*VLOOKUP('Données projet'!$B$9,Paramètres!$A$1:$I$89,3,0)*VLOOKUP('Données projet'!$B$9,Paramètres!$A$1:$I$89,5,0)</f>
        <v>210.99936000000022</v>
      </c>
      <c r="P75" s="13">
        <f t="shared" si="87"/>
        <v>52.153910623486716</v>
      </c>
      <c r="Q75" s="20">
        <f t="shared" si="54"/>
        <v>458.32527966923976</v>
      </c>
      <c r="R75" s="59">
        <f t="shared" si="55"/>
        <v>725.65699390676082</v>
      </c>
      <c r="S75" s="59">
        <f ca="1">AVERAGE(OFFSET($R$3,0,0,'Données projet'!$E$9+1,1))-AVERAGE(OFFSET($H$3,0,0,'Données projet'!$E$9+1,1))</f>
        <v>374.44366443573398</v>
      </c>
      <c r="T75" s="59">
        <f t="shared" si="88"/>
        <v>250.47702091764884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3.6497277784932867E-6</v>
      </c>
      <c r="AC75" s="22">
        <f t="shared" si="57"/>
        <v>3.6497277784932867E-6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12.782692307692301</v>
      </c>
      <c r="AI75" s="13">
        <f>IF('Données projet'!$A$62&gt;35,AI74+AH75-AQ74,IF(A75&lt;'Données projet'!$A$62,$AF$205^A75,IF(A75='Données projet'!$A$62,'Données projet'!$B$62,AI74+AH75-AQ74)))</f>
        <v>346.33653846153862</v>
      </c>
      <c r="AJ75" s="13">
        <f>AI75*VLOOKUP('Données projet'!$B$10,Paramètres!$A$1:$I$89,3,0)*VLOOKUP('Données projet'!$B$10,Paramètres!$A$1:$I$89,5,0)</f>
        <v>162.08550000000008</v>
      </c>
      <c r="AK75" s="13">
        <f t="shared" si="89"/>
        <v>41.31255063362417</v>
      </c>
      <c r="AL75" s="20">
        <f t="shared" si="58"/>
        <v>354.25160485356218</v>
      </c>
      <c r="AM75" s="59">
        <f t="shared" si="59"/>
        <v>621.58331909108324</v>
      </c>
      <c r="AN75" s="59">
        <f ca="1">AVERAGE(OFFSET($AM$3,0,0,'Données projet'!$E$10+1,1))-AVERAGE(OFFSET($H$3,0,0,'Données projet'!$E$10+1,1))</f>
        <v>325.51141702511984</v>
      </c>
      <c r="AO75" s="59">
        <f t="shared" si="90"/>
        <v>280.04509991782709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#VALUE!</v>
      </c>
      <c r="AV75" s="21" t="e">
        <f>EXP(-LN(2)/25)*AV74+(1-EXP(-LN(2)/25))/(LN(2)/25)*Calculateur!AQ75*Calculateur!AS75*VLOOKUP('Données projet'!$B$10,Paramètres!$A$1:$I$89,3,0)*0.475*44/12</f>
        <v>#VALUE!</v>
      </c>
      <c r="AW75" s="21" t="e">
        <f>EXP(-LN(2)/2)*AW74+(1-EXP(-LN(2)/2))/(LN(2)/2)*AQ75*AT75*VLOOKUP('Données projet'!$B$10,Paramètres!$A$1:$I$89,3,0)*0.475*44/12</f>
        <v>#VALUE!</v>
      </c>
      <c r="AX75" s="21" t="e">
        <f t="shared" si="60"/>
        <v>#VALUE!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239.30000000000024</v>
      </c>
      <c r="O76" s="13">
        <f>N76*VLOOKUP('Données projet'!$B$9,Paramètres!$A$1:$I$89,3,0)*VLOOKUP('Données projet'!$B$9,Paramètres!$A$1:$I$89,5,0)</f>
        <v>216.5186400000002</v>
      </c>
      <c r="P76" s="13">
        <f t="shared" si="87"/>
        <v>53.357528323079173</v>
      </c>
      <c r="Q76" s="20">
        <f t="shared" si="54"/>
        <v>470.03432649602991</v>
      </c>
      <c r="R76" s="59">
        <f t="shared" si="55"/>
        <v>737.81711069395169</v>
      </c>
      <c r="S76" s="59">
        <f ca="1">AVERAGE(OFFSET($R$3,0,0,'Données projet'!$E$9+1,1))-AVERAGE(OFFSET($H$3,0,0,'Données projet'!$E$9+1,1))</f>
        <v>374.44366443573398</v>
      </c>
      <c r="T76" s="59">
        <f t="shared" si="88"/>
        <v>250.47702091764884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2.5807472616575169E-6</v>
      </c>
      <c r="AC76" s="22">
        <f t="shared" si="57"/>
        <v>2.5807472616575169E-6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12.782692307692301</v>
      </c>
      <c r="AI76" s="13">
        <f>IF('Données projet'!$A$62&gt;35,AI75+AH76-AQ75,IF(A76&lt;'Données projet'!$A$62,$AF$205^A76,IF(A76='Données projet'!$A$62,'Données projet'!$B$62,AI75+AH76-AQ75)))</f>
        <v>359.11923076923091</v>
      </c>
      <c r="AJ76" s="13">
        <f>AI76*VLOOKUP('Données projet'!$B$10,Paramètres!$A$1:$I$89,3,0)*VLOOKUP('Données projet'!$B$10,Paramètres!$A$1:$I$89,5,0)</f>
        <v>168.06780000000006</v>
      </c>
      <c r="AK76" s="13">
        <f t="shared" si="89"/>
        <v>42.656987582382385</v>
      </c>
      <c r="AL76" s="20">
        <f t="shared" si="58"/>
        <v>367.01233837264937</v>
      </c>
      <c r="AM76" s="59">
        <f t="shared" si="59"/>
        <v>634.79512257057115</v>
      </c>
      <c r="AN76" s="59">
        <f ca="1">AVERAGE(OFFSET($AM$3,0,0,'Données projet'!$E$10+1,1))-AVERAGE(OFFSET($H$3,0,0,'Données projet'!$E$10+1,1))</f>
        <v>325.51141702511984</v>
      </c>
      <c r="AO76" s="59">
        <f t="shared" si="90"/>
        <v>280.04509991782709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#VALUE!</v>
      </c>
      <c r="AV76" s="21" t="e">
        <f>EXP(-LN(2)/25)*AV75+(1-EXP(-LN(2)/25))/(LN(2)/25)*Calculateur!AQ76*Calculateur!AS76*VLOOKUP('Données projet'!$B$10,Paramètres!$A$1:$I$89,3,0)*0.475*44/12</f>
        <v>#VALUE!</v>
      </c>
      <c r="AW76" s="21" t="e">
        <f>EXP(-LN(2)/2)*AW75+(1-EXP(-LN(2)/2))/(LN(2)/2)*AQ76*AT76*VLOOKUP('Données projet'!$B$10,Paramètres!$A$1:$I$89,3,0)*0.475*44/12</f>
        <v>#VALUE!</v>
      </c>
      <c r="AX76" s="21" t="e">
        <f t="shared" si="60"/>
        <v>#VALUE!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245.40000000000023</v>
      </c>
      <c r="O77" s="13">
        <f>N77*VLOOKUP('Données projet'!$B$9,Paramètres!$A$1:$I$89,3,0)*VLOOKUP('Données projet'!$B$9,Paramètres!$A$1:$I$89,5,0)</f>
        <v>222.03792000000021</v>
      </c>
      <c r="P77" s="13">
        <f t="shared" si="87"/>
        <v>54.557579588273143</v>
      </c>
      <c r="Q77" s="20">
        <f t="shared" si="54"/>
        <v>481.73716178290942</v>
      </c>
      <c r="R77" s="59">
        <f t="shared" si="55"/>
        <v>749.96319088586029</v>
      </c>
      <c r="S77" s="59">
        <f ca="1">AVERAGE(OFFSET($R$3,0,0,'Données projet'!$E$9+1,1))-AVERAGE(OFFSET($H$3,0,0,'Données projet'!$E$9+1,1))</f>
        <v>374.44366443573398</v>
      </c>
      <c r="T77" s="59">
        <f t="shared" si="88"/>
        <v>250.47702091764884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1.8248638892466436E-6</v>
      </c>
      <c r="AC77" s="22">
        <f t="shared" si="57"/>
        <v>1.8248638892466436E-6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12.782692307692301</v>
      </c>
      <c r="AI77" s="13">
        <f>IF('Données projet'!$A$62&gt;35,AI76+AH77-AQ76,IF(A77&lt;'Données projet'!$A$62,$AF$205^A77,IF(A77='Données projet'!$A$62,'Données projet'!$B$62,AI76+AH77-AQ76)))</f>
        <v>371.9019230769232</v>
      </c>
      <c r="AJ77" s="13">
        <f>AI77*VLOOKUP('Données projet'!$B$10,Paramètres!$A$1:$I$89,3,0)*VLOOKUP('Données projet'!$B$10,Paramètres!$A$1:$I$89,5,0)</f>
        <v>174.05010000000007</v>
      </c>
      <c r="AK77" s="13">
        <f t="shared" si="89"/>
        <v>43.995864533580125</v>
      </c>
      <c r="AL77" s="20">
        <f t="shared" si="58"/>
        <v>379.76338822931876</v>
      </c>
      <c r="AM77" s="59">
        <f t="shared" si="59"/>
        <v>647.98941733226957</v>
      </c>
      <c r="AN77" s="59">
        <f ca="1">AVERAGE(OFFSET($AM$3,0,0,'Données projet'!$E$10+1,1))-AVERAGE(OFFSET($H$3,0,0,'Données projet'!$E$10+1,1))</f>
        <v>325.51141702511984</v>
      </c>
      <c r="AO77" s="59">
        <f t="shared" si="90"/>
        <v>280.04509991782709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#VALUE!</v>
      </c>
      <c r="AV77" s="21" t="e">
        <f>EXP(-LN(2)/25)*AV76+(1-EXP(-LN(2)/25))/(LN(2)/25)*Calculateur!AQ77*Calculateur!AS77*VLOOKUP('Données projet'!$B$10,Paramètres!$A$1:$I$89,3,0)*0.475*44/12</f>
        <v>#VALUE!</v>
      </c>
      <c r="AW77" s="21" t="e">
        <f>EXP(-LN(2)/2)*AW76+(1-EXP(-LN(2)/2))/(LN(2)/2)*AQ77*AT77*VLOOKUP('Données projet'!$B$10,Paramètres!$A$1:$I$89,3,0)*0.475*44/12</f>
        <v>#VALUE!</v>
      </c>
      <c r="AX77" s="21" t="e">
        <f t="shared" si="60"/>
        <v>#VALUE!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251.50000000000023</v>
      </c>
      <c r="O78" s="13">
        <f>N78*VLOOKUP('Données projet'!$B$9,Paramètres!$A$1:$I$89,3,0)*VLOOKUP('Données projet'!$B$9,Paramètres!$A$1:$I$89,5,0)</f>
        <v>227.55720000000019</v>
      </c>
      <c r="P78" s="13">
        <f t="shared" si="87"/>
        <v>55.754163267932753</v>
      </c>
      <c r="Q78" s="20">
        <f t="shared" si="54"/>
        <v>493.43395769164994</v>
      </c>
      <c r="R78" s="59">
        <f t="shared" si="55"/>
        <v>762.09554239147474</v>
      </c>
      <c r="S78" s="59">
        <f ca="1">AVERAGE(OFFSET($R$3,0,0,'Données projet'!$E$9+1,1))-AVERAGE(OFFSET($H$3,0,0,'Données projet'!$E$9+1,1))</f>
        <v>374.44366443573398</v>
      </c>
      <c r="T78" s="59">
        <f t="shared" si="88"/>
        <v>250.47702091764884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1.2903736308287587E-6</v>
      </c>
      <c r="AC78" s="22">
        <f t="shared" si="57"/>
        <v>1.2903736308287587E-6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384.68461538461537</v>
      </c>
      <c r="AG78" s="12">
        <f>VLOOKUP(A78,'Données projet'!$A$61:$I$81,9,0)</f>
        <v>12.782692307692301</v>
      </c>
      <c r="AH78" s="12">
        <f t="array" ref="AH78">INDEX(AG:AG,MIN(IF(ISNUMBER(AG78:AG274),ROW(AG78:AG274),"")))</f>
        <v>12.782692307692301</v>
      </c>
      <c r="AI78" s="13">
        <f>IF('Données projet'!$A$62&gt;35,AI77+AH78-AQ77,IF(A78&lt;'Données projet'!$A$62,$AF$205^A78,IF(A78='Données projet'!$A$62,'Données projet'!$B$62,AI77+AH78-AQ77)))</f>
        <v>384.68461538461548</v>
      </c>
      <c r="AJ78" s="13">
        <f>AI78*VLOOKUP('Données projet'!$B$10,Paramètres!$A$1:$I$89,3,0)*VLOOKUP('Données projet'!$B$10,Paramètres!$A$1:$I$89,5,0)</f>
        <v>180.03240000000002</v>
      </c>
      <c r="AK78" s="13">
        <f t="shared" si="89"/>
        <v>45.329394494119278</v>
      </c>
      <c r="AL78" s="20">
        <f t="shared" si="58"/>
        <v>392.50512541059106</v>
      </c>
      <c r="AM78" s="59">
        <f t="shared" si="59"/>
        <v>661.16671011041581</v>
      </c>
      <c r="AN78" s="59">
        <f ca="1">AVERAGE(OFFSET($AM$3,0,0,'Données projet'!$E$10+1,1))-AVERAGE(OFFSET($H$3,0,0,'Données projet'!$E$10+1,1))</f>
        <v>325.51141702511984</v>
      </c>
      <c r="AO78" s="59">
        <f t="shared" si="90"/>
        <v>280.04509991782709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 t="e">
        <f>IF(ISNA(VLOOKUP(A78,'Données projet'!$A$61:$I$81,5,0)),0%,VLOOKUP(A78,'Données projet'!$A$61:$I$81,5,0)*VLOOKUP('Données projet'!$B$10,Paramètres!$A$1:$I$89,7,0))</f>
        <v>#VALUE!</v>
      </c>
      <c r="AS78" s="16" t="e">
        <f>IF(ISNA(VLOOKUP(A78,'Données projet'!$A$61:$I$81,6,0)),0%,VLOOKUP(A78,'Données projet'!$A$61:$I$81,6,0)*VLOOKUP('Données projet'!$B$10,Paramètres!$A$1:$I$89,7,0))</f>
        <v>#VALUE!</v>
      </c>
      <c r="AT78" s="16" t="str">
        <f>IF(ISNA(VLOOKUP(A78,'Données projet'!$A$61:$I$81,7,0)),0%,VLOOKUP(A78,'Données projet'!$A$61:$I$81,7,0))</f>
        <v/>
      </c>
      <c r="AU78" s="21" t="e">
        <f>EXP(-LN(2)/35)*AU77+(1-EXP(-LN(2)/35))/(LN(2)/35)*AQ78*AR78*VLOOKUP('Données projet'!$B$10,Paramètres!$A$1:$I$89,3,0)*0.475*44/12</f>
        <v>#VALUE!</v>
      </c>
      <c r="AV78" s="21" t="e">
        <f>EXP(-LN(2)/25)*AV77+(1-EXP(-LN(2)/25))/(LN(2)/25)*Calculateur!AQ78*Calculateur!AS78*VLOOKUP('Données projet'!$B$10,Paramètres!$A$1:$I$89,3,0)*0.475*44/12</f>
        <v>#VALUE!</v>
      </c>
      <c r="AW78" s="21" t="e">
        <f>EXP(-LN(2)/2)*AW77+(1-EXP(-LN(2)/2))/(LN(2)/2)*AQ78*AT78*VLOOKUP('Données projet'!$B$10,Paramètres!$A$1:$I$89,3,0)*0.475*44/12</f>
        <v>#VALUE!</v>
      </c>
      <c r="AX78" s="21" t="e">
        <f t="shared" si="60"/>
        <v>#VALUE!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257.60000000000025</v>
      </c>
      <c r="O79" s="13">
        <f>N79*VLOOKUP('Données projet'!$B$9,Paramètres!$A$1:$I$89,3,0)*VLOOKUP('Données projet'!$B$9,Paramètres!$A$1:$I$89,5,0)</f>
        <v>233.0764800000002</v>
      </c>
      <c r="P79" s="13">
        <f t="shared" si="87"/>
        <v>56.947373142454929</v>
      </c>
      <c r="Q79" s="20">
        <f t="shared" si="54"/>
        <v>505.1248775564427</v>
      </c>
      <c r="R79" s="59">
        <f t="shared" si="55"/>
        <v>774.21446193729207</v>
      </c>
      <c r="S79" s="59">
        <f ca="1">AVERAGE(OFFSET($R$3,0,0,'Données projet'!$E$9+1,1))-AVERAGE(OFFSET($H$3,0,0,'Données projet'!$E$9+1,1))</f>
        <v>374.44366443573398</v>
      </c>
      <c r="T79" s="59">
        <f t="shared" si="88"/>
        <v>250.47702091764884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9.12431944623322E-7</v>
      </c>
      <c r="AC79" s="22">
        <f t="shared" si="57"/>
        <v>9.12431944623322E-7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13.044230769230765</v>
      </c>
      <c r="AI79" s="13">
        <f>IF('Données projet'!$A$62&gt;35,AI78+AH79-AQ78,IF(A79&lt;'Données projet'!$A$62,$AF$205^A79,IF(A79='Données projet'!$A$62,'Données projet'!$B$62,AI78+AH79-AQ78)))</f>
        <v>397.72884615384623</v>
      </c>
      <c r="AJ79" s="13">
        <f>AI79*VLOOKUP('Données projet'!$B$10,Paramètres!$A$1:$I$89,3,0)*VLOOKUP('Données projet'!$B$10,Paramètres!$A$1:$I$89,5,0)</f>
        <v>186.13710000000006</v>
      </c>
      <c r="AK79" s="13">
        <f t="shared" si="89"/>
        <v>46.68490223002113</v>
      </c>
      <c r="AL79" s="20">
        <f t="shared" si="58"/>
        <v>405.49832055062024</v>
      </c>
      <c r="AM79" s="59">
        <f t="shared" si="59"/>
        <v>674.58790493146967</v>
      </c>
      <c r="AN79" s="59">
        <f ca="1">AVERAGE(OFFSET($AM$3,0,0,'Données projet'!$E$10+1,1))-AVERAGE(OFFSET($H$3,0,0,'Données projet'!$E$10+1,1))</f>
        <v>325.51141702511984</v>
      </c>
      <c r="AO79" s="59">
        <f t="shared" si="90"/>
        <v>280.04509991782709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#VALUE!</v>
      </c>
      <c r="AV79" s="21" t="e">
        <f>EXP(-LN(2)/25)*AV78+(1-EXP(-LN(2)/25))/(LN(2)/25)*Calculateur!AQ79*Calculateur!AS79*VLOOKUP('Données projet'!$B$10,Paramètres!$A$1:$I$89,3,0)*0.475*44/12</f>
        <v>#VALUE!</v>
      </c>
      <c r="AW79" s="21" t="e">
        <f>EXP(-LN(2)/2)*AW78+(1-EXP(-LN(2)/2))/(LN(2)/2)*AQ79*AT79*VLOOKUP('Données projet'!$B$10,Paramètres!$A$1:$I$89,3,0)*0.475*44/12</f>
        <v>#VALUE!</v>
      </c>
      <c r="AX79" s="21" t="e">
        <f t="shared" si="60"/>
        <v>#VALUE!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263.70000000000027</v>
      </c>
      <c r="O80" s="13">
        <f>N80*VLOOKUP('Données projet'!$B$9,Paramètres!$A$1:$I$89,3,0)*VLOOKUP('Données projet'!$B$9,Paramètres!$A$1:$I$89,5,0)</f>
        <v>238.59576000000024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786.3202357589646</v>
      </c>
      <c r="S80" s="59">
        <f ca="1">AVERAGE(OFFSET($R$3,0,0,'Données projet'!$E$9+1,1))-AVERAGE(OFFSET($H$3,0,0,'Données projet'!$E$9+1,1))</f>
        <v>374.44366443573398</v>
      </c>
      <c r="T80" s="59">
        <f t="shared" si="88"/>
        <v>250.47702091764884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6.4518681541437943E-7</v>
      </c>
      <c r="AC80" s="22">
        <f t="shared" si="57"/>
        <v>6.4518681541437943E-7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13.044230769230765</v>
      </c>
      <c r="AI80" s="13">
        <f>IF('Données projet'!$A$62&gt;35,AI79+AH80-AQ79,IF(A80&lt;'Données projet'!$A$62,$AF$205^A80,IF(A80='Données projet'!$A$62,'Données projet'!$B$62,AI79+AH80-AQ79)))</f>
        <v>410.77307692307699</v>
      </c>
      <c r="AJ80" s="13">
        <f>AI80*VLOOKUP('Données projet'!$B$10,Paramètres!$A$1:$I$89,3,0)*VLOOKUP('Données projet'!$B$10,Paramètres!$A$1:$I$89,5,0)</f>
        <v>192.24180000000004</v>
      </c>
      <c r="AK80" s="13">
        <f t="shared" si="89"/>
        <v>48.035244138208888</v>
      </c>
      <c r="AL80" s="20">
        <f t="shared" si="58"/>
        <v>418.4825185407139</v>
      </c>
      <c r="AM80" s="59">
        <f t="shared" si="59"/>
        <v>687.99267776498618</v>
      </c>
      <c r="AN80" s="59">
        <f ca="1">AVERAGE(OFFSET($AM$3,0,0,'Données projet'!$E$10+1,1))-AVERAGE(OFFSET($H$3,0,0,'Données projet'!$E$10+1,1))</f>
        <v>325.51141702511984</v>
      </c>
      <c r="AO80" s="59">
        <f t="shared" si="90"/>
        <v>280.04509991782709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#VALUE!</v>
      </c>
      <c r="AV80" s="21" t="e">
        <f>EXP(-LN(2)/25)*AV79+(1-EXP(-LN(2)/25))/(LN(2)/25)*Calculateur!AQ80*Calculateur!AS80*VLOOKUP('Données projet'!$B$10,Paramètres!$A$1:$I$89,3,0)*0.475*44/12</f>
        <v>#VALUE!</v>
      </c>
      <c r="AW80" s="21" t="e">
        <f>EXP(-LN(2)/2)*AW79+(1-EXP(-LN(2)/2))/(LN(2)/2)*AQ80*AT80*VLOOKUP('Données projet'!$B$10,Paramètres!$A$1:$I$89,3,0)*0.475*44/12</f>
        <v>#VALUE!</v>
      </c>
      <c r="AX80" s="21" t="e">
        <f t="shared" si="60"/>
        <v>#VALUE!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269.8000000000003</v>
      </c>
      <c r="O81" s="13">
        <f>N81*VLOOKUP('Données projet'!$B$9,Paramètres!$A$1:$I$89,3,0)*VLOOKUP('Données projet'!$B$9,Paramètres!$A$1:$I$89,5,0)</f>
        <v>244.11504000000025</v>
      </c>
      <c r="P81" s="13">
        <f t="shared" si="87"/>
        <v>59.324023461759118</v>
      </c>
      <c r="Q81" s="20">
        <f t="shared" si="54"/>
        <v>528.48970219589762</v>
      </c>
      <c r="R81" s="59">
        <f t="shared" si="55"/>
        <v>798.41314023032385</v>
      </c>
      <c r="S81" s="59">
        <f ca="1">AVERAGE(OFFSET($R$3,0,0,'Données projet'!$E$9+1,1))-AVERAGE(OFFSET($H$3,0,0,'Données projet'!$E$9+1,1))</f>
        <v>374.44366443573398</v>
      </c>
      <c r="T81" s="59">
        <f t="shared" si="88"/>
        <v>250.47702091764884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4.5621597231166105E-7</v>
      </c>
      <c r="AC81" s="22">
        <f t="shared" si="57"/>
        <v>4.5621597231166105E-7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13.044230769230765</v>
      </c>
      <c r="AI81" s="13">
        <f>IF('Données projet'!$A$62&gt;35,AI80+AH81-AQ80,IF(A81&lt;'Données projet'!$A$62,$AF$205^A81,IF(A81='Données projet'!$A$62,'Données projet'!$B$62,AI80+AH81-AQ80)))</f>
        <v>423.81730769230774</v>
      </c>
      <c r="AJ81" s="13">
        <f>AI81*VLOOKUP('Données projet'!$B$10,Paramètres!$A$1:$I$89,3,0)*VLOOKUP('Données projet'!$B$10,Paramètres!$A$1:$I$89,5,0)</f>
        <v>198.34650000000002</v>
      </c>
      <c r="AK81" s="13">
        <f t="shared" si="89"/>
        <v>49.380603080072333</v>
      </c>
      <c r="AL81" s="20">
        <f t="shared" si="58"/>
        <v>431.45803786445936</v>
      </c>
      <c r="AM81" s="59">
        <f t="shared" si="59"/>
        <v>701.38147589888558</v>
      </c>
      <c r="AN81" s="59">
        <f ca="1">AVERAGE(OFFSET($AM$3,0,0,'Données projet'!$E$10+1,1))-AVERAGE(OFFSET($H$3,0,0,'Données projet'!$E$10+1,1))</f>
        <v>325.51141702511984</v>
      </c>
      <c r="AO81" s="59">
        <f t="shared" si="90"/>
        <v>280.04509991782709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#VALUE!</v>
      </c>
      <c r="AV81" s="21" t="e">
        <f>EXP(-LN(2)/25)*AV80+(1-EXP(-LN(2)/25))/(LN(2)/25)*Calculateur!AQ81*Calculateur!AS81*VLOOKUP('Données projet'!$B$10,Paramètres!$A$1:$I$89,3,0)*0.475*44/12</f>
        <v>#VALUE!</v>
      </c>
      <c r="AW81" s="21" t="e">
        <f>EXP(-LN(2)/2)*AW80+(1-EXP(-LN(2)/2))/(LN(2)/2)*AQ81*AT81*VLOOKUP('Données projet'!$B$10,Paramètres!$A$1:$I$89,3,0)*0.475*44/12</f>
        <v>#VALUE!</v>
      </c>
      <c r="AX81" s="21" t="e">
        <f t="shared" si="60"/>
        <v>#VALUE!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275.90000000000032</v>
      </c>
      <c r="O82" s="13">
        <f>N82*VLOOKUP('Données projet'!$B$9,Paramètres!$A$1:$I$89,3,0)*VLOOKUP('Données projet'!$B$9,Paramètres!$A$1:$I$89,5,0)</f>
        <v>249.63432000000026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810.49344243694873</v>
      </c>
      <c r="S82" s="59">
        <f ca="1">AVERAGE(OFFSET($R$3,0,0,'Données projet'!$E$9+1,1))-AVERAGE(OFFSET($H$3,0,0,'Données projet'!$E$9+1,1))</f>
        <v>374.44366443573398</v>
      </c>
      <c r="T82" s="59">
        <f t="shared" si="88"/>
        <v>250.47702091764884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3.2259340770718977E-7</v>
      </c>
      <c r="AC82" s="22">
        <f t="shared" si="57"/>
        <v>3.2259340770718977E-7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436.86153846153843</v>
      </c>
      <c r="AG82" s="12">
        <f>VLOOKUP(A82,'Données projet'!$A$61:$I$81,9,0)</f>
        <v>13.044230769230765</v>
      </c>
      <c r="AH82" s="12">
        <f t="array" ref="AH82">INDEX(AG:AG,MIN(IF(ISNUMBER(AG82:AG278),ROW(AG82:AG278),"")))</f>
        <v>13.044230769230765</v>
      </c>
      <c r="AI82" s="13">
        <f>IF('Données projet'!$A$62&gt;35,AI81+AH82-AQ81,IF(A82&lt;'Données projet'!$A$62,$AF$205^A82,IF(A82='Données projet'!$A$62,'Données projet'!$B$62,AI81+AH82-AQ81)))</f>
        <v>436.86153846153849</v>
      </c>
      <c r="AJ82" s="13">
        <f>AI82*VLOOKUP('Données projet'!$B$10,Paramètres!$A$1:$I$89,3,0)*VLOOKUP('Données projet'!$B$10,Paramètres!$A$1:$I$89,5,0)</f>
        <v>204.4512</v>
      </c>
      <c r="AK82" s="13">
        <f t="shared" si="89"/>
        <v>50.72115002130591</v>
      </c>
      <c r="AL82" s="20">
        <f t="shared" si="58"/>
        <v>444.42517628710772</v>
      </c>
      <c r="AM82" s="59">
        <f t="shared" si="59"/>
        <v>714.75472366828467</v>
      </c>
      <c r="AN82" s="59">
        <f ca="1">AVERAGE(OFFSET($AM$3,0,0,'Données projet'!$E$10+1,1))-AVERAGE(OFFSET($H$3,0,0,'Données projet'!$E$10+1,1))</f>
        <v>325.51141702511984</v>
      </c>
      <c r="AO82" s="59">
        <f t="shared" si="90"/>
        <v>280.04509991782709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77.338461538461544</v>
      </c>
      <c r="AR82" s="16" t="e">
        <f>IF(ISNA(VLOOKUP(A82,'Données projet'!$A$61:$I$81,5,0)),0%,VLOOKUP(A82,'Données projet'!$A$61:$I$81,5,0)*VLOOKUP('Données projet'!$B$10,Paramètres!$A$1:$I$89,7,0))</f>
        <v>#VALUE!</v>
      </c>
      <c r="AS82" s="16" t="e">
        <f>IF(ISNA(VLOOKUP(A82,'Données projet'!$A$61:$I$81,6,0)),0%,VLOOKUP(A82,'Données projet'!$A$61:$I$81,6,0)*VLOOKUP('Données projet'!$B$10,Paramètres!$A$1:$I$89,7,0))</f>
        <v>#VALUE!</v>
      </c>
      <c r="AT82" s="16" t="str">
        <f>IF(ISNA(VLOOKUP(A82,'Données projet'!$A$61:$I$81,7,0)),0%,VLOOKUP(A82,'Données projet'!$A$61:$I$81,7,0))</f>
        <v/>
      </c>
      <c r="AU82" s="21" t="e">
        <f>EXP(-LN(2)/35)*AU81+(1-EXP(-LN(2)/35))/(LN(2)/35)*AQ82*AR82*VLOOKUP('Données projet'!$B$10,Paramètres!$A$1:$I$89,3,0)*0.475*44/12</f>
        <v>#VALUE!</v>
      </c>
      <c r="AV82" s="21" t="e">
        <f>EXP(-LN(2)/25)*AV81+(1-EXP(-LN(2)/25))/(LN(2)/25)*Calculateur!AQ82*Calculateur!AS82*VLOOKUP('Données projet'!$B$10,Paramètres!$A$1:$I$89,3,0)*0.475*44/12</f>
        <v>#VALUE!</v>
      </c>
      <c r="AW82" s="21" t="e">
        <f>EXP(-LN(2)/2)*AW81+(1-EXP(-LN(2)/2))/(LN(2)/2)*AQ82*AT82*VLOOKUP('Données projet'!$B$10,Paramètres!$A$1:$I$89,3,0)*0.475*44/12</f>
        <v>#VALUE!</v>
      </c>
      <c r="AX82" s="21" t="e">
        <f t="shared" si="60"/>
        <v>#VALUE!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282.00000000000034</v>
      </c>
      <c r="O83" s="13">
        <f>N83*VLOOKUP('Données projet'!$B$9,Paramètres!$A$1:$I$89,3,0)*VLOOKUP('Données projet'!$B$9,Paramètres!$A$1:$I$89,5,0)</f>
        <v>255.15360000000027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822.561400700484</v>
      </c>
      <c r="S83" s="59">
        <f ca="1">AVERAGE(OFFSET($R$3,0,0,'Données projet'!$E$9+1,1))-AVERAGE(OFFSET($H$3,0,0,'Données projet'!$E$9+1,1))</f>
        <v>374.44366443573398</v>
      </c>
      <c r="T83" s="59">
        <f t="shared" si="88"/>
        <v>250.47702091764884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2.2810798615583055E-7</v>
      </c>
      <c r="AC83" s="22">
        <f t="shared" si="57"/>
        <v>2.2810798615583055E-7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12.053846153846152</v>
      </c>
      <c r="AI83" s="13">
        <f>IF('Données projet'!$A$62&gt;35,AI82+AH83-AQ82,IF(A83&lt;'Données projet'!$A$62,$AF$205^A83,IF(A83='Données projet'!$A$62,'Données projet'!$B$62,AI82+AH83-AQ82)))</f>
        <v>371.57692307692309</v>
      </c>
      <c r="AJ83" s="13">
        <f>AI83*VLOOKUP('Données projet'!$B$10,Paramètres!$A$1:$I$89,3,0)*VLOOKUP('Données projet'!$B$10,Paramètres!$A$1:$I$89,5,0)</f>
        <v>173.898</v>
      </c>
      <c r="AK83" s="13">
        <f t="shared" si="89"/>
        <v>43.961890696862454</v>
      </c>
      <c r="AL83" s="20">
        <f t="shared" si="58"/>
        <v>379.43930963036883</v>
      </c>
      <c r="AM83" s="59">
        <f t="shared" si="59"/>
        <v>650.16792126905489</v>
      </c>
      <c r="AN83" s="59">
        <f ca="1">AVERAGE(OFFSET($AM$3,0,0,'Données projet'!$E$10+1,1))-AVERAGE(OFFSET($H$3,0,0,'Données projet'!$E$10+1,1))</f>
        <v>325.51141702511984</v>
      </c>
      <c r="AO83" s="59">
        <f t="shared" si="90"/>
        <v>280.04509991782709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#VALUE!</v>
      </c>
      <c r="AV83" s="21" t="e">
        <f>EXP(-LN(2)/25)*AV82+(1-EXP(-LN(2)/25))/(LN(2)/25)*Calculateur!AQ83*Calculateur!AS83*VLOOKUP('Données projet'!$B$10,Paramètres!$A$1:$I$89,3,0)*0.475*44/12</f>
        <v>#VALUE!</v>
      </c>
      <c r="AW83" s="21" t="e">
        <f>EXP(-LN(2)/2)*AW82+(1-EXP(-LN(2)/2))/(LN(2)/2)*AQ83*AT83*VLOOKUP('Données projet'!$B$10,Paramètres!$A$1:$I$89,3,0)*0.475*44/12</f>
        <v>#VALUE!</v>
      </c>
      <c r="AX83" s="21" t="e">
        <f t="shared" si="60"/>
        <v>#VALUE!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245.60000000000036</v>
      </c>
      <c r="O84" s="13">
        <f>N84*VLOOKUP('Données projet'!$B$9,Paramètres!$A$1:$I$89,3,0)*VLOOKUP('Données projet'!$B$9,Paramètres!$A$1:$I$89,5,0)</f>
        <v>222.21888000000033</v>
      </c>
      <c r="P84" s="13">
        <f t="shared" si="87"/>
        <v>54.596866296848951</v>
      </c>
      <c r="Q84" s="20">
        <f t="shared" si="54"/>
        <v>482.12075813367915</v>
      </c>
      <c r="R84" s="59">
        <f t="shared" si="55"/>
        <v>753.24151115718064</v>
      </c>
      <c r="S84" s="59">
        <f ca="1">AVERAGE(OFFSET($R$3,0,0,'Données projet'!$E$9+1,1))-AVERAGE(OFFSET($H$3,0,0,'Données projet'!$E$9+1,1))</f>
        <v>374.44366443573398</v>
      </c>
      <c r="T84" s="59">
        <f t="shared" si="88"/>
        <v>250.47702091764884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1.6129670385359488E-7</v>
      </c>
      <c r="AC84" s="22">
        <f t="shared" si="57"/>
        <v>1.6129670385359488E-7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12.053846153846152</v>
      </c>
      <c r="AI84" s="13">
        <f>IF('Données projet'!$A$62&gt;35,AI83+AH84-AQ83,IF(A84&lt;'Données projet'!$A$62,$AF$205^A84,IF(A84='Données projet'!$A$62,'Données projet'!$B$62,AI83+AH84-AQ83)))</f>
        <v>383.63076923076926</v>
      </c>
      <c r="AJ84" s="13">
        <f>AI84*VLOOKUP('Données projet'!$B$10,Paramètres!$A$1:$I$89,3,0)*VLOOKUP('Données projet'!$B$10,Paramètres!$A$1:$I$89,5,0)</f>
        <v>179.53920000000002</v>
      </c>
      <c r="AK84" s="13">
        <f t="shared" si="89"/>
        <v>45.21965136714217</v>
      </c>
      <c r="AL84" s="20">
        <f t="shared" si="58"/>
        <v>391.45499946443937</v>
      </c>
      <c r="AM84" s="59">
        <f t="shared" si="59"/>
        <v>662.5757524879408</v>
      </c>
      <c r="AN84" s="59">
        <f ca="1">AVERAGE(OFFSET($AM$3,0,0,'Données projet'!$E$10+1,1))-AVERAGE(OFFSET($H$3,0,0,'Données projet'!$E$10+1,1))</f>
        <v>325.51141702511984</v>
      </c>
      <c r="AO84" s="59">
        <f t="shared" si="90"/>
        <v>280.04509991782709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#VALUE!</v>
      </c>
      <c r="AV84" s="21" t="e">
        <f>EXP(-LN(2)/25)*AV83+(1-EXP(-LN(2)/25))/(LN(2)/25)*Calculateur!AQ84*Calculateur!AS84*VLOOKUP('Données projet'!$B$10,Paramètres!$A$1:$I$89,3,0)*0.475*44/12</f>
        <v>#VALUE!</v>
      </c>
      <c r="AW84" s="21" t="e">
        <f>EXP(-LN(2)/2)*AW83+(1-EXP(-LN(2)/2))/(LN(2)/2)*AQ84*AT84*VLOOKUP('Données projet'!$B$10,Paramètres!$A$1:$I$89,3,0)*0.475*44/12</f>
        <v>#VALUE!</v>
      </c>
      <c r="AX84" s="21" t="e">
        <f t="shared" si="60"/>
        <v>#VALUE!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251.20000000000036</v>
      </c>
      <c r="O85" s="13">
        <f>N85*VLOOKUP('Données projet'!$B$9,Paramètres!$A$1:$I$89,3,0)*VLOOKUP('Données projet'!$B$9,Paramètres!$A$1:$I$89,5,0)</f>
        <v>227.28576000000032</v>
      </c>
      <c r="P85" s="13">
        <f t="shared" si="87"/>
        <v>55.695394520076427</v>
      </c>
      <c r="Q85" s="20">
        <f t="shared" si="54"/>
        <v>492.85884412246702</v>
      </c>
      <c r="R85" s="59">
        <f t="shared" si="55"/>
        <v>764.36493575445411</v>
      </c>
      <c r="S85" s="59">
        <f ca="1">AVERAGE(OFFSET($R$3,0,0,'Données projet'!$E$9+1,1))-AVERAGE(OFFSET($H$3,0,0,'Données projet'!$E$9+1,1))</f>
        <v>374.44366443573398</v>
      </c>
      <c r="T85" s="59">
        <f t="shared" si="88"/>
        <v>250.47702091764884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1.1405399307791528E-7</v>
      </c>
      <c r="AC85" s="22">
        <f t="shared" si="57"/>
        <v>1.1405399307791528E-7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12.053846153846152</v>
      </c>
      <c r="AI85" s="13">
        <f>IF('Données projet'!$A$62&gt;35,AI84+AH85-AQ84,IF(A85&lt;'Données projet'!$A$62,$AF$205^A85,IF(A85='Données projet'!$A$62,'Données projet'!$B$62,AI84+AH85-AQ84)))</f>
        <v>395.68461538461543</v>
      </c>
      <c r="AJ85" s="13">
        <f>AI85*VLOOKUP('Données projet'!$B$10,Paramètres!$A$1:$I$89,3,0)*VLOOKUP('Données projet'!$B$10,Paramètres!$A$1:$I$89,5,0)</f>
        <v>185.18039999999999</v>
      </c>
      <c r="AK85" s="13">
        <f t="shared" si="89"/>
        <v>46.472819583921257</v>
      </c>
      <c r="AL85" s="20">
        <f t="shared" si="58"/>
        <v>403.46269077532946</v>
      </c>
      <c r="AM85" s="59">
        <f t="shared" si="59"/>
        <v>674.96878240731644</v>
      </c>
      <c r="AN85" s="59">
        <f ca="1">AVERAGE(OFFSET($AM$3,0,0,'Données projet'!$E$10+1,1))-AVERAGE(OFFSET($H$3,0,0,'Données projet'!$E$10+1,1))</f>
        <v>325.51141702511984</v>
      </c>
      <c r="AO85" s="59">
        <f t="shared" si="90"/>
        <v>280.04509991782709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#VALUE!</v>
      </c>
      <c r="AV85" s="21" t="e">
        <f>EXP(-LN(2)/25)*AV84+(1-EXP(-LN(2)/25))/(LN(2)/25)*Calculateur!AQ85*Calculateur!AS85*VLOOKUP('Données projet'!$B$10,Paramètres!$A$1:$I$89,3,0)*0.475*44/12</f>
        <v>#VALUE!</v>
      </c>
      <c r="AW85" s="21" t="e">
        <f>EXP(-LN(2)/2)*AW84+(1-EXP(-LN(2)/2))/(LN(2)/2)*AQ85*AT85*VLOOKUP('Données projet'!$B$10,Paramètres!$A$1:$I$89,3,0)*0.475*44/12</f>
        <v>#VALUE!</v>
      </c>
      <c r="AX85" s="21" t="e">
        <f t="shared" si="60"/>
        <v>#VALUE!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256.80000000000035</v>
      </c>
      <c r="O86" s="13">
        <f>N86*VLOOKUP('Données projet'!$B$9,Paramètres!$A$1:$I$89,3,0)*VLOOKUP('Données projet'!$B$9,Paramètres!$A$1:$I$89,5,0)</f>
        <v>232.35264000000029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775.47671683737076</v>
      </c>
      <c r="S86" s="59">
        <f ca="1">AVERAGE(OFFSET($R$3,0,0,'Données projet'!$E$9+1,1))-AVERAGE(OFFSET($H$3,0,0,'Données projet'!$E$9+1,1))</f>
        <v>374.44366443573398</v>
      </c>
      <c r="T86" s="59">
        <f t="shared" si="88"/>
        <v>250.47702091764884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8.0648351926797442E-8</v>
      </c>
      <c r="AC86" s="22">
        <f t="shared" si="57"/>
        <v>8.0648351926797442E-8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407.73846153846148</v>
      </c>
      <c r="AG86" s="12">
        <f>VLOOKUP(A86,'Données projet'!$A$61:$I$81,9,0)</f>
        <v>12.053846153846152</v>
      </c>
      <c r="AH86" s="12">
        <f t="array" ref="AH86">INDEX(AG:AG,MIN(IF(ISNUMBER(AG86:AG282),ROW(AG86:AG282),"")))</f>
        <v>12.053846153846152</v>
      </c>
      <c r="AI86" s="13">
        <f>IF('Données projet'!$A$62&gt;35,AI85+AH86-AQ85,IF(A86&lt;'Données projet'!$A$62,$AF$205^A86,IF(A86='Données projet'!$A$62,'Données projet'!$B$62,AI85+AH86-AQ85)))</f>
        <v>407.73846153846159</v>
      </c>
      <c r="AJ86" s="13">
        <f>AI86*VLOOKUP('Données projet'!$B$10,Paramètres!$A$1:$I$89,3,0)*VLOOKUP('Données projet'!$B$10,Paramètres!$A$1:$I$89,5,0)</f>
        <v>190.82160000000002</v>
      </c>
      <c r="AK86" s="13">
        <f t="shared" si="89"/>
        <v>47.721551305172831</v>
      </c>
      <c r="AL86" s="20">
        <f t="shared" si="58"/>
        <v>415.46265518984268</v>
      </c>
      <c r="AM86" s="59">
        <f t="shared" si="59"/>
        <v>687.34740066694621</v>
      </c>
      <c r="AN86" s="59">
        <f ca="1">AVERAGE(OFFSET($AM$3,0,0,'Données projet'!$E$10+1,1))-AVERAGE(OFFSET($H$3,0,0,'Données projet'!$E$10+1,1))</f>
        <v>325.51141702511984</v>
      </c>
      <c r="AO86" s="59">
        <f t="shared" si="90"/>
        <v>280.04509991782709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 t="e">
        <f>IF(ISNA(VLOOKUP(A86,'Données projet'!$A$61:$I$81,5,0)),0%,VLOOKUP(A86,'Données projet'!$A$61:$I$81,5,0)*VLOOKUP('Données projet'!$B$10,Paramètres!$A$1:$I$89,7,0))</f>
        <v>#VALUE!</v>
      </c>
      <c r="AS86" s="16" t="e">
        <f>IF(ISNA(VLOOKUP(A86,'Données projet'!$A$61:$I$81,6,0)),0%,VLOOKUP(A86,'Données projet'!$A$61:$I$81,6,0)*VLOOKUP('Données projet'!$B$10,Paramètres!$A$1:$I$89,7,0))</f>
        <v>#VALUE!</v>
      </c>
      <c r="AT86" s="16" t="str">
        <f>IF(ISNA(VLOOKUP(A86,'Données projet'!$A$61:$I$81,7,0)),0%,VLOOKUP(A86,'Données projet'!$A$61:$I$81,7,0))</f>
        <v/>
      </c>
      <c r="AU86" s="21" t="e">
        <f>EXP(-LN(2)/35)*AU85+(1-EXP(-LN(2)/35))/(LN(2)/35)*AQ86*AR86*VLOOKUP('Données projet'!$B$10,Paramètres!$A$1:$I$89,3,0)*0.475*44/12</f>
        <v>#VALUE!</v>
      </c>
      <c r="AV86" s="21" t="e">
        <f>EXP(-LN(2)/25)*AV85+(1-EXP(-LN(2)/25))/(LN(2)/25)*Calculateur!AQ86*Calculateur!AS86*VLOOKUP('Données projet'!$B$10,Paramètres!$A$1:$I$89,3,0)*0.475*44/12</f>
        <v>#VALUE!</v>
      </c>
      <c r="AW86" s="21" t="e">
        <f>EXP(-LN(2)/2)*AW85+(1-EXP(-LN(2)/2))/(LN(2)/2)*AQ86*AT86*VLOOKUP('Données projet'!$B$10,Paramètres!$A$1:$I$89,3,0)*0.475*44/12</f>
        <v>#VALUE!</v>
      </c>
      <c r="AX86" s="21" t="e">
        <f t="shared" si="60"/>
        <v>#VALUE!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262.40000000000038</v>
      </c>
      <c r="O87" s="13">
        <f>N87*VLOOKUP('Données projet'!$B$9,Paramètres!$A$1:$I$89,3,0)*VLOOKUP('Données projet'!$B$9,Paramètres!$A$1:$I$89,5,0)</f>
        <v>237.41952000000032</v>
      </c>
      <c r="P87" s="13">
        <f t="shared" si="87"/>
        <v>57.883978814320969</v>
      </c>
      <c r="Q87" s="20">
        <f t="shared" si="54"/>
        <v>514.32026043494295</v>
      </c>
      <c r="R87" s="59">
        <f t="shared" si="55"/>
        <v>786.57709095949326</v>
      </c>
      <c r="S87" s="59">
        <f ca="1">AVERAGE(OFFSET($R$3,0,0,'Données projet'!$E$9+1,1))-AVERAGE(OFFSET($H$3,0,0,'Données projet'!$E$9+1,1))</f>
        <v>374.44366443573398</v>
      </c>
      <c r="T87" s="59">
        <f t="shared" si="88"/>
        <v>250.47702091764884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5.7026996538957638E-8</v>
      </c>
      <c r="AC87" s="22">
        <f t="shared" si="57"/>
        <v>5.7026996538957638E-8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12.194230769230785</v>
      </c>
      <c r="AI87" s="13">
        <f>IF('Données projet'!$A$62&gt;35,AI86+AH87-AQ86,IF(A87&lt;'Données projet'!$A$62,$AF$205^A87,IF(A87='Données projet'!$A$62,'Données projet'!$B$62,AI86+AH87-AQ86)))</f>
        <v>419.93269230769238</v>
      </c>
      <c r="AJ87" s="13">
        <f>AI87*VLOOKUP('Données projet'!$B$10,Paramètres!$A$1:$I$89,3,0)*VLOOKUP('Données projet'!$B$10,Paramètres!$A$1:$I$89,5,0)</f>
        <v>196.52850000000004</v>
      </c>
      <c r="AK87" s="13">
        <f t="shared" si="89"/>
        <v>48.980461355237473</v>
      </c>
      <c r="AL87" s="20">
        <f t="shared" si="58"/>
        <v>427.59477436037196</v>
      </c>
      <c r="AM87" s="59">
        <f t="shared" si="59"/>
        <v>699.85160488492227</v>
      </c>
      <c r="AN87" s="59">
        <f ca="1">AVERAGE(OFFSET($AM$3,0,0,'Données projet'!$E$10+1,1))-AVERAGE(OFFSET($H$3,0,0,'Données projet'!$E$10+1,1))</f>
        <v>325.51141702511984</v>
      </c>
      <c r="AO87" s="59">
        <f t="shared" si="90"/>
        <v>280.04509991782709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#VALUE!</v>
      </c>
      <c r="AV87" s="21" t="e">
        <f>EXP(-LN(2)/25)*AV86+(1-EXP(-LN(2)/25))/(LN(2)/25)*Calculateur!AQ87*Calculateur!AS87*VLOOKUP('Données projet'!$B$10,Paramètres!$A$1:$I$89,3,0)*0.475*44/12</f>
        <v>#VALUE!</v>
      </c>
      <c r="AW87" s="21" t="e">
        <f>EXP(-LN(2)/2)*AW86+(1-EXP(-LN(2)/2))/(LN(2)/2)*AQ87*AT87*VLOOKUP('Données projet'!$B$10,Paramètres!$A$1:$I$89,3,0)*0.475*44/12</f>
        <v>#VALUE!</v>
      </c>
      <c r="AX87" s="21" t="e">
        <f t="shared" si="60"/>
        <v>#VALUE!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268.0000000000004</v>
      </c>
      <c r="O88" s="13">
        <f>N88*VLOOKUP('Données projet'!$B$9,Paramètres!$A$1:$I$89,3,0)*VLOOKUP('Données projet'!$B$9,Paramètres!$A$1:$I$89,5,0)</f>
        <v>242.48640000000037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797.66628722155588</v>
      </c>
      <c r="S88" s="59">
        <f ca="1">AVERAGE(OFFSET($R$3,0,0,'Données projet'!$E$9+1,1))-AVERAGE(OFFSET($H$3,0,0,'Données projet'!$E$9+1,1))</f>
        <v>374.44366443573398</v>
      </c>
      <c r="T88" s="59">
        <f t="shared" si="88"/>
        <v>250.47702091764884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4.0324175963398721E-8</v>
      </c>
      <c r="AC88" s="22">
        <f t="shared" si="57"/>
        <v>4.0324175963398721E-8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12.194230769230785</v>
      </c>
      <c r="AI88" s="13">
        <f>IF('Données projet'!$A$62&gt;35,AI87+AH88-AQ87,IF(A88&lt;'Données projet'!$A$62,$AF$205^A88,IF(A88='Données projet'!$A$62,'Données projet'!$B$62,AI87+AH88-AQ87)))</f>
        <v>432.12692307692316</v>
      </c>
      <c r="AJ88" s="13">
        <f>AI88*VLOOKUP('Données projet'!$B$10,Paramètres!$A$1:$I$89,3,0)*VLOOKUP('Données projet'!$B$10,Paramètres!$A$1:$I$89,5,0)</f>
        <v>202.23540000000003</v>
      </c>
      <c r="AK88" s="13">
        <f t="shared" si="89"/>
        <v>50.235122734019789</v>
      </c>
      <c r="AL88" s="20">
        <f t="shared" si="58"/>
        <v>439.71949376175115</v>
      </c>
      <c r="AM88" s="59">
        <f t="shared" si="59"/>
        <v>712.34195449003266</v>
      </c>
      <c r="AN88" s="59">
        <f ca="1">AVERAGE(OFFSET($AM$3,0,0,'Données projet'!$E$10+1,1))-AVERAGE(OFFSET($H$3,0,0,'Données projet'!$E$10+1,1))</f>
        <v>325.51141702511984</v>
      </c>
      <c r="AO88" s="59">
        <f t="shared" si="90"/>
        <v>280.04509991782709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#VALUE!</v>
      </c>
      <c r="AV88" s="21" t="e">
        <f>EXP(-LN(2)/25)*AV87+(1-EXP(-LN(2)/25))/(LN(2)/25)*Calculateur!AQ88*Calculateur!AS88*VLOOKUP('Données projet'!$B$10,Paramètres!$A$1:$I$89,3,0)*0.475*44/12</f>
        <v>#VALUE!</v>
      </c>
      <c r="AW88" s="21" t="e">
        <f>EXP(-LN(2)/2)*AW87+(1-EXP(-LN(2)/2))/(LN(2)/2)*AQ88*AT88*VLOOKUP('Données projet'!$B$10,Paramètres!$A$1:$I$89,3,0)*0.475*44/12</f>
        <v>#VALUE!</v>
      </c>
      <c r="AX88" s="21" t="e">
        <f t="shared" si="60"/>
        <v>#VALUE!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273.60000000000042</v>
      </c>
      <c r="O89" s="13">
        <f>N89*VLOOKUP('Données projet'!$B$9,Paramètres!$A$1:$I$89,3,0)*VLOOKUP('Données projet'!$B$9,Paramètres!$A$1:$I$89,5,0)</f>
        <v>247.5532800000004</v>
      </c>
      <c r="P89" s="13">
        <f t="shared" si="87"/>
        <v>60.061713068870304</v>
      </c>
      <c r="Q89" s="20">
        <f t="shared" si="54"/>
        <v>535.76277959494985</v>
      </c>
      <c r="R89" s="59">
        <f t="shared" si="55"/>
        <v>808.74452766035461</v>
      </c>
      <c r="S89" s="59">
        <f ca="1">AVERAGE(OFFSET($R$3,0,0,'Données projet'!$E$9+1,1))-AVERAGE(OFFSET($H$3,0,0,'Données projet'!$E$9+1,1))</f>
        <v>374.44366443573398</v>
      </c>
      <c r="T89" s="59">
        <f t="shared" si="88"/>
        <v>250.47702091764884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2.8513498269478819E-8</v>
      </c>
      <c r="AC89" s="22">
        <f t="shared" si="57"/>
        <v>2.8513498269478819E-8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12.194230769230785</v>
      </c>
      <c r="AI89" s="13">
        <f>IF('Données projet'!$A$62&gt;35,AI88+AH89-AQ88,IF(A89&lt;'Données projet'!$A$62,$AF$205^A89,IF(A89='Données projet'!$A$62,'Données projet'!$B$62,AI88+AH89-AQ88)))</f>
        <v>444.32115384615395</v>
      </c>
      <c r="AJ89" s="13">
        <f>AI89*VLOOKUP('Données projet'!$B$10,Paramètres!$A$1:$I$89,3,0)*VLOOKUP('Données projet'!$B$10,Paramètres!$A$1:$I$89,5,0)</f>
        <v>207.94230000000005</v>
      </c>
      <c r="AK89" s="13">
        <f t="shared" si="89"/>
        <v>51.485669107157641</v>
      </c>
      <c r="AL89" s="20">
        <f t="shared" si="58"/>
        <v>451.83704619496626</v>
      </c>
      <c r="AM89" s="59">
        <f t="shared" si="59"/>
        <v>724.81879426037096</v>
      </c>
      <c r="AN89" s="59">
        <f ca="1">AVERAGE(OFFSET($AM$3,0,0,'Données projet'!$E$10+1,1))-AVERAGE(OFFSET($H$3,0,0,'Données projet'!$E$10+1,1))</f>
        <v>325.51141702511984</v>
      </c>
      <c r="AO89" s="59">
        <f t="shared" si="90"/>
        <v>280.04509991782709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#VALUE!</v>
      </c>
      <c r="AV89" s="21" t="e">
        <f>EXP(-LN(2)/25)*AV88+(1-EXP(-LN(2)/25))/(LN(2)/25)*Calculateur!AQ89*Calculateur!AS89*VLOOKUP('Données projet'!$B$10,Paramètres!$A$1:$I$89,3,0)*0.475*44/12</f>
        <v>#VALUE!</v>
      </c>
      <c r="AW89" s="21" t="e">
        <f>EXP(-LN(2)/2)*AW88+(1-EXP(-LN(2)/2))/(LN(2)/2)*AQ89*AT89*VLOOKUP('Données projet'!$B$10,Paramètres!$A$1:$I$89,3,0)*0.475*44/12</f>
        <v>#VALUE!</v>
      </c>
      <c r="AX89" s="21" t="e">
        <f t="shared" si="60"/>
        <v>#VALUE!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279.20000000000044</v>
      </c>
      <c r="O90" s="13">
        <f>N90*VLOOKUP('Données projet'!$B$9,Paramètres!$A$1:$I$89,3,0)*VLOOKUP('Données projet'!$B$9,Paramètres!$A$1:$I$89,5,0)</f>
        <v>252.62016000000037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819.81202760722931</v>
      </c>
      <c r="S90" s="59">
        <f ca="1">AVERAGE(OFFSET($R$3,0,0,'Données projet'!$E$9+1,1))-AVERAGE(OFFSET($H$3,0,0,'Données projet'!$E$9+1,1))</f>
        <v>374.44366443573398</v>
      </c>
      <c r="T90" s="59">
        <f t="shared" si="88"/>
        <v>250.47702091764884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2.0162087981699361E-8</v>
      </c>
      <c r="AC90" s="22">
        <f t="shared" si="57"/>
        <v>2.0162087981699361E-8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456.51538461538462</v>
      </c>
      <c r="AG90" s="12">
        <f>VLOOKUP(A90,'Données projet'!$A$61:$I$81,9,0)</f>
        <v>12.194230769230785</v>
      </c>
      <c r="AH90" s="12">
        <f t="array" ref="AH90">INDEX(AG:AG,MIN(IF(ISNUMBER(AG90:AG286),ROW(AG90:AG286),"")))</f>
        <v>12.194230769230785</v>
      </c>
      <c r="AI90" s="13">
        <f>IF('Données projet'!$A$62&gt;35,AI89+AH90-AQ89,IF(A90&lt;'Données projet'!$A$62,$AF$205^A90,IF(A90='Données projet'!$A$62,'Données projet'!$B$62,AI89+AH90-AQ89)))</f>
        <v>456.51538461538473</v>
      </c>
      <c r="AJ90" s="13">
        <f>AI90*VLOOKUP('Données projet'!$B$10,Paramètres!$A$1:$I$89,3,0)*VLOOKUP('Données projet'!$B$10,Paramètres!$A$1:$I$89,5,0)</f>
        <v>213.64920000000006</v>
      </c>
      <c r="AK90" s="13">
        <f t="shared" si="89"/>
        <v>52.732226385923781</v>
      </c>
      <c r="AL90" s="20">
        <f t="shared" si="58"/>
        <v>463.94765095548405</v>
      </c>
      <c r="AM90" s="59">
        <f t="shared" si="59"/>
        <v>737.28245352595889</v>
      </c>
      <c r="AN90" s="59">
        <f ca="1">AVERAGE(OFFSET($AM$3,0,0,'Données projet'!$E$10+1,1))-AVERAGE(OFFSET($H$3,0,0,'Données projet'!$E$10+1,1))</f>
        <v>325.51141702511984</v>
      </c>
      <c r="AO90" s="59">
        <f t="shared" si="90"/>
        <v>280.04509991782709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77.330769230769235</v>
      </c>
      <c r="AR90" s="16" t="e">
        <f>IF(ISNA(VLOOKUP(A90,'Données projet'!$A$61:$I$81,5,0)),0%,VLOOKUP(A90,'Données projet'!$A$61:$I$81,5,0)*VLOOKUP('Données projet'!$B$10,Paramètres!$A$1:$I$89,7,0))</f>
        <v>#VALUE!</v>
      </c>
      <c r="AS90" s="16" t="e">
        <f>IF(ISNA(VLOOKUP(A90,'Données projet'!$A$61:$I$81,6,0)),0%,VLOOKUP(A90,'Données projet'!$A$61:$I$81,6,0)*VLOOKUP('Données projet'!$B$10,Paramètres!$A$1:$I$89,7,0))</f>
        <v>#VALUE!</v>
      </c>
      <c r="AT90" s="16" t="str">
        <f>IF(ISNA(VLOOKUP(A90,'Données projet'!$A$61:$I$81,7,0)),0%,VLOOKUP(A90,'Données projet'!$A$61:$I$81,7,0))</f>
        <v/>
      </c>
      <c r="AU90" s="21" t="e">
        <f>EXP(-LN(2)/35)*AU89+(1-EXP(-LN(2)/35))/(LN(2)/35)*AQ90*AR90*VLOOKUP('Données projet'!$B$10,Paramètres!$A$1:$I$89,3,0)*0.475*44/12</f>
        <v>#VALUE!</v>
      </c>
      <c r="AV90" s="21" t="e">
        <f>EXP(-LN(2)/25)*AV89+(1-EXP(-LN(2)/25))/(LN(2)/25)*Calculateur!AQ90*Calculateur!AS90*VLOOKUP('Données projet'!$B$10,Paramètres!$A$1:$I$89,3,0)*0.475*44/12</f>
        <v>#VALUE!</v>
      </c>
      <c r="AW90" s="21" t="e">
        <f>EXP(-LN(2)/2)*AW89+(1-EXP(-LN(2)/2))/(LN(2)/2)*AQ90*AT90*VLOOKUP('Données projet'!$B$10,Paramètres!$A$1:$I$89,3,0)*0.475*44/12</f>
        <v>#VALUE!</v>
      </c>
      <c r="AX90" s="21" t="e">
        <f t="shared" si="60"/>
        <v>#VALUE!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284.80000000000047</v>
      </c>
      <c r="O91" s="13">
        <f>N91*VLOOKUP('Données projet'!$B$9,Paramètres!$A$1:$I$89,3,0)*VLOOKUP('Données projet'!$B$9,Paramètres!$A$1:$I$89,5,0)</f>
        <v>257.68704000000042</v>
      </c>
      <c r="P91" s="13">
        <f t="shared" si="87"/>
        <v>62.229092239243457</v>
      </c>
      <c r="Q91" s="20">
        <f t="shared" si="54"/>
        <v>557.18726365001646</v>
      </c>
      <c r="R91" s="59">
        <f t="shared" si="55"/>
        <v>830.86899601921016</v>
      </c>
      <c r="S91" s="59">
        <f ca="1">AVERAGE(OFFSET($R$3,0,0,'Données projet'!$E$9+1,1))-AVERAGE(OFFSET($H$3,0,0,'Données projet'!$E$9+1,1))</f>
        <v>374.44366443573398</v>
      </c>
      <c r="T91" s="59">
        <f t="shared" si="88"/>
        <v>250.47702091764884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1.425674913473941E-8</v>
      </c>
      <c r="AC91" s="22">
        <f t="shared" si="57"/>
        <v>1.425674913473941E-8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11.201923076923094</v>
      </c>
      <c r="AI91" s="13">
        <f>IF('Données projet'!$A$62&gt;35,AI90+AH91-AQ90,IF(A91&lt;'Données projet'!$A$62,$AF$205^A91,IF(A91='Données projet'!$A$62,'Données projet'!$B$62,AI90+AH91-AQ90)))</f>
        <v>390.38653846153858</v>
      </c>
      <c r="AJ91" s="13">
        <f>AI91*VLOOKUP('Données projet'!$B$10,Paramètres!$A$1:$I$89,3,0)*VLOOKUP('Données projet'!$B$10,Paramètres!$A$1:$I$89,5,0)</f>
        <v>182.70090000000005</v>
      </c>
      <c r="AK91" s="13">
        <f t="shared" si="89"/>
        <v>45.922564801589687</v>
      </c>
      <c r="AL91" s="20">
        <f t="shared" si="58"/>
        <v>398.18586786276882</v>
      </c>
      <c r="AM91" s="59">
        <f t="shared" si="59"/>
        <v>671.86760023196257</v>
      </c>
      <c r="AN91" s="59">
        <f ca="1">AVERAGE(OFFSET($AM$3,0,0,'Données projet'!$E$10+1,1))-AVERAGE(OFFSET($H$3,0,0,'Données projet'!$E$10+1,1))</f>
        <v>325.51141702511984</v>
      </c>
      <c r="AO91" s="59">
        <f t="shared" si="90"/>
        <v>280.04509991782709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#VALUE!</v>
      </c>
      <c r="AV91" s="21" t="e">
        <f>EXP(-LN(2)/25)*AV90+(1-EXP(-LN(2)/25))/(LN(2)/25)*Calculateur!AQ91*Calculateur!AS91*VLOOKUP('Données projet'!$B$10,Paramètres!$A$1:$I$89,3,0)*0.475*44/12</f>
        <v>#VALUE!</v>
      </c>
      <c r="AW91" s="21" t="e">
        <f>EXP(-LN(2)/2)*AW90+(1-EXP(-LN(2)/2))/(LN(2)/2)*AQ91*AT91*VLOOKUP('Données projet'!$B$10,Paramètres!$A$1:$I$89,3,0)*0.475*44/12</f>
        <v>#VALUE!</v>
      </c>
      <c r="AX91" s="21" t="e">
        <f t="shared" si="60"/>
        <v>#VALUE!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290.40000000000049</v>
      </c>
      <c r="O92" s="13">
        <f>N92*VLOOKUP('Données projet'!$B$9,Paramètres!$A$1:$I$89,3,0)*VLOOKUP('Données projet'!$B$9,Paramètres!$A$1:$I$89,5,0)</f>
        <v>262.75392000000045</v>
      </c>
      <c r="P92" s="13">
        <f t="shared" si="87"/>
        <v>63.309041956360382</v>
      </c>
      <c r="Q92" s="20">
        <f t="shared" si="54"/>
        <v>567.89299207399506</v>
      </c>
      <c r="R92" s="59">
        <f t="shared" si="55"/>
        <v>841.91563578551859</v>
      </c>
      <c r="S92" s="59">
        <f ca="1">AVERAGE(OFFSET($R$3,0,0,'Données projet'!$E$9+1,1))-AVERAGE(OFFSET($H$3,0,0,'Données projet'!$E$9+1,1))</f>
        <v>374.44366443573398</v>
      </c>
      <c r="T92" s="59">
        <f t="shared" si="88"/>
        <v>250.47702091764884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1.008104399084968E-8</v>
      </c>
      <c r="AC92" s="22">
        <f t="shared" si="57"/>
        <v>1.008104399084968E-8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11.201923076923094</v>
      </c>
      <c r="AI92" s="13">
        <f>IF('Données projet'!$A$62&gt;35,AI91+AH92-AQ91,IF(A92&lt;'Données projet'!$A$62,$AF$205^A92,IF(A92='Données projet'!$A$62,'Données projet'!$B$62,AI91+AH92-AQ91)))</f>
        <v>401.58846153846167</v>
      </c>
      <c r="AJ92" s="13">
        <f>AI92*VLOOKUP('Données projet'!$B$10,Paramètres!$A$1:$I$89,3,0)*VLOOKUP('Données projet'!$B$10,Paramètres!$A$1:$I$89,5,0)</f>
        <v>187.94340000000005</v>
      </c>
      <c r="AK92" s="13">
        <f t="shared" si="89"/>
        <v>47.084980193321194</v>
      </c>
      <c r="AL92" s="20">
        <f t="shared" si="58"/>
        <v>409.3410955033678</v>
      </c>
      <c r="AM92" s="59">
        <f t="shared" si="59"/>
        <v>683.36373921489144</v>
      </c>
      <c r="AN92" s="59">
        <f ca="1">AVERAGE(OFFSET($AM$3,0,0,'Données projet'!$E$10+1,1))-AVERAGE(OFFSET($H$3,0,0,'Données projet'!$E$10+1,1))</f>
        <v>325.51141702511984</v>
      </c>
      <c r="AO92" s="59">
        <f t="shared" si="90"/>
        <v>280.04509991782709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#VALUE!</v>
      </c>
      <c r="AV92" s="21" t="e">
        <f>EXP(-LN(2)/25)*AV91+(1-EXP(-LN(2)/25))/(LN(2)/25)*Calculateur!AQ92*Calculateur!AS92*VLOOKUP('Données projet'!$B$10,Paramètres!$A$1:$I$89,3,0)*0.475*44/12</f>
        <v>#VALUE!</v>
      </c>
      <c r="AW92" s="21" t="e">
        <f>EXP(-LN(2)/2)*AW91+(1-EXP(-LN(2)/2))/(LN(2)/2)*AQ92*AT92*VLOOKUP('Données projet'!$B$10,Paramètres!$A$1:$I$89,3,0)*0.475*44/12</f>
        <v>#VALUE!</v>
      </c>
      <c r="AX92" s="21" t="e">
        <f t="shared" si="60"/>
        <v>#VALUE!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296.00000000000051</v>
      </c>
      <c r="O93" s="13">
        <f>N93*VLOOKUP('Données projet'!$B$9,Paramètres!$A$1:$I$89,3,0)*VLOOKUP('Données projet'!$B$9,Paramètres!$A$1:$I$89,5,0)</f>
        <v>267.82080000000047</v>
      </c>
      <c r="P93" s="13">
        <f t="shared" si="87"/>
        <v>64.386570147897487</v>
      </c>
      <c r="Q93" s="20">
        <f t="shared" si="54"/>
        <v>578.59450300758897</v>
      </c>
      <c r="R93" s="59">
        <f t="shared" si="55"/>
        <v>852.9521440118167</v>
      </c>
      <c r="S93" s="59">
        <f ca="1">AVERAGE(OFFSET($R$3,0,0,'Données projet'!$E$9+1,1))-AVERAGE(OFFSET($H$3,0,0,'Données projet'!$E$9+1,1))</f>
        <v>374.44366443573398</v>
      </c>
      <c r="T93" s="59">
        <f t="shared" si="88"/>
        <v>250.47702091764884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7.1283745673697048E-9</v>
      </c>
      <c r="AC93" s="22">
        <f t="shared" si="57"/>
        <v>7.1283745673697048E-9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11.201923076923094</v>
      </c>
      <c r="AI93" s="13">
        <f>IF('Données projet'!$A$62&gt;35,AI92+AH93-AQ92,IF(A93&lt;'Données projet'!$A$62,$AF$205^A93,IF(A93='Données projet'!$A$62,'Données projet'!$B$62,AI92+AH93-AQ92)))</f>
        <v>412.79038461538477</v>
      </c>
      <c r="AJ93" s="13">
        <f>AI93*VLOOKUP('Données projet'!$B$10,Paramètres!$A$1:$I$89,3,0)*VLOOKUP('Données projet'!$B$10,Paramètres!$A$1:$I$89,5,0)</f>
        <v>193.18590000000006</v>
      </c>
      <c r="AK93" s="13">
        <f t="shared" si="89"/>
        <v>48.243626982391824</v>
      </c>
      <c r="AL93" s="20">
        <f t="shared" si="58"/>
        <v>420.48975949433253</v>
      </c>
      <c r="AM93" s="59">
        <f t="shared" si="59"/>
        <v>694.84740049856021</v>
      </c>
      <c r="AN93" s="59">
        <f ca="1">AVERAGE(OFFSET($AM$3,0,0,'Données projet'!$E$10+1,1))-AVERAGE(OFFSET($H$3,0,0,'Données projet'!$E$10+1,1))</f>
        <v>325.51141702511984</v>
      </c>
      <c r="AO93" s="59">
        <f t="shared" si="90"/>
        <v>280.04509991782709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#VALUE!</v>
      </c>
      <c r="AV93" s="21" t="e">
        <f>EXP(-LN(2)/25)*AV92+(1-EXP(-LN(2)/25))/(LN(2)/25)*Calculateur!AQ93*Calculateur!AS93*VLOOKUP('Données projet'!$B$10,Paramètres!$A$1:$I$89,3,0)*0.475*44/12</f>
        <v>#VALUE!</v>
      </c>
      <c r="AW93" s="21" t="e">
        <f>EXP(-LN(2)/2)*AW92+(1-EXP(-LN(2)/2))/(LN(2)/2)*AQ93*AT93*VLOOKUP('Données projet'!$B$10,Paramètres!$A$1:$I$89,3,0)*0.475*44/12</f>
        <v>#VALUE!</v>
      </c>
      <c r="AX93" s="21" t="e">
        <f t="shared" si="60"/>
        <v>#VALUE!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258.90000000000049</v>
      </c>
      <c r="O94" s="13">
        <f>N94*VLOOKUP('Données projet'!$B$9,Paramètres!$A$1:$I$89,3,0)*VLOOKUP('Données projet'!$B$9,Paramètres!$A$1:$I$89,5,0)</f>
        <v>234.25272000000041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782.30246727880251</v>
      </c>
      <c r="S94" s="59">
        <f ca="1">AVERAGE(OFFSET($R$3,0,0,'Données projet'!$E$9+1,1))-AVERAGE(OFFSET($H$3,0,0,'Données projet'!$E$9+1,1))</f>
        <v>374.44366443573398</v>
      </c>
      <c r="T94" s="59">
        <f t="shared" si="88"/>
        <v>250.47702091764884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5.0405219954248401E-9</v>
      </c>
      <c r="AC94" s="22">
        <f t="shared" si="57"/>
        <v>5.0405219954248401E-9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>
        <f>VLOOKUP(A94,'Données projet'!$A$61:$I$81,2,0)</f>
        <v>423.99230769230775</v>
      </c>
      <c r="AG94" s="12">
        <f>VLOOKUP(A94,'Données projet'!$A$61:$I$81,9,0)</f>
        <v>11.201923076923094</v>
      </c>
      <c r="AH94" s="12">
        <f t="array" ref="AH94">INDEX(AG:AG,MIN(IF(ISNUMBER(AG94:AG290),ROW(AG94:AG290),"")))</f>
        <v>11.201923076923094</v>
      </c>
      <c r="AI94" s="13">
        <f>IF('Données projet'!$A$62&gt;35,AI93+AH94-AQ93,IF(A94&lt;'Données projet'!$A$62,$AF$205^A94,IF(A94='Données projet'!$A$62,'Données projet'!$B$62,AI93+AH94-AQ93)))</f>
        <v>423.99230769230786</v>
      </c>
      <c r="AJ94" s="13">
        <f>AI94*VLOOKUP('Données projet'!$B$10,Paramètres!$A$1:$I$89,3,0)*VLOOKUP('Données projet'!$B$10,Paramètres!$A$1:$I$89,5,0)</f>
        <v>198.42840000000007</v>
      </c>
      <c r="AK94" s="13">
        <f t="shared" si="89"/>
        <v>49.398619189951262</v>
      </c>
      <c r="AL94" s="20">
        <f t="shared" si="58"/>
        <v>431.63205842249857</v>
      </c>
      <c r="AM94" s="59">
        <f t="shared" si="59"/>
        <v>706.31888526534362</v>
      </c>
      <c r="AN94" s="59">
        <f ca="1">AVERAGE(OFFSET($AM$3,0,0,'Données projet'!$E$10+1,1))-AVERAGE(OFFSET($H$3,0,0,'Données projet'!$E$10+1,1))</f>
        <v>325.51141702511984</v>
      </c>
      <c r="AO94" s="59">
        <f t="shared" si="90"/>
        <v>280.04509991782709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 t="e">
        <f>IF(ISNA(VLOOKUP(A94,'Données projet'!$A$61:$I$81,5,0)),0%,VLOOKUP(A94,'Données projet'!$A$61:$I$81,5,0)*VLOOKUP('Données projet'!$B$10,Paramètres!$A$1:$I$89,7,0))</f>
        <v>#VALUE!</v>
      </c>
      <c r="AS94" s="16" t="e">
        <f>IF(ISNA(VLOOKUP(A94,'Données projet'!$A$61:$I$81,6,0)),0%,VLOOKUP(A94,'Données projet'!$A$61:$I$81,6,0)*VLOOKUP('Données projet'!$B$10,Paramètres!$A$1:$I$89,7,0))</f>
        <v>#VALUE!</v>
      </c>
      <c r="AT94" s="16" t="str">
        <f>IF(ISNA(VLOOKUP(A94,'Données projet'!$A$61:$I$81,7,0)),0%,VLOOKUP(A94,'Données projet'!$A$61:$I$81,7,0))</f>
        <v/>
      </c>
      <c r="AU94" s="21" t="e">
        <f>EXP(-LN(2)/35)*AU93+(1-EXP(-LN(2)/35))/(LN(2)/35)*AQ94*AR94*VLOOKUP('Données projet'!$B$10,Paramètres!$A$1:$I$89,3,0)*0.475*44/12</f>
        <v>#VALUE!</v>
      </c>
      <c r="AV94" s="21" t="e">
        <f>EXP(-LN(2)/25)*AV93+(1-EXP(-LN(2)/25))/(LN(2)/25)*Calculateur!AQ94*Calculateur!AS94*VLOOKUP('Données projet'!$B$10,Paramètres!$A$1:$I$89,3,0)*0.475*44/12</f>
        <v>#VALUE!</v>
      </c>
      <c r="AW94" s="21" t="e">
        <f>EXP(-LN(2)/2)*AW93+(1-EXP(-LN(2)/2))/(LN(2)/2)*AQ94*AT94*VLOOKUP('Données projet'!$B$10,Paramètres!$A$1:$I$89,3,0)*0.475*44/12</f>
        <v>#VALUE!</v>
      </c>
      <c r="AX94" s="21" t="e">
        <f t="shared" si="60"/>
        <v>#VALUE!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263.80000000000047</v>
      </c>
      <c r="O95" s="13">
        <f>N95*VLOOKUP('Données projet'!$B$9,Paramètres!$A$1:$I$89,3,0)*VLOOKUP('Données projet'!$B$9,Paramètres!$A$1:$I$89,5,0)</f>
        <v>238.6862400000004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792.01189239186851</v>
      </c>
      <c r="S95" s="59">
        <f ca="1">AVERAGE(OFFSET($R$3,0,0,'Données projet'!$E$9+1,1))-AVERAGE(OFFSET($H$3,0,0,'Données projet'!$E$9+1,1))</f>
        <v>374.44366443573398</v>
      </c>
      <c r="T95" s="59">
        <f t="shared" si="88"/>
        <v>250.47702091764884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3.5641872836848524E-9</v>
      </c>
      <c r="AC95" s="22">
        <f t="shared" si="57"/>
        <v>3.5641872836848524E-9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11.282692307692287</v>
      </c>
      <c r="AI95" s="13">
        <f>IF('Données projet'!$A$62&gt;35,AI94+AH95-AQ94,IF(A95&lt;'Données projet'!$A$62,$AF$205^A95,IF(A95='Données projet'!$A$62,'Données projet'!$B$62,AI94+AH95-AQ94)))</f>
        <v>435.27500000000015</v>
      </c>
      <c r="AJ95" s="13">
        <f>AI95*VLOOKUP('Données projet'!$B$10,Paramètres!$A$1:$I$89,3,0)*VLOOKUP('Données projet'!$B$10,Paramètres!$A$1:$I$89,5,0)</f>
        <v>203.70870000000005</v>
      </c>
      <c r="AK95" s="13">
        <f t="shared" si="89"/>
        <v>50.558354106807116</v>
      </c>
      <c r="AL95" s="20">
        <f t="shared" si="58"/>
        <v>442.84845256935586</v>
      </c>
      <c r="AM95" s="59">
        <f t="shared" si="59"/>
        <v>717.85875461246758</v>
      </c>
      <c r="AN95" s="59">
        <f ca="1">AVERAGE(OFFSET($AM$3,0,0,'Données projet'!$E$10+1,1))-AVERAGE(OFFSET($H$3,0,0,'Données projet'!$E$10+1,1))</f>
        <v>325.51141702511984</v>
      </c>
      <c r="AO95" s="59">
        <f t="shared" si="90"/>
        <v>280.04509991782709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#VALUE!</v>
      </c>
      <c r="AV95" s="21" t="e">
        <f>EXP(-LN(2)/25)*AV94+(1-EXP(-LN(2)/25))/(LN(2)/25)*Calculateur!AQ95*Calculateur!AS95*VLOOKUP('Données projet'!$B$10,Paramètres!$A$1:$I$89,3,0)*0.475*44/12</f>
        <v>#VALUE!</v>
      </c>
      <c r="AW95" s="21" t="e">
        <f>EXP(-LN(2)/2)*AW94+(1-EXP(-LN(2)/2))/(LN(2)/2)*AQ95*AT95*VLOOKUP('Données projet'!$B$10,Paramètres!$A$1:$I$89,3,0)*0.475*44/12</f>
        <v>#VALUE!</v>
      </c>
      <c r="AX95" s="21" t="e">
        <f t="shared" si="60"/>
        <v>#VALUE!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268.70000000000044</v>
      </c>
      <c r="O96" s="13">
        <f>N96*VLOOKUP('Données projet'!$B$9,Paramètres!$A$1:$I$89,3,0)*VLOOKUP('Données projet'!$B$9,Paramètres!$A$1:$I$89,5,0)</f>
        <v>243.11976000000041</v>
      </c>
      <c r="P96" s="13">
        <f t="shared" si="87"/>
        <v>59.110256668778582</v>
      </c>
      <c r="Q96" s="20">
        <f t="shared" si="54"/>
        <v>526.3839456981234</v>
      </c>
      <c r="R96" s="59">
        <f t="shared" si="55"/>
        <v>801.7121113699593</v>
      </c>
      <c r="S96" s="59">
        <f ca="1">AVERAGE(OFFSET($R$3,0,0,'Données projet'!$E$9+1,1))-AVERAGE(OFFSET($H$3,0,0,'Données projet'!$E$9+1,1))</f>
        <v>374.44366443573398</v>
      </c>
      <c r="T96" s="59">
        <f t="shared" si="88"/>
        <v>250.47702091764884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2.5202609977124201E-9</v>
      </c>
      <c r="AC96" s="22">
        <f t="shared" si="57"/>
        <v>2.5202609977124201E-9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11.282692307692287</v>
      </c>
      <c r="AI96" s="13">
        <f>IF('Données projet'!$A$62&gt;35,AI95+AH96-AQ95,IF(A96&lt;'Données projet'!$A$62,$AF$205^A96,IF(A96='Données projet'!$A$62,'Données projet'!$B$62,AI95+AH96-AQ95)))</f>
        <v>446.55769230769243</v>
      </c>
      <c r="AJ96" s="13">
        <f>AI96*VLOOKUP('Données projet'!$B$10,Paramètres!$A$1:$I$89,3,0)*VLOOKUP('Données projet'!$B$10,Paramètres!$A$1:$I$89,5,0)</f>
        <v>208.98900000000009</v>
      </c>
      <c r="AK96" s="13">
        <f t="shared" si="89"/>
        <v>51.714594748332303</v>
      </c>
      <c r="AL96" s="20">
        <f t="shared" si="58"/>
        <v>454.05876085334563</v>
      </c>
      <c r="AM96" s="59">
        <f t="shared" si="59"/>
        <v>729.38692652518159</v>
      </c>
      <c r="AN96" s="59">
        <f ca="1">AVERAGE(OFFSET($AM$3,0,0,'Données projet'!$E$10+1,1))-AVERAGE(OFFSET($H$3,0,0,'Données projet'!$E$10+1,1))</f>
        <v>325.51141702511984</v>
      </c>
      <c r="AO96" s="59">
        <f t="shared" si="90"/>
        <v>280.04509991782709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#VALUE!</v>
      </c>
      <c r="AV96" s="21" t="e">
        <f>EXP(-LN(2)/25)*AV95+(1-EXP(-LN(2)/25))/(LN(2)/25)*Calculateur!AQ96*Calculateur!AS96*VLOOKUP('Données projet'!$B$10,Paramètres!$A$1:$I$89,3,0)*0.475*44/12</f>
        <v>#VALUE!</v>
      </c>
      <c r="AW96" s="21" t="e">
        <f>EXP(-LN(2)/2)*AW95+(1-EXP(-LN(2)/2))/(LN(2)/2)*AQ96*AT96*VLOOKUP('Données projet'!$B$10,Paramètres!$A$1:$I$89,3,0)*0.475*44/12</f>
        <v>#VALUE!</v>
      </c>
      <c r="AX96" s="21" t="e">
        <f t="shared" si="60"/>
        <v>#VALUE!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273.60000000000042</v>
      </c>
      <c r="O97" s="13">
        <f>N97*VLOOKUP('Données projet'!$B$9,Paramètres!$A$1:$I$89,3,0)*VLOOKUP('Données projet'!$B$9,Paramètres!$A$1:$I$89,5,0)</f>
        <v>247.5532800000004</v>
      </c>
      <c r="P97" s="13">
        <f t="shared" si="87"/>
        <v>60.061713068870304</v>
      </c>
      <c r="Q97" s="20">
        <f t="shared" si="54"/>
        <v>535.76277959494985</v>
      </c>
      <c r="R97" s="59">
        <f t="shared" si="55"/>
        <v>811.40329467218839</v>
      </c>
      <c r="S97" s="59">
        <f ca="1">AVERAGE(OFFSET($R$3,0,0,'Données projet'!$E$9+1,1))-AVERAGE(OFFSET($H$3,0,0,'Données projet'!$E$9+1,1))</f>
        <v>374.44366443573398</v>
      </c>
      <c r="T97" s="59">
        <f t="shared" si="88"/>
        <v>250.47702091764884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1.7820936418424262E-9</v>
      </c>
      <c r="AC97" s="22">
        <f t="shared" si="57"/>
        <v>1.7820936418424262E-9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11.282692307692287</v>
      </c>
      <c r="AI97" s="13">
        <f>IF('Données projet'!$A$62&gt;35,AI96+AH97-AQ96,IF(A97&lt;'Données projet'!$A$62,$AF$205^A97,IF(A97='Données projet'!$A$62,'Données projet'!$B$62,AI96+AH97-AQ96)))</f>
        <v>457.84038461538472</v>
      </c>
      <c r="AJ97" s="13">
        <f>AI97*VLOOKUP('Données projet'!$B$10,Paramètres!$A$1:$I$89,3,0)*VLOOKUP('Données projet'!$B$10,Paramètres!$A$1:$I$89,5,0)</f>
        <v>214.26930000000004</v>
      </c>
      <c r="AK97" s="13">
        <f t="shared" si="89"/>
        <v>52.867439553518068</v>
      </c>
      <c r="AL97" s="20">
        <f t="shared" si="58"/>
        <v>465.26315472237735</v>
      </c>
      <c r="AM97" s="59">
        <f t="shared" si="59"/>
        <v>740.90366979961584</v>
      </c>
      <c r="AN97" s="59">
        <f ca="1">AVERAGE(OFFSET($AM$3,0,0,'Données projet'!$E$10+1,1))-AVERAGE(OFFSET($H$3,0,0,'Données projet'!$E$10+1,1))</f>
        <v>325.51141702511984</v>
      </c>
      <c r="AO97" s="59">
        <f t="shared" si="90"/>
        <v>280.04509991782709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#VALUE!</v>
      </c>
      <c r="AV97" s="21" t="e">
        <f>EXP(-LN(2)/25)*AV96+(1-EXP(-LN(2)/25))/(LN(2)/25)*Calculateur!AQ97*Calculateur!AS97*VLOOKUP('Données projet'!$B$10,Paramètres!$A$1:$I$89,3,0)*0.475*44/12</f>
        <v>#VALUE!</v>
      </c>
      <c r="AW97" s="21" t="e">
        <f>EXP(-LN(2)/2)*AW96+(1-EXP(-LN(2)/2))/(LN(2)/2)*AQ97*AT97*VLOOKUP('Données projet'!$B$10,Paramètres!$A$1:$I$89,3,0)*0.475*44/12</f>
        <v>#VALUE!</v>
      </c>
      <c r="AX97" s="21" t="e">
        <f t="shared" si="60"/>
        <v>#VALUE!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278.5000000000004</v>
      </c>
      <c r="O98" s="13">
        <f>N98*VLOOKUP('Données projet'!$B$9,Paramètres!$A$1:$I$89,3,0)*VLOOKUP('Données projet'!$B$9,Paramètres!$A$1:$I$89,5,0)</f>
        <v>251.98680000000036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821.08560830018973</v>
      </c>
      <c r="S98" s="59">
        <f ca="1">AVERAGE(OFFSET($R$3,0,0,'Données projet'!$E$9+1,1))-AVERAGE(OFFSET($H$3,0,0,'Données projet'!$E$9+1,1))</f>
        <v>374.44366443573398</v>
      </c>
      <c r="T98" s="59">
        <f t="shared" si="88"/>
        <v>250.47702091764884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1.26013049885621E-9</v>
      </c>
      <c r="AC98" s="22">
        <f t="shared" si="57"/>
        <v>1.26013049885621E-9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469.12307692307689</v>
      </c>
      <c r="AG98" s="12">
        <f>VLOOKUP(A98,'Données projet'!$A$61:$I$81,9,0)</f>
        <v>11.282692307692287</v>
      </c>
      <c r="AH98" s="12">
        <f t="array" ref="AH98">INDEX(AG:AG,MIN(IF(ISNUMBER(AG98:AG294),ROW(AG98:AG294),"")))</f>
        <v>11.282692307692287</v>
      </c>
      <c r="AI98" s="13">
        <f>IF('Données projet'!$A$62&gt;35,AI97+AH98-AQ97,IF(A98&lt;'Données projet'!$A$62,$AF$205^A98,IF(A98='Données projet'!$A$62,'Données projet'!$B$62,AI97+AH98-AQ97)))</f>
        <v>469.12307692307701</v>
      </c>
      <c r="AJ98" s="13">
        <f>AI98*VLOOKUP('Données projet'!$B$10,Paramètres!$A$1:$I$89,3,0)*VLOOKUP('Données projet'!$B$10,Paramètres!$A$1:$I$89,5,0)</f>
        <v>219.54960000000003</v>
      </c>
      <c r="AK98" s="13">
        <f t="shared" si="89"/>
        <v>54.016981833057052</v>
      </c>
      <c r="AL98" s="20">
        <f t="shared" si="58"/>
        <v>476.46179669257435</v>
      </c>
      <c r="AM98" s="59">
        <f t="shared" si="59"/>
        <v>752.40924261134023</v>
      </c>
      <c r="AN98" s="59">
        <f ca="1">AVERAGE(OFFSET($AM$3,0,0,'Données projet'!$E$10+1,1))-AVERAGE(OFFSET($H$3,0,0,'Données projet'!$E$10+1,1))</f>
        <v>325.51141702511984</v>
      </c>
      <c r="AO98" s="59">
        <f t="shared" si="90"/>
        <v>280.04509991782709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234.42307692307691</v>
      </c>
      <c r="AR98" s="16" t="e">
        <f>IF(ISNA(VLOOKUP(A98,'Données projet'!$A$61:$I$81,5,0)),0%,VLOOKUP(A98,'Données projet'!$A$61:$I$81,5,0)*VLOOKUP('Données projet'!$B$10,Paramètres!$A$1:$I$89,7,0))</f>
        <v>#VALUE!</v>
      </c>
      <c r="AS98" s="16" t="e">
        <f>IF(ISNA(VLOOKUP(A98,'Données projet'!$A$61:$I$81,6,0)),0%,VLOOKUP(A98,'Données projet'!$A$61:$I$81,6,0)*VLOOKUP('Données projet'!$B$10,Paramètres!$A$1:$I$89,7,0))</f>
        <v>#VALUE!</v>
      </c>
      <c r="AT98" s="16" t="str">
        <f>IF(ISNA(VLOOKUP(A98,'Données projet'!$A$61:$I$81,7,0)),0%,VLOOKUP(A98,'Données projet'!$A$61:$I$81,7,0))</f>
        <v/>
      </c>
      <c r="AU98" s="21" t="e">
        <f>EXP(-LN(2)/35)*AU97+(1-EXP(-LN(2)/35))/(LN(2)/35)*AQ98*AR98*VLOOKUP('Données projet'!$B$10,Paramètres!$A$1:$I$89,3,0)*0.475*44/12</f>
        <v>#VALUE!</v>
      </c>
      <c r="AV98" s="21" t="e">
        <f>EXP(-LN(2)/25)*AV97+(1-EXP(-LN(2)/25))/(LN(2)/25)*Calculateur!AQ98*Calculateur!AS98*VLOOKUP('Données projet'!$B$10,Paramètres!$A$1:$I$89,3,0)*0.475*44/12</f>
        <v>#VALUE!</v>
      </c>
      <c r="AW98" s="21" t="e">
        <f>EXP(-LN(2)/2)*AW97+(1-EXP(-LN(2)/2))/(LN(2)/2)*AQ98*AT98*VLOOKUP('Données projet'!$B$10,Paramètres!$A$1:$I$89,3,0)*0.475*44/12</f>
        <v>#VALUE!</v>
      </c>
      <c r="AX98" s="21" t="e">
        <f t="shared" si="60"/>
        <v>#VALUE!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283.40000000000038</v>
      </c>
      <c r="O99" s="13">
        <f>N99*VLOOKUP('Données projet'!$B$9,Paramètres!$A$1:$I$89,3,0)*VLOOKUP('Données projet'!$B$9,Paramètres!$A$1:$I$89,5,0)</f>
        <v>256.42032000000034</v>
      </c>
      <c r="P99" s="13">
        <f t="shared" si="87"/>
        <v>61.958720258017024</v>
      </c>
      <c r="Q99" s="20">
        <f t="shared" ref="Q99:Q130" si="107">(O99+P99)*0.475*44/12</f>
        <v>554.51016178271357</v>
      </c>
      <c r="R99" s="59">
        <f t="shared" si="55"/>
        <v>830.75921397910099</v>
      </c>
      <c r="S99" s="59">
        <f ca="1">AVERAGE(OFFSET($R$3,0,0,'Données projet'!$E$9+1,1))-AVERAGE(OFFSET($H$3,0,0,'Données projet'!$E$9+1,1))</f>
        <v>374.44366443573398</v>
      </c>
      <c r="T99" s="59">
        <f t="shared" si="88"/>
        <v>250.47702091764884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8.910468209212131E-10</v>
      </c>
      <c r="AC99" s="22">
        <f t="shared" si="57"/>
        <v>8.910468209212131E-10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7.5307692307692262</v>
      </c>
      <c r="AI99" s="13">
        <f>IF('Données projet'!$A$62&gt;35,AI98+AH99-AQ98,IF(A99&lt;'Données projet'!$A$62,$AF$205^A99,IF(A99='Données projet'!$A$62,'Données projet'!$B$62,AI98+AH99-AQ98)))</f>
        <v>242.23076923076934</v>
      </c>
      <c r="AJ99" s="13">
        <f>AI99*VLOOKUP('Données projet'!$B$10,Paramètres!$A$1:$I$89,3,0)*VLOOKUP('Données projet'!$B$10,Paramètres!$A$1:$I$89,5,0)</f>
        <v>113.36400000000006</v>
      </c>
      <c r="AK99" s="13">
        <f t="shared" si="89"/>
        <v>30.122174319121282</v>
      </c>
      <c r="AL99" s="20">
        <f t="shared" si="58"/>
        <v>249.90508693913634</v>
      </c>
      <c r="AM99" s="59">
        <f t="shared" si="59"/>
        <v>526.15413913552379</v>
      </c>
      <c r="AN99" s="59">
        <f ca="1">AVERAGE(OFFSET($AM$3,0,0,'Données projet'!$E$10+1,1))-AVERAGE(OFFSET($H$3,0,0,'Données projet'!$E$10+1,1))</f>
        <v>325.51141702511984</v>
      </c>
      <c r="AO99" s="59">
        <f t="shared" si="90"/>
        <v>280.04509991782709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#VALUE!</v>
      </c>
      <c r="AV99" s="21" t="e">
        <f>EXP(-LN(2)/25)*AV98+(1-EXP(-LN(2)/25))/(LN(2)/25)*Calculateur!AQ99*Calculateur!AS99*VLOOKUP('Données projet'!$B$10,Paramètres!$A$1:$I$89,3,0)*0.475*44/12</f>
        <v>#VALUE!</v>
      </c>
      <c r="AW99" s="21" t="e">
        <f>EXP(-LN(2)/2)*AW98+(1-EXP(-LN(2)/2))/(LN(2)/2)*AQ99*AT99*VLOOKUP('Données projet'!$B$10,Paramètres!$A$1:$I$89,3,0)*0.475*44/12</f>
        <v>#VALUE!</v>
      </c>
      <c r="AX99" s="21" t="e">
        <f t="shared" si="60"/>
        <v>#VALUE!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288.30000000000035</v>
      </c>
      <c r="O100" s="13">
        <f>N100*VLOOKUP('Données projet'!$B$9,Paramètres!$A$1:$I$89,3,0)*VLOOKUP('Données projet'!$B$9,Paramètres!$A$1:$I$89,5,0)</f>
        <v>260.85384000000033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840.42426932724914</v>
      </c>
      <c r="S100" s="59">
        <f ca="1">AVERAGE(OFFSET($R$3,0,0,'Données projet'!$E$9+1,1))-AVERAGE(OFFSET($H$3,0,0,'Données projet'!$E$9+1,1))</f>
        <v>374.44366443573398</v>
      </c>
      <c r="T100" s="59">
        <f t="shared" si="88"/>
        <v>250.47702091764884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6.3006524942810502E-10</v>
      </c>
      <c r="AC100" s="22">
        <f t="shared" si="57"/>
        <v>6.3006524942810502E-10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7.5307692307692262</v>
      </c>
      <c r="AI100" s="13">
        <f>IF('Données projet'!$A$62&gt;35,AI99+AH100-AQ99,IF(A100&lt;'Données projet'!$A$62,$AF$205^A100,IF(A100='Données projet'!$A$62,'Données projet'!$B$62,AI99+AH100-AQ99)))</f>
        <v>249.76153846153858</v>
      </c>
      <c r="AJ100" s="13">
        <f>AI100*VLOOKUP('Données projet'!$B$10,Paramètres!$A$1:$I$89,3,0)*VLOOKUP('Données projet'!$B$10,Paramètres!$A$1:$I$89,5,0)</f>
        <v>116.88840000000005</v>
      </c>
      <c r="AK100" s="13">
        <f t="shared" si="89"/>
        <v>30.94816375939811</v>
      </c>
      <c r="AL100" s="20">
        <f t="shared" si="58"/>
        <v>257.48201521428513</v>
      </c>
      <c r="AM100" s="59">
        <f t="shared" si="59"/>
        <v>534.02744149366799</v>
      </c>
      <c r="AN100" s="59">
        <f ca="1">AVERAGE(OFFSET($AM$3,0,0,'Données projet'!$E$10+1,1))-AVERAGE(OFFSET($H$3,0,0,'Données projet'!$E$10+1,1))</f>
        <v>325.51141702511984</v>
      </c>
      <c r="AO100" s="59">
        <f t="shared" si="90"/>
        <v>280.04509991782709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#VALUE!</v>
      </c>
      <c r="AV100" s="21" t="e">
        <f>EXP(-LN(2)/25)*AV99+(1-EXP(-LN(2)/25))/(LN(2)/25)*Calculateur!AQ100*Calculateur!AS100*VLOOKUP('Données projet'!$B$10,Paramètres!$A$1:$I$89,3,0)*0.475*44/12</f>
        <v>#VALUE!</v>
      </c>
      <c r="AW100" s="21" t="e">
        <f>EXP(-LN(2)/2)*AW99+(1-EXP(-LN(2)/2))/(LN(2)/2)*AQ100*AT100*VLOOKUP('Données projet'!$B$10,Paramètres!$A$1:$I$89,3,0)*0.475*44/12</f>
        <v>#VALUE!</v>
      </c>
      <c r="AX100" s="21" t="e">
        <f t="shared" si="60"/>
        <v>#VALUE!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293.20000000000033</v>
      </c>
      <c r="O101" s="13">
        <f>N101*VLOOKUP('Données projet'!$B$9,Paramètres!$A$1:$I$89,3,0)*VLOOKUP('Données projet'!$B$9,Paramètres!$A$1:$I$89,5,0)</f>
        <v>265.28736000000032</v>
      </c>
      <c r="P101" s="13">
        <f t="shared" si="87"/>
        <v>63.848105500970064</v>
      </c>
      <c r="Q101" s="20">
        <f t="shared" si="107"/>
        <v>573.24426908085672</v>
      </c>
      <c r="R101" s="59">
        <f t="shared" si="55"/>
        <v>850.0809280154881</v>
      </c>
      <c r="S101" s="59">
        <f ca="1">AVERAGE(OFFSET($R$3,0,0,'Données projet'!$E$9+1,1))-AVERAGE(OFFSET($H$3,0,0,'Données projet'!$E$9+1,1))</f>
        <v>374.44366443573398</v>
      </c>
      <c r="T101" s="59">
        <f t="shared" si="88"/>
        <v>250.47702091764884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4.4552341046060655E-10</v>
      </c>
      <c r="AC101" s="22">
        <f t="shared" si="57"/>
        <v>4.4552341046060655E-10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7.5307692307692262</v>
      </c>
      <c r="AI101" s="13">
        <f>IF('Données projet'!$A$62&gt;35,AI100+AH101-AQ100,IF(A101&lt;'Données projet'!$A$62,$AF$205^A101,IF(A101='Données projet'!$A$62,'Données projet'!$B$62,AI100+AH101-AQ100)))</f>
        <v>257.29230769230782</v>
      </c>
      <c r="AJ101" s="13">
        <f>AI101*VLOOKUP('Données projet'!$B$10,Paramètres!$A$1:$I$89,3,0)*VLOOKUP('Données projet'!$B$10,Paramètres!$A$1:$I$89,5,0)</f>
        <v>120.41280000000006</v>
      </c>
      <c r="AK101" s="13">
        <f t="shared" si="89"/>
        <v>31.771258864018176</v>
      </c>
      <c r="AL101" s="20">
        <f t="shared" si="58"/>
        <v>265.0539025214984</v>
      </c>
      <c r="AM101" s="59">
        <f t="shared" si="59"/>
        <v>541.89056145612972</v>
      </c>
      <c r="AN101" s="59">
        <f ca="1">AVERAGE(OFFSET($AM$3,0,0,'Données projet'!$E$10+1,1))-AVERAGE(OFFSET($H$3,0,0,'Données projet'!$E$10+1,1))</f>
        <v>325.51141702511984</v>
      </c>
      <c r="AO101" s="59">
        <f t="shared" si="90"/>
        <v>280.04509991782709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#VALUE!</v>
      </c>
      <c r="AV101" s="21" t="e">
        <f>EXP(-LN(2)/25)*AV100+(1-EXP(-LN(2)/25))/(LN(2)/25)*Calculateur!AQ101*Calculateur!AS101*VLOOKUP('Données projet'!$B$10,Paramètres!$A$1:$I$89,3,0)*0.475*44/12</f>
        <v>#VALUE!</v>
      </c>
      <c r="AW101" s="21" t="e">
        <f>EXP(-LN(2)/2)*AW100+(1-EXP(-LN(2)/2))/(LN(2)/2)*AQ101*AT101*VLOOKUP('Données projet'!$B$10,Paramètres!$A$1:$I$89,3,0)*0.475*44/12</f>
        <v>#VALUE!</v>
      </c>
      <c r="AX101" s="21" t="e">
        <f t="shared" si="60"/>
        <v>#VALUE!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298.10000000000031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859.72933991703485</v>
      </c>
      <c r="S102" s="59">
        <f ca="1">AVERAGE(OFFSET($R$3,0,0,'Données projet'!$E$9+1,1))-AVERAGE(OFFSET($H$3,0,0,'Données projet'!$E$9+1,1))</f>
        <v>374.44366443573398</v>
      </c>
      <c r="T102" s="59">
        <f t="shared" si="88"/>
        <v>250.47702091764884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3.1503262471405251E-10</v>
      </c>
      <c r="AC102" s="22">
        <f t="shared" si="57"/>
        <v>3.1503262471405251E-10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7.5307692307692262</v>
      </c>
      <c r="AI102" s="13">
        <f>IF('Données projet'!$A$62&gt;35,AI101+AH102-AQ101,IF(A102&lt;'Données projet'!$A$62,$AF$205^A102,IF(A102='Données projet'!$A$62,'Données projet'!$B$62,AI101+AH102-AQ101)))</f>
        <v>264.82307692307705</v>
      </c>
      <c r="AJ102" s="13">
        <f>AI102*VLOOKUP('Données projet'!$B$10,Paramètres!$A$1:$I$89,3,0)*VLOOKUP('Données projet'!$B$10,Paramètres!$A$1:$I$89,5,0)</f>
        <v>123.93720000000006</v>
      </c>
      <c r="AK102" s="13">
        <f t="shared" si="89"/>
        <v>32.591554075461175</v>
      </c>
      <c r="AL102" s="20">
        <f t="shared" si="58"/>
        <v>272.62091334809492</v>
      </c>
      <c r="AM102" s="59">
        <f t="shared" si="59"/>
        <v>549.74375270250505</v>
      </c>
      <c r="AN102" s="59">
        <f ca="1">AVERAGE(OFFSET($AM$3,0,0,'Données projet'!$E$10+1,1))-AVERAGE(OFFSET($H$3,0,0,'Données projet'!$E$10+1,1))</f>
        <v>325.51141702511984</v>
      </c>
      <c r="AO102" s="59">
        <f t="shared" si="90"/>
        <v>280.04509991782709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#VALUE!</v>
      </c>
      <c r="AV102" s="21" t="e">
        <f>EXP(-LN(2)/25)*AV101+(1-EXP(-LN(2)/25))/(LN(2)/25)*Calculateur!AQ102*Calculateur!AS102*VLOOKUP('Données projet'!$B$10,Paramètres!$A$1:$I$89,3,0)*0.475*44/12</f>
        <v>#VALUE!</v>
      </c>
      <c r="AW102" s="21" t="e">
        <f>EXP(-LN(2)/2)*AW101+(1-EXP(-LN(2)/2))/(LN(2)/2)*AQ102*AT102*VLOOKUP('Données projet'!$B$10,Paramètres!$A$1:$I$89,3,0)*0.475*44/12</f>
        <v>#VALUE!</v>
      </c>
      <c r="AX102" s="21" t="e">
        <f t="shared" si="60"/>
        <v>#VALUE!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303.00000000000028</v>
      </c>
      <c r="O103" s="13">
        <f>N103*VLOOKUP('Données projet'!$B$9,Paramètres!$A$1:$I$89,3,0)*VLOOKUP('Données projet'!$B$9,Paramètres!$A$1:$I$89,5,0)</f>
        <v>274.15440000000024</v>
      </c>
      <c r="P103" s="13">
        <f t="shared" si="87"/>
        <v>65.730152764515893</v>
      </c>
      <c r="Q103" s="20">
        <f t="shared" si="107"/>
        <v>591.96559606486551</v>
      </c>
      <c r="R103" s="59">
        <f t="shared" si="55"/>
        <v>869.36965124857466</v>
      </c>
      <c r="S103" s="59">
        <f ca="1">AVERAGE(OFFSET($R$3,0,0,'Données projet'!$E$9+1,1))-AVERAGE(OFFSET($H$3,0,0,'Données projet'!$E$9+1,1))</f>
        <v>374.44366443573398</v>
      </c>
      <c r="T103" s="59">
        <f t="shared" si="88"/>
        <v>250.47702091764884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303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2.2276170523030327E-10</v>
      </c>
      <c r="AC103" s="22">
        <f t="shared" si="57"/>
        <v>2.2276170523030327E-10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272.35384615384612</v>
      </c>
      <c r="AG103" s="12">
        <f>VLOOKUP(A103,'Données projet'!$A$61:$I$81,9,0)</f>
        <v>7.5307692307692262</v>
      </c>
      <c r="AH103" s="12">
        <f t="array" ref="AH103">INDEX(AG:AG,MIN(IF(ISNUMBER(AG103:AG299),ROW(AG103:AG299),"")))</f>
        <v>7.5307692307692262</v>
      </c>
      <c r="AI103" s="13">
        <f>IF('Données projet'!$A$62&gt;35,AI102+AH103-AQ102,IF(A103&lt;'Données projet'!$A$62,$AF$205^A103,IF(A103='Données projet'!$A$62,'Données projet'!$B$62,AI102+AH103-AQ102)))</f>
        <v>272.35384615384629</v>
      </c>
      <c r="AJ103" s="13">
        <f>AI103*VLOOKUP('Données projet'!$B$10,Paramètres!$A$1:$I$89,3,0)*VLOOKUP('Données projet'!$B$10,Paramètres!$A$1:$I$89,5,0)</f>
        <v>127.46160000000006</v>
      </c>
      <c r="AK103" s="13">
        <f t="shared" si="89"/>
        <v>33.409138159359948</v>
      </c>
      <c r="AL103" s="20">
        <f t="shared" si="58"/>
        <v>280.18320229421863</v>
      </c>
      <c r="AM103" s="59">
        <f t="shared" si="59"/>
        <v>557.58725747792778</v>
      </c>
      <c r="AN103" s="59">
        <f ca="1">AVERAGE(OFFSET($AM$3,0,0,'Données projet'!$E$10+1,1))-AVERAGE(OFFSET($H$3,0,0,'Données projet'!$E$10+1,1))</f>
        <v>325.51141702511984</v>
      </c>
      <c r="AO103" s="59">
        <f t="shared" si="90"/>
        <v>280.04509991782709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 t="e">
        <f>IF(ISNA(VLOOKUP(A103,'Données projet'!$A$61:$I$81,5,0)),0%,VLOOKUP(A103,'Données projet'!$A$61:$I$81,5,0)*VLOOKUP('Données projet'!$B$10,Paramètres!$A$1:$I$89,7,0))</f>
        <v>#VALUE!</v>
      </c>
      <c r="AS103" s="16" t="e">
        <f>IF(ISNA(VLOOKUP(A103,'Données projet'!$A$61:$I$81,6,0)),0%,VLOOKUP(A103,'Données projet'!$A$61:$I$81,6,0)*VLOOKUP('Données projet'!$B$10,Paramètres!$A$1:$I$89,7,0))</f>
        <v>#VALUE!</v>
      </c>
      <c r="AT103" s="16" t="str">
        <f>IF(ISNA(VLOOKUP(A103,'Données projet'!$A$61:$I$81,7,0)),0%,VLOOKUP(A103,'Données projet'!$A$61:$I$81,7,0))</f>
        <v/>
      </c>
      <c r="AU103" s="21" t="e">
        <f>EXP(-LN(2)/35)*AU102+(1-EXP(-LN(2)/35))/(LN(2)/35)*AQ103*AR103*VLOOKUP('Données projet'!$B$10,Paramètres!$A$1:$I$89,3,0)*0.475*44/12</f>
        <v>#VALUE!</v>
      </c>
      <c r="AV103" s="21" t="e">
        <f>EXP(-LN(2)/25)*AV102+(1-EXP(-LN(2)/25))/(LN(2)/25)*Calculateur!AQ103*Calculateur!AS103*VLOOKUP('Données projet'!$B$10,Paramètres!$A$1:$I$89,3,0)*0.475*44/12</f>
        <v>#VALUE!</v>
      </c>
      <c r="AW103" s="21" t="e">
        <f>EXP(-LN(2)/2)*AW102+(1-EXP(-LN(2)/2))/(LN(2)/2)*AQ103*AT103*VLOOKUP('Données projet'!$B$10,Paramètres!$A$1:$I$89,3,0)*0.475*44/12</f>
        <v>#VALUE!</v>
      </c>
      <c r="AX103" s="21" t="e">
        <f t="shared" si="60"/>
        <v>#VALUE!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2.8421709430404007E-13</v>
      </c>
      <c r="O104" s="13">
        <f>N104*VLOOKUP('Données projet'!$B$9,Paramètres!$A$1:$I$89,3,0)*VLOOKUP('Données projet'!$B$9,Paramètres!$A$1:$I$89,5,0)</f>
        <v>2.5715962692629546E-13</v>
      </c>
      <c r="P104" s="13">
        <f t="shared" si="87"/>
        <v>3.4610450122128953E-12</v>
      </c>
      <c r="Q104" s="20">
        <f t="shared" si="107"/>
        <v>6.4758730798340893E-12</v>
      </c>
      <c r="R104" s="59">
        <f t="shared" si="55"/>
        <v>277.68039254708088</v>
      </c>
      <c r="S104" s="59">
        <f ca="1">AVERAGE(OFFSET($R$3,0,0,'Données projet'!$E$9+1,1))-AVERAGE(OFFSET($H$3,0,0,'Données projet'!$E$9+1,1))</f>
        <v>374.44366443573398</v>
      </c>
      <c r="T104" s="59">
        <f t="shared" si="88"/>
        <v>250.47702091764884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1.5751631235702625E-10</v>
      </c>
      <c r="AC104" s="22">
        <f t="shared" si="57"/>
        <v>1.5751631235702625E-10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7.4723076923076972</v>
      </c>
      <c r="AI104" s="13">
        <f>IF('Données projet'!$A$62&gt;35,AI103+AH104-AQ103,IF(A104&lt;'Données projet'!$A$62,$AF$205^A104,IF(A104='Données projet'!$A$62,'Données projet'!$B$62,AI103+AH104-AQ103)))</f>
        <v>279.826153846154</v>
      </c>
      <c r="AJ104" s="13">
        <f>AI104*VLOOKUP('Données projet'!$B$10,Paramètres!$A$1:$I$89,3,0)*VLOOKUP('Données projet'!$B$10,Paramètres!$A$1:$I$89,5,0)</f>
        <v>130.95864000000006</v>
      </c>
      <c r="AK104" s="13">
        <f t="shared" si="89"/>
        <v>34.217778081608643</v>
      </c>
      <c r="AL104" s="20">
        <f t="shared" si="58"/>
        <v>287.68226149213513</v>
      </c>
      <c r="AM104" s="59">
        <f t="shared" si="59"/>
        <v>565.36265403920947</v>
      </c>
      <c r="AN104" s="59">
        <f ca="1">AVERAGE(OFFSET($AM$3,0,0,'Données projet'!$E$10+1,1))-AVERAGE(OFFSET($H$3,0,0,'Données projet'!$E$10+1,1))</f>
        <v>325.51141702511984</v>
      </c>
      <c r="AO104" s="59">
        <f t="shared" si="90"/>
        <v>280.04509991782709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#VALUE!</v>
      </c>
      <c r="AV104" s="21" t="e">
        <f>EXP(-LN(2)/25)*AV103+(1-EXP(-LN(2)/25))/(LN(2)/25)*Calculateur!AQ104*Calculateur!AS104*VLOOKUP('Données projet'!$B$10,Paramètres!$A$1:$I$89,3,0)*0.475*44/12</f>
        <v>#VALUE!</v>
      </c>
      <c r="AW104" s="21" t="e">
        <f>EXP(-LN(2)/2)*AW103+(1-EXP(-LN(2)/2))/(LN(2)/2)*AQ104*AT104*VLOOKUP('Données projet'!$B$10,Paramètres!$A$1:$I$89,3,0)*0.475*44/12</f>
        <v>#VALUE!</v>
      </c>
      <c r="AX104" s="21" t="e">
        <f t="shared" si="60"/>
        <v>#VALUE!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2.8421709430404007E-13</v>
      </c>
      <c r="O105" s="13">
        <f>N105*VLOOKUP('Données projet'!$B$9,Paramètres!$A$1:$I$89,3,0)*VLOOKUP('Données projet'!$B$9,Paramètres!$A$1:$I$89,5,0)</f>
        <v>2.5715962692629546E-13</v>
      </c>
      <c r="P105" s="13">
        <f t="shared" si="87"/>
        <v>3.4610450122128953E-12</v>
      </c>
      <c r="Q105" s="20">
        <f t="shared" si="107"/>
        <v>6.4758730798340893E-12</v>
      </c>
      <c r="R105" s="59">
        <f t="shared" si="55"/>
        <v>277.95193607498942</v>
      </c>
      <c r="S105" s="59">
        <f ca="1">AVERAGE(OFFSET($R$3,0,0,'Données projet'!$E$9+1,1))-AVERAGE(OFFSET($H$3,0,0,'Données projet'!$E$9+1,1))</f>
        <v>374.44366443573398</v>
      </c>
      <c r="T105" s="59">
        <f t="shared" si="88"/>
        <v>250.47702091764884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1.1138085261515164E-10</v>
      </c>
      <c r="AC105" s="22">
        <f t="shared" si="57"/>
        <v>1.1138085261515164E-10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7.4723076923076972</v>
      </c>
      <c r="AI105" s="13">
        <f>IF('Données projet'!$A$62&gt;35,AI104+AH105-AQ104,IF(A105&lt;'Données projet'!$A$62,$AF$205^A105,IF(A105='Données projet'!$A$62,'Données projet'!$B$62,AI104+AH105-AQ104)))</f>
        <v>287.29846153846171</v>
      </c>
      <c r="AJ105" s="13">
        <f>AI105*VLOOKUP('Données projet'!$B$10,Paramètres!$A$1:$I$89,3,0)*VLOOKUP('Données projet'!$B$10,Paramètres!$A$1:$I$89,5,0)</f>
        <v>134.45568000000006</v>
      </c>
      <c r="AK105" s="13">
        <f t="shared" si="89"/>
        <v>35.023908115698482</v>
      </c>
      <c r="AL105" s="20">
        <f t="shared" si="58"/>
        <v>295.17694930150827</v>
      </c>
      <c r="AM105" s="59">
        <f t="shared" si="59"/>
        <v>573.12888537649121</v>
      </c>
      <c r="AN105" s="59">
        <f ca="1">AVERAGE(OFFSET($AM$3,0,0,'Données projet'!$E$10+1,1))-AVERAGE(OFFSET($H$3,0,0,'Données projet'!$E$10+1,1))</f>
        <v>325.51141702511984</v>
      </c>
      <c r="AO105" s="59">
        <f t="shared" si="90"/>
        <v>280.04509991782709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#VALUE!</v>
      </c>
      <c r="AV105" s="21" t="e">
        <f>EXP(-LN(2)/25)*AV104+(1-EXP(-LN(2)/25))/(LN(2)/25)*Calculateur!AQ105*Calculateur!AS105*VLOOKUP('Données projet'!$B$10,Paramètres!$A$1:$I$89,3,0)*0.475*44/12</f>
        <v>#VALUE!</v>
      </c>
      <c r="AW105" s="21" t="e">
        <f>EXP(-LN(2)/2)*AW104+(1-EXP(-LN(2)/2))/(LN(2)/2)*AQ105*AT105*VLOOKUP('Données projet'!$B$10,Paramètres!$A$1:$I$89,3,0)*0.475*44/12</f>
        <v>#VALUE!</v>
      </c>
      <c r="AX105" s="21" t="e">
        <f t="shared" si="60"/>
        <v>#VALUE!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2.8421709430404007E-13</v>
      </c>
      <c r="O106" s="13">
        <f>N106*VLOOKUP('Données projet'!$B$9,Paramètres!$A$1:$I$89,3,0)*VLOOKUP('Données projet'!$B$9,Paramètres!$A$1:$I$89,5,0)</f>
        <v>2.5715962692629546E-13</v>
      </c>
      <c r="P106" s="13">
        <f t="shared" si="87"/>
        <v>3.4610450122128953E-12</v>
      </c>
      <c r="Q106" s="20">
        <f t="shared" si="107"/>
        <v>6.4758730798340893E-12</v>
      </c>
      <c r="R106" s="59">
        <f t="shared" si="55"/>
        <v>278.21876892976917</v>
      </c>
      <c r="S106" s="59">
        <f ca="1">AVERAGE(OFFSET($R$3,0,0,'Données projet'!$E$9+1,1))-AVERAGE(OFFSET($H$3,0,0,'Données projet'!$E$9+1,1))</f>
        <v>374.44366443573398</v>
      </c>
      <c r="T106" s="59">
        <f t="shared" si="88"/>
        <v>250.47702091764884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7.8758156178513127E-11</v>
      </c>
      <c r="AC106" s="22">
        <f t="shared" si="57"/>
        <v>7.8758156178513127E-11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7.4723076923076972</v>
      </c>
      <c r="AI106" s="13">
        <f>IF('Données projet'!$A$62&gt;35,AI105+AH106-AQ105,IF(A106&lt;'Données projet'!$A$62,$AF$205^A106,IF(A106='Données projet'!$A$62,'Données projet'!$B$62,AI105+AH106-AQ105)))</f>
        <v>294.77076923076942</v>
      </c>
      <c r="AJ106" s="13">
        <f>AI106*VLOOKUP('Données projet'!$B$10,Paramètres!$A$1:$I$89,3,0)*VLOOKUP('Données projet'!$B$10,Paramètres!$A$1:$I$89,5,0)</f>
        <v>137.95272000000008</v>
      </c>
      <c r="AK106" s="13">
        <f t="shared" si="89"/>
        <v>35.82760104589854</v>
      </c>
      <c r="AL106" s="20">
        <f t="shared" si="58"/>
        <v>302.66739248827344</v>
      </c>
      <c r="AM106" s="59">
        <f t="shared" si="59"/>
        <v>580.88616141803618</v>
      </c>
      <c r="AN106" s="59">
        <f ca="1">AVERAGE(OFFSET($AM$3,0,0,'Données projet'!$E$10+1,1))-AVERAGE(OFFSET($H$3,0,0,'Données projet'!$E$10+1,1))</f>
        <v>325.51141702511984</v>
      </c>
      <c r="AO106" s="59">
        <f t="shared" si="90"/>
        <v>280.04509991782709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#VALUE!</v>
      </c>
      <c r="AV106" s="21" t="e">
        <f>EXP(-LN(2)/25)*AV105+(1-EXP(-LN(2)/25))/(LN(2)/25)*Calculateur!AQ106*Calculateur!AS106*VLOOKUP('Données projet'!$B$10,Paramètres!$A$1:$I$89,3,0)*0.475*44/12</f>
        <v>#VALUE!</v>
      </c>
      <c r="AW106" s="21" t="e">
        <f>EXP(-LN(2)/2)*AW105+(1-EXP(-LN(2)/2))/(LN(2)/2)*AQ106*AT106*VLOOKUP('Données projet'!$B$10,Paramètres!$A$1:$I$89,3,0)*0.475*44/12</f>
        <v>#VALUE!</v>
      </c>
      <c r="AX106" s="21" t="e">
        <f t="shared" si="60"/>
        <v>#VALUE!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2.8421709430404007E-13</v>
      </c>
      <c r="O107" s="13">
        <f>N107*VLOOKUP('Données projet'!$B$9,Paramètres!$A$1:$I$89,3,0)*VLOOKUP('Données projet'!$B$9,Paramètres!$A$1:$I$89,5,0)</f>
        <v>2.5715962692629546E-13</v>
      </c>
      <c r="P107" s="13">
        <f t="shared" si="87"/>
        <v>3.4610450122128953E-12</v>
      </c>
      <c r="Q107" s="20">
        <f t="shared" si="107"/>
        <v>6.4758730798340893E-12</v>
      </c>
      <c r="R107" s="59">
        <f t="shared" si="55"/>
        <v>278.48097283106739</v>
      </c>
      <c r="S107" s="59">
        <f ca="1">AVERAGE(OFFSET($R$3,0,0,'Données projet'!$E$9+1,1))-AVERAGE(OFFSET($H$3,0,0,'Données projet'!$E$9+1,1))</f>
        <v>374.44366443573398</v>
      </c>
      <c r="T107" s="59">
        <f t="shared" si="88"/>
        <v>250.47702091764884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5.5690426307575819E-11</v>
      </c>
      <c r="AC107" s="22">
        <f t="shared" si="57"/>
        <v>5.5690426307575819E-11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7.4723076923076972</v>
      </c>
      <c r="AI107" s="13">
        <f>IF('Données projet'!$A$62&gt;35,AI106+AH107-AQ106,IF(A107&lt;'Données projet'!$A$62,$AF$205^A107,IF(A107='Données projet'!$A$62,'Données projet'!$B$62,AI106+AH107-AQ106)))</f>
        <v>302.24307692307713</v>
      </c>
      <c r="AJ107" s="13">
        <f>AI107*VLOOKUP('Données projet'!$B$10,Paramètres!$A$1:$I$89,3,0)*VLOOKUP('Données projet'!$B$10,Paramètres!$A$1:$I$89,5,0)</f>
        <v>141.44976000000011</v>
      </c>
      <c r="AK107" s="13">
        <f t="shared" si="89"/>
        <v>36.628925756112167</v>
      </c>
      <c r="AL107" s="20">
        <f t="shared" si="58"/>
        <v>310.15371102522892</v>
      </c>
      <c r="AM107" s="59">
        <f t="shared" si="59"/>
        <v>588.63468385628983</v>
      </c>
      <c r="AN107" s="59">
        <f ca="1">AVERAGE(OFFSET($AM$3,0,0,'Données projet'!$E$10+1,1))-AVERAGE(OFFSET($H$3,0,0,'Données projet'!$E$10+1,1))</f>
        <v>325.51141702511984</v>
      </c>
      <c r="AO107" s="59">
        <f t="shared" si="90"/>
        <v>280.04509991782709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#VALUE!</v>
      </c>
      <c r="AV107" s="21" t="e">
        <f>EXP(-LN(2)/25)*AV106+(1-EXP(-LN(2)/25))/(LN(2)/25)*Calculateur!AQ107*Calculateur!AS107*VLOOKUP('Données projet'!$B$10,Paramètres!$A$1:$I$89,3,0)*0.475*44/12</f>
        <v>#VALUE!</v>
      </c>
      <c r="AW107" s="21" t="e">
        <f>EXP(-LN(2)/2)*AW106+(1-EXP(-LN(2)/2))/(LN(2)/2)*AQ107*AT107*VLOOKUP('Données projet'!$B$10,Paramètres!$A$1:$I$89,3,0)*0.475*44/12</f>
        <v>#VALUE!</v>
      </c>
      <c r="AX107" s="21" t="e">
        <f t="shared" si="60"/>
        <v>#VALUE!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2.8421709430404007E-13</v>
      </c>
      <c r="O108" s="13">
        <f>N108*VLOOKUP('Données projet'!$B$9,Paramètres!$A$1:$I$89,3,0)*VLOOKUP('Données projet'!$B$9,Paramètres!$A$1:$I$89,5,0)</f>
        <v>2.5715962692629546E-13</v>
      </c>
      <c r="P108" s="13">
        <f t="shared" si="87"/>
        <v>3.4610450122128953E-12</v>
      </c>
      <c r="Q108" s="20">
        <f t="shared" si="107"/>
        <v>6.4758730798340893E-12</v>
      </c>
      <c r="R108" s="59">
        <f t="shared" si="55"/>
        <v>278.73862808087824</v>
      </c>
      <c r="S108" s="59">
        <f ca="1">AVERAGE(OFFSET($R$3,0,0,'Données projet'!$E$9+1,1))-AVERAGE(OFFSET($H$3,0,0,'Données projet'!$E$9+1,1))</f>
        <v>374.44366443573398</v>
      </c>
      <c r="T108" s="59">
        <f t="shared" si="88"/>
        <v>250.47702091764884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3.9379078089256564E-11</v>
      </c>
      <c r="AC108" s="22">
        <f t="shared" si="57"/>
        <v>3.9379078089256564E-11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309.71538461538461</v>
      </c>
      <c r="AG108" s="12">
        <f>VLOOKUP(A108,'Données projet'!$A$61:$I$81,9,0)</f>
        <v>7.4723076923076972</v>
      </c>
      <c r="AH108" s="12">
        <f t="array" ref="AH108">INDEX(AG:AG,MIN(IF(ISNUMBER(AG108:AG304),ROW(AG108:AG304),"")))</f>
        <v>7.4723076923076972</v>
      </c>
      <c r="AI108" s="13">
        <f>IF('Données projet'!$A$62&gt;35,AI107+AH108-AQ107,IF(A108&lt;'Données projet'!$A$62,$AF$205^A108,IF(A108='Données projet'!$A$62,'Données projet'!$B$62,AI107+AH108-AQ107)))</f>
        <v>309.71538461538483</v>
      </c>
      <c r="AJ108" s="13">
        <f>AI108*VLOOKUP('Données projet'!$B$10,Paramètres!$A$1:$I$89,3,0)*VLOOKUP('Données projet'!$B$10,Paramètres!$A$1:$I$89,5,0)</f>
        <v>144.94680000000011</v>
      </c>
      <c r="AK108" s="13">
        <f t="shared" si="89"/>
        <v>37.427947530076921</v>
      </c>
      <c r="AL108" s="20">
        <f t="shared" si="58"/>
        <v>317.63601861488411</v>
      </c>
      <c r="AM108" s="59">
        <f t="shared" si="59"/>
        <v>596.37464669575593</v>
      </c>
      <c r="AN108" s="59">
        <f ca="1">AVERAGE(OFFSET($AM$3,0,0,'Données projet'!$E$10+1,1))-AVERAGE(OFFSET($H$3,0,0,'Données projet'!$E$10+1,1))</f>
        <v>325.51141702511984</v>
      </c>
      <c r="AO108" s="59">
        <f t="shared" si="90"/>
        <v>280.04509991782709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309.71538461538461</v>
      </c>
      <c r="AR108" s="16" t="e">
        <f>IF(ISNA(VLOOKUP(A108,'Données projet'!$A$61:$I$81,5,0)),0%,VLOOKUP(A108,'Données projet'!$A$61:$I$81,5,0)*VLOOKUP('Données projet'!$B$10,Paramètres!$A$1:$I$89,7,0))</f>
        <v>#VALUE!</v>
      </c>
      <c r="AS108" s="16" t="e">
        <f>IF(ISNA(VLOOKUP(A108,'Données projet'!$A$61:$I$81,6,0)),0%,VLOOKUP(A108,'Données projet'!$A$61:$I$81,6,0)*VLOOKUP('Données projet'!$B$10,Paramètres!$A$1:$I$89,7,0))</f>
        <v>#VALUE!</v>
      </c>
      <c r="AT108" s="16" t="str">
        <f>IF(ISNA(VLOOKUP(A108,'Données projet'!$A$61:$I$81,7,0)),0%,VLOOKUP(A108,'Données projet'!$A$61:$I$81,7,0))</f>
        <v/>
      </c>
      <c r="AU108" s="21" t="e">
        <f>EXP(-LN(2)/35)*AU107+(1-EXP(-LN(2)/35))/(LN(2)/35)*AQ108*AR108*VLOOKUP('Données projet'!$B$10,Paramètres!$A$1:$I$89,3,0)*0.475*44/12</f>
        <v>#VALUE!</v>
      </c>
      <c r="AV108" s="21" t="e">
        <f>EXP(-LN(2)/25)*AV107+(1-EXP(-LN(2)/25))/(LN(2)/25)*Calculateur!AQ108*Calculateur!AS108*VLOOKUP('Données projet'!$B$10,Paramètres!$A$1:$I$89,3,0)*0.475*44/12</f>
        <v>#VALUE!</v>
      </c>
      <c r="AW108" s="21" t="e">
        <f>EXP(-LN(2)/2)*AW107+(1-EXP(-LN(2)/2))/(LN(2)/2)*AQ108*AT108*VLOOKUP('Données projet'!$B$10,Paramètres!$A$1:$I$89,3,0)*0.475*44/12</f>
        <v>#VALUE!</v>
      </c>
      <c r="AX108" s="21" t="e">
        <f t="shared" si="60"/>
        <v>#VALUE!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2.5715962692629546E-13</v>
      </c>
      <c r="P109" s="13">
        <f t="shared" si="87"/>
        <v>3.4610450122128953E-12</v>
      </c>
      <c r="Q109" s="20">
        <f t="shared" si="107"/>
        <v>6.4758730798340893E-12</v>
      </c>
      <c r="R109" s="59">
        <f t="shared" si="55"/>
        <v>278.99181358813559</v>
      </c>
      <c r="S109" s="59">
        <f ca="1">AVERAGE(OFFSET($R$3,0,0,'Données projet'!$E$9+1,1))-AVERAGE(OFFSET($H$3,0,0,'Données projet'!$E$9+1,1))</f>
        <v>374.44366443573398</v>
      </c>
      <c r="T109" s="59">
        <f t="shared" si="88"/>
        <v>250.47702091764884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2.7845213153787909E-11</v>
      </c>
      <c r="AC109" s="22">
        <f t="shared" si="57"/>
        <v>2.7845213153787909E-11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1.064108801074326E-13</v>
      </c>
      <c r="AK109" s="13">
        <f t="shared" si="89"/>
        <v>1.5870730813698654E-12</v>
      </c>
      <c r="AL109" s="20">
        <f t="shared" si="58"/>
        <v>2.9494845662396269E-12</v>
      </c>
      <c r="AM109" s="59">
        <f t="shared" si="59"/>
        <v>278.99181358813206</v>
      </c>
      <c r="AN109" s="59">
        <f ca="1">AVERAGE(OFFSET($AM$3,0,0,'Données projet'!$E$10+1,1))-AVERAGE(OFFSET($H$3,0,0,'Données projet'!$E$10+1,1))</f>
        <v>325.51141702511984</v>
      </c>
      <c r="AO109" s="59">
        <f t="shared" si="90"/>
        <v>280.04509991782709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#VALUE!</v>
      </c>
      <c r="AV109" s="21" t="e">
        <f>EXP(-LN(2)/25)*AV108+(1-EXP(-LN(2)/25))/(LN(2)/25)*Calculateur!AQ109*Calculateur!AS109*VLOOKUP('Données projet'!$B$10,Paramètres!$A$1:$I$89,3,0)*0.475*44/12</f>
        <v>#VALUE!</v>
      </c>
      <c r="AW109" s="21" t="e">
        <f>EXP(-LN(2)/2)*AW108+(1-EXP(-LN(2)/2))/(LN(2)/2)*AQ109*AT109*VLOOKUP('Données projet'!$B$10,Paramètres!$A$1:$I$89,3,0)*0.475*44/12</f>
        <v>#VALUE!</v>
      </c>
      <c r="AX109" s="21" t="e">
        <f t="shared" si="60"/>
        <v>#VALUE!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2.5715962692629546E-13</v>
      </c>
      <c r="P110" s="13">
        <f t="shared" si="87"/>
        <v>3.4610450122128953E-12</v>
      </c>
      <c r="Q110" s="20">
        <f t="shared" si="107"/>
        <v>6.4758730798340893E-12</v>
      </c>
      <c r="R110" s="59">
        <f t="shared" si="55"/>
        <v>279.24060689288012</v>
      </c>
      <c r="S110" s="59">
        <f ca="1">AVERAGE(OFFSET($R$3,0,0,'Données projet'!$E$9+1,1))-AVERAGE(OFFSET($H$3,0,0,'Données projet'!$E$9+1,1))</f>
        <v>374.44366443573398</v>
      </c>
      <c r="T110" s="59">
        <f t="shared" si="88"/>
        <v>250.47702091764884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1.9689539044628282E-11</v>
      </c>
      <c r="AC110" s="22">
        <f t="shared" si="57"/>
        <v>1.9689539044628282E-11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1.064108801074326E-13</v>
      </c>
      <c r="AK110" s="13">
        <f t="shared" si="89"/>
        <v>1.5870730813698654E-12</v>
      </c>
      <c r="AL110" s="20">
        <f t="shared" si="58"/>
        <v>2.9494845662396269E-12</v>
      </c>
      <c r="AM110" s="59">
        <f t="shared" si="59"/>
        <v>279.2406068928766</v>
      </c>
      <c r="AN110" s="59">
        <f ca="1">AVERAGE(OFFSET($AM$3,0,0,'Données projet'!$E$10+1,1))-AVERAGE(OFFSET($H$3,0,0,'Données projet'!$E$10+1,1))</f>
        <v>325.51141702511984</v>
      </c>
      <c r="AO110" s="59">
        <f t="shared" si="90"/>
        <v>280.04509991782709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#VALUE!</v>
      </c>
      <c r="AV110" s="21" t="e">
        <f>EXP(-LN(2)/25)*AV109+(1-EXP(-LN(2)/25))/(LN(2)/25)*Calculateur!AQ110*Calculateur!AS110*VLOOKUP('Données projet'!$B$10,Paramètres!$A$1:$I$89,3,0)*0.475*44/12</f>
        <v>#VALUE!</v>
      </c>
      <c r="AW110" s="21" t="e">
        <f>EXP(-LN(2)/2)*AW109+(1-EXP(-LN(2)/2))/(LN(2)/2)*AQ110*AT110*VLOOKUP('Données projet'!$B$10,Paramètres!$A$1:$I$89,3,0)*0.475*44/12</f>
        <v>#VALUE!</v>
      </c>
      <c r="AX110" s="21" t="e">
        <f t="shared" si="60"/>
        <v>#VALUE!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2.5715962692629546E-13</v>
      </c>
      <c r="P111" s="13">
        <f t="shared" si="87"/>
        <v>3.4610450122128953E-12</v>
      </c>
      <c r="Q111" s="20">
        <f t="shared" si="107"/>
        <v>6.4758730798340893E-12</v>
      </c>
      <c r="R111" s="59">
        <f t="shared" si="55"/>
        <v>279.48508419000581</v>
      </c>
      <c r="S111" s="59">
        <f ca="1">AVERAGE(OFFSET($R$3,0,0,'Données projet'!$E$9+1,1))-AVERAGE(OFFSET($H$3,0,0,'Données projet'!$E$9+1,1))</f>
        <v>374.44366443573398</v>
      </c>
      <c r="T111" s="59">
        <f t="shared" si="88"/>
        <v>250.47702091764884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1.3922606576893955E-11</v>
      </c>
      <c r="AC111" s="22">
        <f t="shared" si="57"/>
        <v>1.3922606576893955E-11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1.064108801074326E-13</v>
      </c>
      <c r="AK111" s="13">
        <f t="shared" si="89"/>
        <v>1.5870730813698654E-12</v>
      </c>
      <c r="AL111" s="20">
        <f t="shared" si="58"/>
        <v>2.9494845662396269E-12</v>
      </c>
      <c r="AM111" s="59">
        <f t="shared" si="59"/>
        <v>279.48508419000228</v>
      </c>
      <c r="AN111" s="59">
        <f ca="1">AVERAGE(OFFSET($AM$3,0,0,'Données projet'!$E$10+1,1))-AVERAGE(OFFSET($H$3,0,0,'Données projet'!$E$10+1,1))</f>
        <v>325.51141702511984</v>
      </c>
      <c r="AO111" s="59">
        <f t="shared" si="90"/>
        <v>280.04509991782709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#VALUE!</v>
      </c>
      <c r="AV111" s="21" t="e">
        <f>EXP(-LN(2)/25)*AV110+(1-EXP(-LN(2)/25))/(LN(2)/25)*Calculateur!AQ111*Calculateur!AS111*VLOOKUP('Données projet'!$B$10,Paramètres!$A$1:$I$89,3,0)*0.475*44/12</f>
        <v>#VALUE!</v>
      </c>
      <c r="AW111" s="21" t="e">
        <f>EXP(-LN(2)/2)*AW110+(1-EXP(-LN(2)/2))/(LN(2)/2)*AQ111*AT111*VLOOKUP('Données projet'!$B$10,Paramètres!$A$1:$I$89,3,0)*0.475*44/12</f>
        <v>#VALUE!</v>
      </c>
      <c r="AX111" s="21" t="e">
        <f t="shared" si="60"/>
        <v>#VALUE!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2.5715962692629546E-13</v>
      </c>
      <c r="P112" s="13">
        <f t="shared" si="87"/>
        <v>3.4610450122128953E-12</v>
      </c>
      <c r="Q112" s="20">
        <f t="shared" si="107"/>
        <v>6.4758730798340893E-12</v>
      </c>
      <c r="R112" s="59">
        <f t="shared" si="55"/>
        <v>279.72532035259576</v>
      </c>
      <c r="S112" s="59">
        <f ca="1">AVERAGE(OFFSET($R$3,0,0,'Données projet'!$E$9+1,1))-AVERAGE(OFFSET($H$3,0,0,'Données projet'!$E$9+1,1))</f>
        <v>374.44366443573398</v>
      </c>
      <c r="T112" s="59">
        <f t="shared" si="88"/>
        <v>250.47702091764884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9.8447695223141409E-12</v>
      </c>
      <c r="AC112" s="22">
        <f t="shared" si="57"/>
        <v>9.8447695223141409E-12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1.064108801074326E-13</v>
      </c>
      <c r="AK112" s="13">
        <f t="shared" si="89"/>
        <v>1.5870730813698654E-12</v>
      </c>
      <c r="AL112" s="20">
        <f t="shared" si="58"/>
        <v>2.9494845662396269E-12</v>
      </c>
      <c r="AM112" s="59">
        <f t="shared" si="59"/>
        <v>279.72532035259223</v>
      </c>
      <c r="AN112" s="59">
        <f ca="1">AVERAGE(OFFSET($AM$3,0,0,'Données projet'!$E$10+1,1))-AVERAGE(OFFSET($H$3,0,0,'Données projet'!$E$10+1,1))</f>
        <v>325.51141702511984</v>
      </c>
      <c r="AO112" s="59">
        <f t="shared" si="90"/>
        <v>280.04509991782709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#VALUE!</v>
      </c>
      <c r="AV112" s="21" t="e">
        <f>EXP(-LN(2)/25)*AV111+(1-EXP(-LN(2)/25))/(LN(2)/25)*Calculateur!AQ112*Calculateur!AS112*VLOOKUP('Données projet'!$B$10,Paramètres!$A$1:$I$89,3,0)*0.475*44/12</f>
        <v>#VALUE!</v>
      </c>
      <c r="AW112" s="21" t="e">
        <f>EXP(-LN(2)/2)*AW111+(1-EXP(-LN(2)/2))/(LN(2)/2)*AQ112*AT112*VLOOKUP('Données projet'!$B$10,Paramètres!$A$1:$I$89,3,0)*0.475*44/12</f>
        <v>#VALUE!</v>
      </c>
      <c r="AX112" s="21" t="e">
        <f t="shared" si="60"/>
        <v>#VALUE!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2.5715962692629546E-13</v>
      </c>
      <c r="P113" s="13">
        <f t="shared" si="87"/>
        <v>3.4610450122128953E-12</v>
      </c>
      <c r="Q113" s="20">
        <f t="shared" si="107"/>
        <v>6.4758730798340893E-12</v>
      </c>
      <c r="R113" s="59">
        <f t="shared" si="55"/>
        <v>279.96138895485234</v>
      </c>
      <c r="S113" s="59">
        <f ca="1">AVERAGE(OFFSET($R$3,0,0,'Données projet'!$E$9+1,1))-AVERAGE(OFFSET($H$3,0,0,'Données projet'!$E$9+1,1))</f>
        <v>374.44366443573398</v>
      </c>
      <c r="T113" s="59">
        <f t="shared" si="88"/>
        <v>250.47702091764884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6.9613032884469773E-12</v>
      </c>
      <c r="AC113" s="22">
        <f t="shared" si="57"/>
        <v>6.9613032884469773E-12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1.064108801074326E-13</v>
      </c>
      <c r="AK113" s="13">
        <f t="shared" si="89"/>
        <v>1.5870730813698654E-12</v>
      </c>
      <c r="AL113" s="20">
        <f t="shared" si="58"/>
        <v>2.9494845662396269E-12</v>
      </c>
      <c r="AM113" s="59">
        <f t="shared" si="59"/>
        <v>279.96138895484881</v>
      </c>
      <c r="AN113" s="59">
        <f ca="1">AVERAGE(OFFSET($AM$3,0,0,'Données projet'!$E$10+1,1))-AVERAGE(OFFSET($H$3,0,0,'Données projet'!$E$10+1,1))</f>
        <v>325.51141702511984</v>
      </c>
      <c r="AO113" s="59">
        <f t="shared" si="90"/>
        <v>280.04509991782709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#VALUE!</v>
      </c>
      <c r="AV113" s="21" t="e">
        <f>EXP(-LN(2)/25)*AV112+(1-EXP(-LN(2)/25))/(LN(2)/25)*Calculateur!AQ113*Calculateur!AS113*VLOOKUP('Données projet'!$B$10,Paramètres!$A$1:$I$89,3,0)*0.475*44/12</f>
        <v>#VALUE!</v>
      </c>
      <c r="AW113" s="21" t="e">
        <f>EXP(-LN(2)/2)*AW112+(1-EXP(-LN(2)/2))/(LN(2)/2)*AQ113*AT113*VLOOKUP('Données projet'!$B$10,Paramètres!$A$1:$I$89,3,0)*0.475*44/12</f>
        <v>#VALUE!</v>
      </c>
      <c r="AX113" s="21" t="e">
        <f t="shared" si="60"/>
        <v>#VALUE!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2.5715962692629546E-13</v>
      </c>
      <c r="P114" s="13">
        <f t="shared" si="87"/>
        <v>3.4610450122128953E-12</v>
      </c>
      <c r="Q114" s="20">
        <f t="shared" si="107"/>
        <v>6.4758730798340893E-12</v>
      </c>
      <c r="R114" s="59">
        <f t="shared" si="55"/>
        <v>280.19336229463005</v>
      </c>
      <c r="S114" s="59">
        <f ca="1">AVERAGE(OFFSET($R$3,0,0,'Données projet'!$E$9+1,1))-AVERAGE(OFFSET($H$3,0,0,'Données projet'!$E$9+1,1))</f>
        <v>374.44366443573398</v>
      </c>
      <c r="T114" s="59">
        <f t="shared" si="88"/>
        <v>250.47702091764884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4.9223847611570705E-12</v>
      </c>
      <c r="AC114" s="22">
        <f t="shared" si="57"/>
        <v>4.9223847611570705E-12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1.064108801074326E-13</v>
      </c>
      <c r="AK114" s="13">
        <f t="shared" si="89"/>
        <v>1.5870730813698654E-12</v>
      </c>
      <c r="AL114" s="20">
        <f t="shared" si="58"/>
        <v>2.9494845662396269E-12</v>
      </c>
      <c r="AM114" s="59">
        <f t="shared" si="59"/>
        <v>280.19336229462652</v>
      </c>
      <c r="AN114" s="59">
        <f ca="1">AVERAGE(OFFSET($AM$3,0,0,'Données projet'!$E$10+1,1))-AVERAGE(OFFSET($H$3,0,0,'Données projet'!$E$10+1,1))</f>
        <v>325.51141702511984</v>
      </c>
      <c r="AO114" s="59">
        <f t="shared" si="90"/>
        <v>280.04509991782709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#VALUE!</v>
      </c>
      <c r="AV114" s="21" t="e">
        <f>EXP(-LN(2)/25)*AV113+(1-EXP(-LN(2)/25))/(LN(2)/25)*Calculateur!AQ114*Calculateur!AS114*VLOOKUP('Données projet'!$B$10,Paramètres!$A$1:$I$89,3,0)*0.475*44/12</f>
        <v>#VALUE!</v>
      </c>
      <c r="AW114" s="21" t="e">
        <f>EXP(-LN(2)/2)*AW113+(1-EXP(-LN(2)/2))/(LN(2)/2)*AQ114*AT114*VLOOKUP('Données projet'!$B$10,Paramètres!$A$1:$I$89,3,0)*0.475*44/12</f>
        <v>#VALUE!</v>
      </c>
      <c r="AX114" s="21" t="e">
        <f t="shared" si="60"/>
        <v>#VALUE!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2.5715962692629546E-13</v>
      </c>
      <c r="P115" s="13">
        <f t="shared" si="87"/>
        <v>3.4610450122128953E-12</v>
      </c>
      <c r="Q115" s="20">
        <f t="shared" si="107"/>
        <v>6.4758730798340893E-12</v>
      </c>
      <c r="R115" s="59">
        <f t="shared" si="55"/>
        <v>280.42131141557735</v>
      </c>
      <c r="S115" s="59">
        <f ca="1">AVERAGE(OFFSET($R$3,0,0,'Données projet'!$E$9+1,1))-AVERAGE(OFFSET($H$3,0,0,'Données projet'!$E$9+1,1))</f>
        <v>374.44366443573398</v>
      </c>
      <c r="T115" s="59">
        <f t="shared" si="88"/>
        <v>250.47702091764884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3.4806516442234887E-12</v>
      </c>
      <c r="AC115" s="22">
        <f t="shared" si="57"/>
        <v>3.4806516442234887E-12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1.064108801074326E-13</v>
      </c>
      <c r="AK115" s="13">
        <f t="shared" si="89"/>
        <v>1.5870730813698654E-12</v>
      </c>
      <c r="AL115" s="20">
        <f t="shared" si="58"/>
        <v>2.9494845662396269E-12</v>
      </c>
      <c r="AM115" s="59">
        <f t="shared" si="59"/>
        <v>280.42131141557383</v>
      </c>
      <c r="AN115" s="59">
        <f ca="1">AVERAGE(OFFSET($AM$3,0,0,'Données projet'!$E$10+1,1))-AVERAGE(OFFSET($H$3,0,0,'Données projet'!$E$10+1,1))</f>
        <v>325.51141702511984</v>
      </c>
      <c r="AO115" s="59">
        <f t="shared" si="90"/>
        <v>280.04509991782709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#VALUE!</v>
      </c>
      <c r="AV115" s="21" t="e">
        <f>EXP(-LN(2)/25)*AV114+(1-EXP(-LN(2)/25))/(LN(2)/25)*Calculateur!AQ115*Calculateur!AS115*VLOOKUP('Données projet'!$B$10,Paramètres!$A$1:$I$89,3,0)*0.475*44/12</f>
        <v>#VALUE!</v>
      </c>
      <c r="AW115" s="21" t="e">
        <f>EXP(-LN(2)/2)*AW114+(1-EXP(-LN(2)/2))/(LN(2)/2)*AQ115*AT115*VLOOKUP('Données projet'!$B$10,Paramètres!$A$1:$I$89,3,0)*0.475*44/12</f>
        <v>#VALUE!</v>
      </c>
      <c r="AX115" s="21" t="e">
        <f t="shared" si="60"/>
        <v>#VALUE!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2.5715962692629546E-13</v>
      </c>
      <c r="P116" s="13">
        <f t="shared" si="87"/>
        <v>3.4610450122128953E-12</v>
      </c>
      <c r="Q116" s="20">
        <f t="shared" si="107"/>
        <v>6.4758730798340893E-12</v>
      </c>
      <c r="R116" s="59">
        <f t="shared" si="55"/>
        <v>280.64530612889411</v>
      </c>
      <c r="S116" s="59">
        <f ca="1">AVERAGE(OFFSET($R$3,0,0,'Données projet'!$E$9+1,1))-AVERAGE(OFFSET($H$3,0,0,'Données projet'!$E$9+1,1))</f>
        <v>374.44366443573398</v>
      </c>
      <c r="T116" s="59">
        <f t="shared" si="88"/>
        <v>250.47702091764884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2.4611923805785352E-12</v>
      </c>
      <c r="AC116" s="22">
        <f t="shared" si="57"/>
        <v>2.4611923805785352E-12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1.064108801074326E-13</v>
      </c>
      <c r="AK116" s="13">
        <f t="shared" si="89"/>
        <v>1.5870730813698654E-12</v>
      </c>
      <c r="AL116" s="20">
        <f t="shared" si="58"/>
        <v>2.9494845662396269E-12</v>
      </c>
      <c r="AM116" s="59">
        <f t="shared" si="59"/>
        <v>280.64530612889058</v>
      </c>
      <c r="AN116" s="59">
        <f ca="1">AVERAGE(OFFSET($AM$3,0,0,'Données projet'!$E$10+1,1))-AVERAGE(OFFSET($H$3,0,0,'Données projet'!$E$10+1,1))</f>
        <v>325.51141702511984</v>
      </c>
      <c r="AO116" s="59">
        <f t="shared" si="90"/>
        <v>280.04509991782709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#VALUE!</v>
      </c>
      <c r="AV116" s="21" t="e">
        <f>EXP(-LN(2)/25)*AV115+(1-EXP(-LN(2)/25))/(LN(2)/25)*Calculateur!AQ116*Calculateur!AS116*VLOOKUP('Données projet'!$B$10,Paramètres!$A$1:$I$89,3,0)*0.475*44/12</f>
        <v>#VALUE!</v>
      </c>
      <c r="AW116" s="21" t="e">
        <f>EXP(-LN(2)/2)*AW115+(1-EXP(-LN(2)/2))/(LN(2)/2)*AQ116*AT116*VLOOKUP('Données projet'!$B$10,Paramètres!$A$1:$I$89,3,0)*0.475*44/12</f>
        <v>#VALUE!</v>
      </c>
      <c r="AX116" s="21" t="e">
        <f t="shared" si="60"/>
        <v>#VALUE!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2.5715962692629546E-13</v>
      </c>
      <c r="P117" s="13">
        <f t="shared" si="87"/>
        <v>3.4610450122128953E-12</v>
      </c>
      <c r="Q117" s="20">
        <f t="shared" si="107"/>
        <v>6.4758730798340893E-12</v>
      </c>
      <c r="R117" s="59">
        <f t="shared" si="55"/>
        <v>280.86541503471193</v>
      </c>
      <c r="S117" s="59">
        <f ca="1">AVERAGE(OFFSET($R$3,0,0,'Données projet'!$E$9+1,1))-AVERAGE(OFFSET($H$3,0,0,'Données projet'!$E$9+1,1))</f>
        <v>374.44366443573398</v>
      </c>
      <c r="T117" s="59">
        <f t="shared" si="88"/>
        <v>250.47702091764884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1.7403258221117443E-12</v>
      </c>
      <c r="AC117" s="22">
        <f t="shared" si="57"/>
        <v>1.7403258221117443E-12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1.064108801074326E-13</v>
      </c>
      <c r="AK117" s="13">
        <f t="shared" si="89"/>
        <v>1.5870730813698654E-12</v>
      </c>
      <c r="AL117" s="20">
        <f t="shared" si="58"/>
        <v>2.9494845662396269E-12</v>
      </c>
      <c r="AM117" s="59">
        <f t="shared" si="59"/>
        <v>280.86541503470841</v>
      </c>
      <c r="AN117" s="59">
        <f ca="1">AVERAGE(OFFSET($AM$3,0,0,'Données projet'!$E$10+1,1))-AVERAGE(OFFSET($H$3,0,0,'Données projet'!$E$10+1,1))</f>
        <v>325.51141702511984</v>
      </c>
      <c r="AO117" s="59">
        <f t="shared" si="90"/>
        <v>280.04509991782709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#VALUE!</v>
      </c>
      <c r="AV117" s="21" t="e">
        <f>EXP(-LN(2)/25)*AV116+(1-EXP(-LN(2)/25))/(LN(2)/25)*Calculateur!AQ117*Calculateur!AS117*VLOOKUP('Données projet'!$B$10,Paramètres!$A$1:$I$89,3,0)*0.475*44/12</f>
        <v>#VALUE!</v>
      </c>
      <c r="AW117" s="21" t="e">
        <f>EXP(-LN(2)/2)*AW116+(1-EXP(-LN(2)/2))/(LN(2)/2)*AQ117*AT117*VLOOKUP('Données projet'!$B$10,Paramètres!$A$1:$I$89,3,0)*0.475*44/12</f>
        <v>#VALUE!</v>
      </c>
      <c r="AX117" s="21" t="e">
        <f t="shared" si="60"/>
        <v>#VALUE!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2.5715962692629546E-13</v>
      </c>
      <c r="P118" s="13">
        <f t="shared" si="87"/>
        <v>3.4610450122128953E-12</v>
      </c>
      <c r="Q118" s="20">
        <f t="shared" si="107"/>
        <v>6.4758730798340893E-12</v>
      </c>
      <c r="R118" s="59">
        <f t="shared" si="55"/>
        <v>281.08170554310374</v>
      </c>
      <c r="S118" s="59">
        <f ca="1">AVERAGE(OFFSET($R$3,0,0,'Données projet'!$E$9+1,1))-AVERAGE(OFFSET($H$3,0,0,'Données projet'!$E$9+1,1))</f>
        <v>374.44366443573398</v>
      </c>
      <c r="T118" s="59">
        <f t="shared" si="88"/>
        <v>250.47702091764884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1.2305961902892676E-12</v>
      </c>
      <c r="AC118" s="22">
        <f t="shared" si="57"/>
        <v>1.2305961902892676E-12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1.064108801074326E-13</v>
      </c>
      <c r="AK118" s="13">
        <f t="shared" si="89"/>
        <v>1.5870730813698654E-12</v>
      </c>
      <c r="AL118" s="20">
        <f t="shared" si="58"/>
        <v>2.9494845662396269E-12</v>
      </c>
      <c r="AM118" s="59">
        <f t="shared" si="59"/>
        <v>281.08170554310021</v>
      </c>
      <c r="AN118" s="59">
        <f ca="1">AVERAGE(OFFSET($AM$3,0,0,'Données projet'!$E$10+1,1))-AVERAGE(OFFSET($H$3,0,0,'Données projet'!$E$10+1,1))</f>
        <v>325.51141702511984</v>
      </c>
      <c r="AO118" s="59">
        <f t="shared" si="90"/>
        <v>280.04509991782709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#VALUE!</v>
      </c>
      <c r="AV118" s="21" t="e">
        <f>EXP(-LN(2)/25)*AV117+(1-EXP(-LN(2)/25))/(LN(2)/25)*Calculateur!AQ118*Calculateur!AS118*VLOOKUP('Données projet'!$B$10,Paramètres!$A$1:$I$89,3,0)*0.475*44/12</f>
        <v>#VALUE!</v>
      </c>
      <c r="AW118" s="21" t="e">
        <f>EXP(-LN(2)/2)*AW117+(1-EXP(-LN(2)/2))/(LN(2)/2)*AQ118*AT118*VLOOKUP('Données projet'!$B$10,Paramètres!$A$1:$I$89,3,0)*0.475*44/12</f>
        <v>#VALUE!</v>
      </c>
      <c r="AX118" s="21" t="e">
        <f t="shared" si="60"/>
        <v>#VALUE!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2.5715962692629546E-13</v>
      </c>
      <c r="P119" s="13">
        <f t="shared" si="87"/>
        <v>3.4610450122128953E-12</v>
      </c>
      <c r="Q119" s="20">
        <f t="shared" si="107"/>
        <v>6.4758730798340893E-12</v>
      </c>
      <c r="R119" s="59">
        <f t="shared" si="55"/>
        <v>281.29424389472797</v>
      </c>
      <c r="S119" s="59">
        <f ca="1">AVERAGE(OFFSET($R$3,0,0,'Données projet'!$E$9+1,1))-AVERAGE(OFFSET($H$3,0,0,'Données projet'!$E$9+1,1))</f>
        <v>374.44366443573398</v>
      </c>
      <c r="T119" s="59">
        <f t="shared" si="88"/>
        <v>250.47702091764884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8.7016291105587217E-13</v>
      </c>
      <c r="AC119" s="22">
        <f t="shared" si="57"/>
        <v>8.7016291105587217E-13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1.064108801074326E-13</v>
      </c>
      <c r="AK119" s="13">
        <f t="shared" si="89"/>
        <v>1.5870730813698654E-12</v>
      </c>
      <c r="AL119" s="20">
        <f t="shared" si="58"/>
        <v>2.9494845662396269E-12</v>
      </c>
      <c r="AM119" s="59">
        <f t="shared" si="59"/>
        <v>281.29424389472445</v>
      </c>
      <c r="AN119" s="59">
        <f ca="1">AVERAGE(OFFSET($AM$3,0,0,'Données projet'!$E$10+1,1))-AVERAGE(OFFSET($H$3,0,0,'Données projet'!$E$10+1,1))</f>
        <v>325.51141702511984</v>
      </c>
      <c r="AO119" s="59">
        <f t="shared" si="90"/>
        <v>280.04509991782709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#VALUE!</v>
      </c>
      <c r="AV119" s="21" t="e">
        <f>EXP(-LN(2)/25)*AV118+(1-EXP(-LN(2)/25))/(LN(2)/25)*Calculateur!AQ119*Calculateur!AS119*VLOOKUP('Données projet'!$B$10,Paramètres!$A$1:$I$89,3,0)*0.475*44/12</f>
        <v>#VALUE!</v>
      </c>
      <c r="AW119" s="21" t="e">
        <f>EXP(-LN(2)/2)*AW118+(1-EXP(-LN(2)/2))/(LN(2)/2)*AQ119*AT119*VLOOKUP('Données projet'!$B$10,Paramètres!$A$1:$I$89,3,0)*0.475*44/12</f>
        <v>#VALUE!</v>
      </c>
      <c r="AX119" s="21" t="e">
        <f t="shared" si="60"/>
        <v>#VALUE!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2.5715962692629546E-13</v>
      </c>
      <c r="P120" s="13">
        <f t="shared" si="87"/>
        <v>3.4610450122128953E-12</v>
      </c>
      <c r="Q120" s="20">
        <f t="shared" si="107"/>
        <v>6.4758730798340893E-12</v>
      </c>
      <c r="R120" s="59">
        <f t="shared" si="55"/>
        <v>281.50309518111612</v>
      </c>
      <c r="S120" s="59">
        <f ca="1">AVERAGE(OFFSET($R$3,0,0,'Données projet'!$E$9+1,1))-AVERAGE(OFFSET($H$3,0,0,'Données projet'!$E$9+1,1))</f>
        <v>374.44366443573398</v>
      </c>
      <c r="T120" s="59">
        <f t="shared" si="88"/>
        <v>250.47702091764884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6.1529809514463381E-13</v>
      </c>
      <c r="AC120" s="22">
        <f t="shared" si="57"/>
        <v>6.1529809514463381E-13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1.064108801074326E-13</v>
      </c>
      <c r="AK120" s="13">
        <f t="shared" si="89"/>
        <v>1.5870730813698654E-12</v>
      </c>
      <c r="AL120" s="20">
        <f t="shared" si="58"/>
        <v>2.9494845662396269E-12</v>
      </c>
      <c r="AM120" s="59">
        <f t="shared" si="59"/>
        <v>281.5030951811126</v>
      </c>
      <c r="AN120" s="59">
        <f ca="1">AVERAGE(OFFSET($AM$3,0,0,'Données projet'!$E$10+1,1))-AVERAGE(OFFSET($H$3,0,0,'Données projet'!$E$10+1,1))</f>
        <v>325.51141702511984</v>
      </c>
      <c r="AO120" s="59">
        <f t="shared" si="90"/>
        <v>280.04509991782709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#VALUE!</v>
      </c>
      <c r="AV120" s="21" t="e">
        <f>EXP(-LN(2)/25)*AV119+(1-EXP(-LN(2)/25))/(LN(2)/25)*Calculateur!AQ120*Calculateur!AS120*VLOOKUP('Données projet'!$B$10,Paramètres!$A$1:$I$89,3,0)*0.475*44/12</f>
        <v>#VALUE!</v>
      </c>
      <c r="AW120" s="21" t="e">
        <f>EXP(-LN(2)/2)*AW119+(1-EXP(-LN(2)/2))/(LN(2)/2)*AQ120*AT120*VLOOKUP('Données projet'!$B$10,Paramètres!$A$1:$I$89,3,0)*0.475*44/12</f>
        <v>#VALUE!</v>
      </c>
      <c r="AX120" s="21" t="e">
        <f t="shared" si="60"/>
        <v>#VALUE!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2.5715962692629546E-13</v>
      </c>
      <c r="P121" s="13">
        <f t="shared" si="87"/>
        <v>3.4610450122128953E-12</v>
      </c>
      <c r="Q121" s="20">
        <f t="shared" si="107"/>
        <v>6.4758730798340893E-12</v>
      </c>
      <c r="R121" s="59">
        <f t="shared" si="55"/>
        <v>281.70832336460688</v>
      </c>
      <c r="S121" s="59">
        <f ca="1">AVERAGE(OFFSET($R$3,0,0,'Données projet'!$E$9+1,1))-AVERAGE(OFFSET($H$3,0,0,'Données projet'!$E$9+1,1))</f>
        <v>374.44366443573398</v>
      </c>
      <c r="T121" s="59">
        <f t="shared" si="88"/>
        <v>250.47702091764884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4.3508145552793608E-13</v>
      </c>
      <c r="AC121" s="22">
        <f t="shared" si="57"/>
        <v>4.3508145552793608E-13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1.064108801074326E-13</v>
      </c>
      <c r="AK121" s="13">
        <f t="shared" si="89"/>
        <v>1.5870730813698654E-12</v>
      </c>
      <c r="AL121" s="20">
        <f t="shared" si="58"/>
        <v>2.9494845662396269E-12</v>
      </c>
      <c r="AM121" s="59">
        <f t="shared" si="59"/>
        <v>281.70832336460336</v>
      </c>
      <c r="AN121" s="59">
        <f ca="1">AVERAGE(OFFSET($AM$3,0,0,'Données projet'!$E$10+1,1))-AVERAGE(OFFSET($H$3,0,0,'Données projet'!$E$10+1,1))</f>
        <v>325.51141702511984</v>
      </c>
      <c r="AO121" s="59">
        <f t="shared" si="90"/>
        <v>280.04509991782709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#VALUE!</v>
      </c>
      <c r="AV121" s="21" t="e">
        <f>EXP(-LN(2)/25)*AV120+(1-EXP(-LN(2)/25))/(LN(2)/25)*Calculateur!AQ121*Calculateur!AS121*VLOOKUP('Données projet'!$B$10,Paramètres!$A$1:$I$89,3,0)*0.475*44/12</f>
        <v>#VALUE!</v>
      </c>
      <c r="AW121" s="21" t="e">
        <f>EXP(-LN(2)/2)*AW120+(1-EXP(-LN(2)/2))/(LN(2)/2)*AQ121*AT121*VLOOKUP('Données projet'!$B$10,Paramètres!$A$1:$I$89,3,0)*0.475*44/12</f>
        <v>#VALUE!</v>
      </c>
      <c r="AX121" s="21" t="e">
        <f t="shared" si="60"/>
        <v>#VALUE!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2.5715962692629546E-13</v>
      </c>
      <c r="P122" s="13">
        <f t="shared" si="87"/>
        <v>3.4610450122128953E-12</v>
      </c>
      <c r="Q122" s="20">
        <f t="shared" si="107"/>
        <v>6.4758730798340893E-12</v>
      </c>
      <c r="R122" s="59">
        <f t="shared" si="55"/>
        <v>281.90999129793562</v>
      </c>
      <c r="S122" s="59">
        <f ca="1">AVERAGE(OFFSET($R$3,0,0,'Données projet'!$E$9+1,1))-AVERAGE(OFFSET($H$3,0,0,'Données projet'!$E$9+1,1))</f>
        <v>374.44366443573398</v>
      </c>
      <c r="T122" s="59">
        <f t="shared" si="88"/>
        <v>250.47702091764884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3.076490475723169E-13</v>
      </c>
      <c r="AC122" s="22">
        <f t="shared" si="57"/>
        <v>3.076490475723169E-13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1.064108801074326E-13</v>
      </c>
      <c r="AK122" s="13">
        <f t="shared" si="89"/>
        <v>1.5870730813698654E-12</v>
      </c>
      <c r="AL122" s="20">
        <f t="shared" si="58"/>
        <v>2.9494845662396269E-12</v>
      </c>
      <c r="AM122" s="59">
        <f t="shared" si="59"/>
        <v>281.90999129793209</v>
      </c>
      <c r="AN122" s="59">
        <f ca="1">AVERAGE(OFFSET($AM$3,0,0,'Données projet'!$E$10+1,1))-AVERAGE(OFFSET($H$3,0,0,'Données projet'!$E$10+1,1))</f>
        <v>325.51141702511984</v>
      </c>
      <c r="AO122" s="59">
        <f t="shared" si="90"/>
        <v>280.04509991782709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#VALUE!</v>
      </c>
      <c r="AV122" s="21" t="e">
        <f>EXP(-LN(2)/25)*AV121+(1-EXP(-LN(2)/25))/(LN(2)/25)*Calculateur!AQ122*Calculateur!AS122*VLOOKUP('Données projet'!$B$10,Paramètres!$A$1:$I$89,3,0)*0.475*44/12</f>
        <v>#VALUE!</v>
      </c>
      <c r="AW122" s="21" t="e">
        <f>EXP(-LN(2)/2)*AW121+(1-EXP(-LN(2)/2))/(LN(2)/2)*AQ122*AT122*VLOOKUP('Données projet'!$B$10,Paramètres!$A$1:$I$89,3,0)*0.475*44/12</f>
        <v>#VALUE!</v>
      </c>
      <c r="AX122" s="21" t="e">
        <f t="shared" si="60"/>
        <v>#VALUE!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2.5715962692629546E-13</v>
      </c>
      <c r="P123" s="13">
        <f t="shared" si="87"/>
        <v>3.4610450122128953E-12</v>
      </c>
      <c r="Q123" s="20">
        <f t="shared" si="107"/>
        <v>6.4758730798340893E-12</v>
      </c>
      <c r="R123" s="59">
        <f t="shared" si="55"/>
        <v>282.1081607434831</v>
      </c>
      <c r="S123" s="59">
        <f ca="1">AVERAGE(OFFSET($R$3,0,0,'Données projet'!$E$9+1,1))-AVERAGE(OFFSET($H$3,0,0,'Données projet'!$E$9+1,1))</f>
        <v>374.44366443573398</v>
      </c>
      <c r="T123" s="59">
        <f t="shared" si="88"/>
        <v>250.47702091764884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2.1754072776396804E-13</v>
      </c>
      <c r="AC123" s="22">
        <f t="shared" si="57"/>
        <v>2.1754072776396804E-13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1.064108801074326E-13</v>
      </c>
      <c r="AK123" s="13">
        <f t="shared" si="89"/>
        <v>1.5870730813698654E-12</v>
      </c>
      <c r="AL123" s="20">
        <f t="shared" si="58"/>
        <v>2.9494845662396269E-12</v>
      </c>
      <c r="AM123" s="59">
        <f t="shared" si="59"/>
        <v>282.10816074347957</v>
      </c>
      <c r="AN123" s="59">
        <f ca="1">AVERAGE(OFFSET($AM$3,0,0,'Données projet'!$E$10+1,1))-AVERAGE(OFFSET($H$3,0,0,'Données projet'!$E$10+1,1))</f>
        <v>325.51141702511984</v>
      </c>
      <c r="AO123" s="59">
        <f t="shared" si="90"/>
        <v>280.04509991782709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#VALUE!</v>
      </c>
      <c r="AV123" s="21" t="e">
        <f>EXP(-LN(2)/25)*AV122+(1-EXP(-LN(2)/25))/(LN(2)/25)*Calculateur!AQ123*Calculateur!AS123*VLOOKUP('Données projet'!$B$10,Paramètres!$A$1:$I$89,3,0)*0.475*44/12</f>
        <v>#VALUE!</v>
      </c>
      <c r="AW123" s="21" t="e">
        <f>EXP(-LN(2)/2)*AW122+(1-EXP(-LN(2)/2))/(LN(2)/2)*AQ123*AT123*VLOOKUP('Données projet'!$B$10,Paramètres!$A$1:$I$89,3,0)*0.475*44/12</f>
        <v>#VALUE!</v>
      </c>
      <c r="AX123" s="21" t="e">
        <f t="shared" si="60"/>
        <v>#VALUE!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2.5715962692629546E-13</v>
      </c>
      <c r="P124" s="13">
        <f t="shared" si="87"/>
        <v>3.4610450122128953E-12</v>
      </c>
      <c r="Q124" s="20">
        <f t="shared" si="107"/>
        <v>6.4758730798340893E-12</v>
      </c>
      <c r="R124" s="59">
        <f t="shared" si="55"/>
        <v>282.30289239219087</v>
      </c>
      <c r="S124" s="59">
        <f ca="1">AVERAGE(OFFSET($R$3,0,0,'Données projet'!$E$9+1,1))-AVERAGE(OFFSET($H$3,0,0,'Données projet'!$E$9+1,1))</f>
        <v>374.44366443573398</v>
      </c>
      <c r="T124" s="59">
        <f t="shared" si="88"/>
        <v>250.47702091764884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1.5382452378615845E-13</v>
      </c>
      <c r="AC124" s="22">
        <f t="shared" si="57"/>
        <v>1.5382452378615845E-13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1.064108801074326E-13</v>
      </c>
      <c r="AK124" s="13">
        <f t="shared" si="89"/>
        <v>1.5870730813698654E-12</v>
      </c>
      <c r="AL124" s="20">
        <f t="shared" si="58"/>
        <v>2.9494845662396269E-12</v>
      </c>
      <c r="AM124" s="59">
        <f t="shared" si="59"/>
        <v>282.30289239218735</v>
      </c>
      <c r="AN124" s="59">
        <f ca="1">AVERAGE(OFFSET($AM$3,0,0,'Données projet'!$E$10+1,1))-AVERAGE(OFFSET($H$3,0,0,'Données projet'!$E$10+1,1))</f>
        <v>325.51141702511984</v>
      </c>
      <c r="AO124" s="59">
        <f t="shared" si="90"/>
        <v>280.04509991782709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#VALUE!</v>
      </c>
      <c r="AV124" s="21" t="e">
        <f>EXP(-LN(2)/25)*AV123+(1-EXP(-LN(2)/25))/(LN(2)/25)*Calculateur!AQ124*Calculateur!AS124*VLOOKUP('Données projet'!$B$10,Paramètres!$A$1:$I$89,3,0)*0.475*44/12</f>
        <v>#VALUE!</v>
      </c>
      <c r="AW124" s="21" t="e">
        <f>EXP(-LN(2)/2)*AW123+(1-EXP(-LN(2)/2))/(LN(2)/2)*AQ124*AT124*VLOOKUP('Données projet'!$B$10,Paramètres!$A$1:$I$89,3,0)*0.475*44/12</f>
        <v>#VALUE!</v>
      </c>
      <c r="AX124" s="21" t="e">
        <f t="shared" si="60"/>
        <v>#VALUE!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2.5715962692629546E-13</v>
      </c>
      <c r="P125" s="13">
        <f t="shared" si="87"/>
        <v>3.4610450122128953E-12</v>
      </c>
      <c r="Q125" s="20">
        <f t="shared" si="107"/>
        <v>6.4758730798340893E-12</v>
      </c>
      <c r="R125" s="59">
        <f t="shared" si="55"/>
        <v>282.49424588214828</v>
      </c>
      <c r="S125" s="59">
        <f ca="1">AVERAGE(OFFSET($R$3,0,0,'Données projet'!$E$9+1,1))-AVERAGE(OFFSET($H$3,0,0,'Données projet'!$E$9+1,1))</f>
        <v>374.44366443573398</v>
      </c>
      <c r="T125" s="59">
        <f t="shared" si="88"/>
        <v>250.47702091764884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1.0877036388198402E-13</v>
      </c>
      <c r="AC125" s="22">
        <f t="shared" si="57"/>
        <v>1.0877036388198402E-13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1.064108801074326E-13</v>
      </c>
      <c r="AK125" s="13">
        <f t="shared" si="89"/>
        <v>1.5870730813698654E-12</v>
      </c>
      <c r="AL125" s="20">
        <f t="shared" si="58"/>
        <v>2.9494845662396269E-12</v>
      </c>
      <c r="AM125" s="59">
        <f t="shared" si="59"/>
        <v>282.49424588214475</v>
      </c>
      <c r="AN125" s="59">
        <f ca="1">AVERAGE(OFFSET($AM$3,0,0,'Données projet'!$E$10+1,1))-AVERAGE(OFFSET($H$3,0,0,'Données projet'!$E$10+1,1))</f>
        <v>325.51141702511984</v>
      </c>
      <c r="AO125" s="59">
        <f t="shared" si="90"/>
        <v>280.04509991782709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#VALUE!</v>
      </c>
      <c r="AV125" s="21" t="e">
        <f>EXP(-LN(2)/25)*AV124+(1-EXP(-LN(2)/25))/(LN(2)/25)*Calculateur!AQ125*Calculateur!AS125*VLOOKUP('Données projet'!$B$10,Paramètres!$A$1:$I$89,3,0)*0.475*44/12</f>
        <v>#VALUE!</v>
      </c>
      <c r="AW125" s="21" t="e">
        <f>EXP(-LN(2)/2)*AW124+(1-EXP(-LN(2)/2))/(LN(2)/2)*AQ125*AT125*VLOOKUP('Données projet'!$B$10,Paramètres!$A$1:$I$89,3,0)*0.475*44/12</f>
        <v>#VALUE!</v>
      </c>
      <c r="AX125" s="21" t="e">
        <f t="shared" si="60"/>
        <v>#VALUE!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2.5715962692629546E-13</v>
      </c>
      <c r="P126" s="13">
        <f t="shared" si="87"/>
        <v>3.4610450122128953E-12</v>
      </c>
      <c r="Q126" s="20">
        <f t="shared" si="107"/>
        <v>6.4758730798340893E-12</v>
      </c>
      <c r="R126" s="59">
        <f t="shared" si="55"/>
        <v>282.68227981685715</v>
      </c>
      <c r="S126" s="59">
        <f ca="1">AVERAGE(OFFSET($R$3,0,0,'Données projet'!$E$9+1,1))-AVERAGE(OFFSET($H$3,0,0,'Données projet'!$E$9+1,1))</f>
        <v>374.44366443573398</v>
      </c>
      <c r="T126" s="59">
        <f t="shared" si="88"/>
        <v>250.47702091764884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7.6912261893079226E-14</v>
      </c>
      <c r="AC126" s="22">
        <f t="shared" si="57"/>
        <v>7.6912261893079226E-14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1.064108801074326E-13</v>
      </c>
      <c r="AK126" s="13">
        <f t="shared" si="89"/>
        <v>1.5870730813698654E-12</v>
      </c>
      <c r="AL126" s="20">
        <f t="shared" si="58"/>
        <v>2.9494845662396269E-12</v>
      </c>
      <c r="AM126" s="59">
        <f t="shared" si="59"/>
        <v>282.68227981685362</v>
      </c>
      <c r="AN126" s="59">
        <f ca="1">AVERAGE(OFFSET($AM$3,0,0,'Données projet'!$E$10+1,1))-AVERAGE(OFFSET($H$3,0,0,'Données projet'!$E$10+1,1))</f>
        <v>325.51141702511984</v>
      </c>
      <c r="AO126" s="59">
        <f t="shared" si="90"/>
        <v>280.04509991782709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#VALUE!</v>
      </c>
      <c r="AV126" s="21" t="e">
        <f>EXP(-LN(2)/25)*AV125+(1-EXP(-LN(2)/25))/(LN(2)/25)*Calculateur!AQ126*Calculateur!AS126*VLOOKUP('Données projet'!$B$10,Paramètres!$A$1:$I$89,3,0)*0.475*44/12</f>
        <v>#VALUE!</v>
      </c>
      <c r="AW126" s="21" t="e">
        <f>EXP(-LN(2)/2)*AW125+(1-EXP(-LN(2)/2))/(LN(2)/2)*AQ126*AT126*VLOOKUP('Données projet'!$B$10,Paramètres!$A$1:$I$89,3,0)*0.475*44/12</f>
        <v>#VALUE!</v>
      </c>
      <c r="AX126" s="21" t="e">
        <f t="shared" si="60"/>
        <v>#VALUE!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2.5715962692629546E-13</v>
      </c>
      <c r="P127" s="13">
        <f t="shared" si="87"/>
        <v>3.4610450122128953E-12</v>
      </c>
      <c r="Q127" s="20">
        <f t="shared" si="107"/>
        <v>6.4758730798340893E-12</v>
      </c>
      <c r="R127" s="59">
        <f t="shared" si="55"/>
        <v>282.86705178317982</v>
      </c>
      <c r="S127" s="59">
        <f ca="1">AVERAGE(OFFSET($R$3,0,0,'Données projet'!$E$9+1,1))-AVERAGE(OFFSET($H$3,0,0,'Données projet'!$E$9+1,1))</f>
        <v>374.44366443573398</v>
      </c>
      <c r="T127" s="59">
        <f t="shared" si="88"/>
        <v>250.47702091764884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5.438518194099201E-14</v>
      </c>
      <c r="AC127" s="22">
        <f t="shared" si="57"/>
        <v>5.438518194099201E-14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1.064108801074326E-13</v>
      </c>
      <c r="AK127" s="13">
        <f t="shared" si="89"/>
        <v>1.5870730813698654E-12</v>
      </c>
      <c r="AL127" s="20">
        <f t="shared" si="58"/>
        <v>2.9494845662396269E-12</v>
      </c>
      <c r="AM127" s="59">
        <f t="shared" si="59"/>
        <v>282.86705178317629</v>
      </c>
      <c r="AN127" s="59">
        <f ca="1">AVERAGE(OFFSET($AM$3,0,0,'Données projet'!$E$10+1,1))-AVERAGE(OFFSET($H$3,0,0,'Données projet'!$E$10+1,1))</f>
        <v>325.51141702511984</v>
      </c>
      <c r="AO127" s="59">
        <f t="shared" si="90"/>
        <v>280.04509991782709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#VALUE!</v>
      </c>
      <c r="AV127" s="21" t="e">
        <f>EXP(-LN(2)/25)*AV126+(1-EXP(-LN(2)/25))/(LN(2)/25)*Calculateur!AQ127*Calculateur!AS127*VLOOKUP('Données projet'!$B$10,Paramètres!$A$1:$I$89,3,0)*0.475*44/12</f>
        <v>#VALUE!</v>
      </c>
      <c r="AW127" s="21" t="e">
        <f>EXP(-LN(2)/2)*AW126+(1-EXP(-LN(2)/2))/(LN(2)/2)*AQ127*AT127*VLOOKUP('Données projet'!$B$10,Paramètres!$A$1:$I$89,3,0)*0.475*44/12</f>
        <v>#VALUE!</v>
      </c>
      <c r="AX127" s="21" t="e">
        <f t="shared" si="60"/>
        <v>#VALUE!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2.5715962692629546E-13</v>
      </c>
      <c r="P128" s="13">
        <f t="shared" si="87"/>
        <v>3.4610450122128953E-12</v>
      </c>
      <c r="Q128" s="20">
        <f t="shared" si="107"/>
        <v>6.4758730798340893E-12</v>
      </c>
      <c r="R128" s="59">
        <f t="shared" si="55"/>
        <v>283.04861836897499</v>
      </c>
      <c r="S128" s="59">
        <f ca="1">AVERAGE(OFFSET($R$3,0,0,'Données projet'!$E$9+1,1))-AVERAGE(OFFSET($H$3,0,0,'Données projet'!$E$9+1,1))</f>
        <v>374.44366443573398</v>
      </c>
      <c r="T128" s="59">
        <f t="shared" si="88"/>
        <v>250.47702091764884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3.8456130946539613E-14</v>
      </c>
      <c r="AC128" s="22">
        <f t="shared" si="57"/>
        <v>3.8456130946539613E-14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1.064108801074326E-13</v>
      </c>
      <c r="AK128" s="13">
        <f t="shared" si="89"/>
        <v>1.5870730813698654E-12</v>
      </c>
      <c r="AL128" s="20">
        <f t="shared" si="58"/>
        <v>2.9494845662396269E-12</v>
      </c>
      <c r="AM128" s="59">
        <f t="shared" si="59"/>
        <v>283.04861836897146</v>
      </c>
      <c r="AN128" s="59">
        <f ca="1">AVERAGE(OFFSET($AM$3,0,0,'Données projet'!$E$10+1,1))-AVERAGE(OFFSET($H$3,0,0,'Données projet'!$E$10+1,1))</f>
        <v>325.51141702511984</v>
      </c>
      <c r="AO128" s="59">
        <f t="shared" si="90"/>
        <v>280.04509991782709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#VALUE!</v>
      </c>
      <c r="AV128" s="21" t="e">
        <f>EXP(-LN(2)/25)*AV127+(1-EXP(-LN(2)/25))/(LN(2)/25)*Calculateur!AQ128*Calculateur!AS128*VLOOKUP('Données projet'!$B$10,Paramètres!$A$1:$I$89,3,0)*0.475*44/12</f>
        <v>#VALUE!</v>
      </c>
      <c r="AW128" s="21" t="e">
        <f>EXP(-LN(2)/2)*AW127+(1-EXP(-LN(2)/2))/(LN(2)/2)*AQ128*AT128*VLOOKUP('Données projet'!$B$10,Paramètres!$A$1:$I$89,3,0)*0.475*44/12</f>
        <v>#VALUE!</v>
      </c>
      <c r="AX128" s="21" t="e">
        <f t="shared" si="60"/>
        <v>#VALUE!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2.5715962692629546E-13</v>
      </c>
      <c r="P129" s="13">
        <f t="shared" si="87"/>
        <v>3.4610450122128953E-12</v>
      </c>
      <c r="Q129" s="20">
        <f t="shared" si="107"/>
        <v>6.4758730798340893E-12</v>
      </c>
      <c r="R129" s="59">
        <f t="shared" si="55"/>
        <v>283.22703518042869</v>
      </c>
      <c r="S129" s="59">
        <f ca="1">AVERAGE(OFFSET($R$3,0,0,'Données projet'!$E$9+1,1))-AVERAGE(OFFSET($H$3,0,0,'Données projet'!$E$9+1,1))</f>
        <v>374.44366443573398</v>
      </c>
      <c r="T129" s="59">
        <f t="shared" si="88"/>
        <v>250.47702091764884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2.7192590970496005E-14</v>
      </c>
      <c r="AC129" s="22">
        <f t="shared" si="57"/>
        <v>2.7192590970496005E-14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1.064108801074326E-13</v>
      </c>
      <c r="AK129" s="13">
        <f t="shared" si="89"/>
        <v>1.5870730813698654E-12</v>
      </c>
      <c r="AL129" s="20">
        <f t="shared" si="58"/>
        <v>2.9494845662396269E-12</v>
      </c>
      <c r="AM129" s="59">
        <f t="shared" si="59"/>
        <v>283.22703518042516</v>
      </c>
      <c r="AN129" s="59">
        <f ca="1">AVERAGE(OFFSET($AM$3,0,0,'Données projet'!$E$10+1,1))-AVERAGE(OFFSET($H$3,0,0,'Données projet'!$E$10+1,1))</f>
        <v>325.51141702511984</v>
      </c>
      <c r="AO129" s="59">
        <f t="shared" si="90"/>
        <v>280.04509991782709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#VALUE!</v>
      </c>
      <c r="AV129" s="21" t="e">
        <f>EXP(-LN(2)/25)*AV128+(1-EXP(-LN(2)/25))/(LN(2)/25)*Calculateur!AQ129*Calculateur!AS129*VLOOKUP('Données projet'!$B$10,Paramètres!$A$1:$I$89,3,0)*0.475*44/12</f>
        <v>#VALUE!</v>
      </c>
      <c r="AW129" s="21" t="e">
        <f>EXP(-LN(2)/2)*AW128+(1-EXP(-LN(2)/2))/(LN(2)/2)*AQ129*AT129*VLOOKUP('Données projet'!$B$10,Paramètres!$A$1:$I$89,3,0)*0.475*44/12</f>
        <v>#VALUE!</v>
      </c>
      <c r="AX129" s="21" t="e">
        <f t="shared" si="60"/>
        <v>#VALUE!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2.5715962692629546E-13</v>
      </c>
      <c r="P130" s="13">
        <f t="shared" si="87"/>
        <v>3.4610450122128953E-12</v>
      </c>
      <c r="Q130" s="20">
        <f t="shared" si="107"/>
        <v>6.4758730798340893E-12</v>
      </c>
      <c r="R130" s="59">
        <f t="shared" si="55"/>
        <v>283.40235685908391</v>
      </c>
      <c r="S130" s="59">
        <f ca="1">AVERAGE(OFFSET($R$3,0,0,'Données projet'!$E$9+1,1))-AVERAGE(OFFSET($H$3,0,0,'Données projet'!$E$9+1,1))</f>
        <v>374.44366443573398</v>
      </c>
      <c r="T130" s="59">
        <f t="shared" si="88"/>
        <v>250.47702091764884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1.9228065473269806E-14</v>
      </c>
      <c r="AC130" s="22">
        <f t="shared" si="57"/>
        <v>1.9228065473269806E-14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1.064108801074326E-13</v>
      </c>
      <c r="AK130" s="13">
        <f t="shared" si="89"/>
        <v>1.5870730813698654E-12</v>
      </c>
      <c r="AL130" s="20">
        <f t="shared" si="58"/>
        <v>2.9494845662396269E-12</v>
      </c>
      <c r="AM130" s="59">
        <f t="shared" si="59"/>
        <v>283.40235685908038</v>
      </c>
      <c r="AN130" s="59">
        <f ca="1">AVERAGE(OFFSET($AM$3,0,0,'Données projet'!$E$10+1,1))-AVERAGE(OFFSET($H$3,0,0,'Données projet'!$E$10+1,1))</f>
        <v>325.51141702511984</v>
      </c>
      <c r="AO130" s="59">
        <f t="shared" si="90"/>
        <v>280.04509991782709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#VALUE!</v>
      </c>
      <c r="AV130" s="21" t="e">
        <f>EXP(-LN(2)/25)*AV129+(1-EXP(-LN(2)/25))/(LN(2)/25)*Calculateur!AQ130*Calculateur!AS130*VLOOKUP('Données projet'!$B$10,Paramètres!$A$1:$I$89,3,0)*0.475*44/12</f>
        <v>#VALUE!</v>
      </c>
      <c r="AW130" s="21" t="e">
        <f>EXP(-LN(2)/2)*AW129+(1-EXP(-LN(2)/2))/(LN(2)/2)*AQ130*AT130*VLOOKUP('Données projet'!$B$10,Paramètres!$A$1:$I$89,3,0)*0.475*44/12</f>
        <v>#VALUE!</v>
      </c>
      <c r="AX130" s="21" t="e">
        <f t="shared" si="60"/>
        <v>#VALUE!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2.5715962692629546E-13</v>
      </c>
      <c r="P131" s="13">
        <f t="shared" si="87"/>
        <v>3.4610450122128953E-12</v>
      </c>
      <c r="Q131" s="20">
        <f t="shared" ref="Q131:Q153" si="108">(O131+P131)*0.475*44/12</f>
        <v>6.4758730798340893E-12</v>
      </c>
      <c r="R131" s="59">
        <f t="shared" ref="R131:R194" si="109">Q131+(I131+J131)*44/12</f>
        <v>283.57463709857501</v>
      </c>
      <c r="S131" s="59">
        <f ca="1">AVERAGE(OFFSET($R$3,0,0,'Données projet'!$E$9+1,1))-AVERAGE(OFFSET($H$3,0,0,'Données projet'!$E$9+1,1))</f>
        <v>374.44366443573398</v>
      </c>
      <c r="T131" s="59">
        <f t="shared" si="88"/>
        <v>250.47702091764884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1.3596295485248003E-14</v>
      </c>
      <c r="AC131" s="22">
        <f t="shared" si="57"/>
        <v>1.3596295485248003E-14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1.064108801074326E-13</v>
      </c>
      <c r="AK131" s="13">
        <f t="shared" si="89"/>
        <v>1.5870730813698654E-12</v>
      </c>
      <c r="AL131" s="20">
        <f t="shared" si="58"/>
        <v>2.9494845662396269E-12</v>
      </c>
      <c r="AM131" s="59">
        <f t="shared" si="59"/>
        <v>283.57463709857149</v>
      </c>
      <c r="AN131" s="59">
        <f ca="1">AVERAGE(OFFSET($AM$3,0,0,'Données projet'!$E$10+1,1))-AVERAGE(OFFSET($H$3,0,0,'Données projet'!$E$10+1,1))</f>
        <v>325.51141702511984</v>
      </c>
      <c r="AO131" s="59">
        <f t="shared" si="90"/>
        <v>280.04509991782709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#VALUE!</v>
      </c>
      <c r="AV131" s="21" t="e">
        <f>EXP(-LN(2)/25)*AV130+(1-EXP(-LN(2)/25))/(LN(2)/25)*Calculateur!AQ131*Calculateur!AS131*VLOOKUP('Données projet'!$B$10,Paramètres!$A$1:$I$89,3,0)*0.475*44/12</f>
        <v>#VALUE!</v>
      </c>
      <c r="AW131" s="21" t="e">
        <f>EXP(-LN(2)/2)*AW130+(1-EXP(-LN(2)/2))/(LN(2)/2)*AQ131*AT131*VLOOKUP('Données projet'!$B$10,Paramètres!$A$1:$I$89,3,0)*0.475*44/12</f>
        <v>#VALUE!</v>
      </c>
      <c r="AX131" s="21" t="e">
        <f t="shared" si="60"/>
        <v>#VALUE!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2.5715962692629546E-13</v>
      </c>
      <c r="P132" s="13">
        <f t="shared" si="87"/>
        <v>3.4610450122128953E-12</v>
      </c>
      <c r="Q132" s="20">
        <f t="shared" si="108"/>
        <v>6.4758730798340893E-12</v>
      </c>
      <c r="R132" s="59">
        <f t="shared" si="109"/>
        <v>283.74392866107183</v>
      </c>
      <c r="S132" s="59">
        <f ca="1">AVERAGE(OFFSET($R$3,0,0,'Données projet'!$E$9+1,1))-AVERAGE(OFFSET($H$3,0,0,'Données projet'!$E$9+1,1))</f>
        <v>374.44366443573398</v>
      </c>
      <c r="T132" s="59">
        <f t="shared" si="88"/>
        <v>250.47702091764884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9.6140327366349032E-15</v>
      </c>
      <c r="AC132" s="22">
        <f t="shared" ref="AC132:AC153" si="111">SUM(Z132:AB132)</f>
        <v>9.6140327366349032E-15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1.064108801074326E-13</v>
      </c>
      <c r="AK132" s="13">
        <f t="shared" si="89"/>
        <v>1.5870730813698654E-12</v>
      </c>
      <c r="AL132" s="20">
        <f t="shared" ref="AL132:AL153" si="112">(AJ132+AK132)*0.475*44/12</f>
        <v>2.9494845662396269E-12</v>
      </c>
      <c r="AM132" s="59">
        <f t="shared" ref="AM132:AM195" si="113">AL132+(AD132+AE132)*44/12</f>
        <v>283.74392866106831</v>
      </c>
      <c r="AN132" s="59">
        <f ca="1">AVERAGE(OFFSET($AM$3,0,0,'Données projet'!$E$10+1,1))-AVERAGE(OFFSET($H$3,0,0,'Données projet'!$E$10+1,1))</f>
        <v>325.51141702511984</v>
      </c>
      <c r="AO132" s="59">
        <f t="shared" si="90"/>
        <v>280.04509991782709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#VALUE!</v>
      </c>
      <c r="AV132" s="21" t="e">
        <f>EXP(-LN(2)/25)*AV131+(1-EXP(-LN(2)/25))/(LN(2)/25)*Calculateur!AQ132*Calculateur!AS132*VLOOKUP('Données projet'!$B$10,Paramètres!$A$1:$I$89,3,0)*0.475*44/12</f>
        <v>#VALUE!</v>
      </c>
      <c r="AW132" s="21" t="e">
        <f>EXP(-LN(2)/2)*AW131+(1-EXP(-LN(2)/2))/(LN(2)/2)*AQ132*AT132*VLOOKUP('Données projet'!$B$10,Paramètres!$A$1:$I$89,3,0)*0.475*44/12</f>
        <v>#VALUE!</v>
      </c>
      <c r="AX132" s="21" t="e">
        <f t="shared" ref="AX132:AX153" si="114">SUM(AU132:AW132)</f>
        <v>#VALUE!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2.5715962692629546E-13</v>
      </c>
      <c r="P133" s="13">
        <f t="shared" ref="P133:P196" si="141">EXP(-1.0587+0.8836*LN(O133)+0.284)</f>
        <v>3.4610450122128953E-12</v>
      </c>
      <c r="Q133" s="20">
        <f t="shared" si="108"/>
        <v>6.4758730798340893E-12</v>
      </c>
      <c r="R133" s="59">
        <f t="shared" si="109"/>
        <v>283.91028339343859</v>
      </c>
      <c r="S133" s="59">
        <f ca="1">AVERAGE(OFFSET($R$3,0,0,'Données projet'!$E$9+1,1))-AVERAGE(OFFSET($H$3,0,0,'Données projet'!$E$9+1,1))</f>
        <v>374.44366443573398</v>
      </c>
      <c r="T133" s="59">
        <f t="shared" ref="T133:T196" si="142">$T$3</f>
        <v>250.47702091764884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6.7981477426240013E-15</v>
      </c>
      <c r="AC133" s="22">
        <f t="shared" si="111"/>
        <v>6.7981477426240013E-15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1.064108801074326E-13</v>
      </c>
      <c r="AK133" s="13">
        <f t="shared" ref="AK133:AK153" si="143">EXP(-1.0587+0.8836*LN(AJ133)+0.284)</f>
        <v>1.5870730813698654E-12</v>
      </c>
      <c r="AL133" s="20">
        <f t="shared" si="112"/>
        <v>2.9494845662396269E-12</v>
      </c>
      <c r="AM133" s="59">
        <f t="shared" si="113"/>
        <v>283.91028339343507</v>
      </c>
      <c r="AN133" s="59">
        <f ca="1">AVERAGE(OFFSET($AM$3,0,0,'Données projet'!$E$10+1,1))-AVERAGE(OFFSET($H$3,0,0,'Données projet'!$E$10+1,1))</f>
        <v>325.51141702511984</v>
      </c>
      <c r="AO133" s="59">
        <f t="shared" ref="AO133:AO196" si="144">$AO$3</f>
        <v>280.04509991782709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#VALUE!</v>
      </c>
      <c r="AV133" s="21" t="e">
        <f>EXP(-LN(2)/25)*AV132+(1-EXP(-LN(2)/25))/(LN(2)/25)*Calculateur!AQ133*Calculateur!AS133*VLOOKUP('Données projet'!$B$10,Paramètres!$A$1:$I$89,3,0)*0.475*44/12</f>
        <v>#VALUE!</v>
      </c>
      <c r="AW133" s="21" t="e">
        <f>EXP(-LN(2)/2)*AW132+(1-EXP(-LN(2)/2))/(LN(2)/2)*AQ133*AT133*VLOOKUP('Données projet'!$B$10,Paramètres!$A$1:$I$89,3,0)*0.475*44/12</f>
        <v>#VALUE!</v>
      </c>
      <c r="AX133" s="21" t="e">
        <f t="shared" si="114"/>
        <v>#VALUE!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2.5715962692629546E-13</v>
      </c>
      <c r="P134" s="13">
        <f t="shared" si="141"/>
        <v>3.4610450122128953E-12</v>
      </c>
      <c r="Q134" s="20">
        <f t="shared" si="108"/>
        <v>6.4758730798340893E-12</v>
      </c>
      <c r="R134" s="59">
        <f t="shared" si="109"/>
        <v>284.07375224311221</v>
      </c>
      <c r="S134" s="59">
        <f ca="1">AVERAGE(OFFSET($R$3,0,0,'Données projet'!$E$9+1,1))-AVERAGE(OFFSET($H$3,0,0,'Données projet'!$E$9+1,1))</f>
        <v>374.44366443573398</v>
      </c>
      <c r="T134" s="59">
        <f t="shared" si="142"/>
        <v>250.47702091764884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4.8070163683174516E-15</v>
      </c>
      <c r="AC134" s="22">
        <f t="shared" si="111"/>
        <v>4.8070163683174516E-15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1.064108801074326E-13</v>
      </c>
      <c r="AK134" s="13">
        <f t="shared" si="143"/>
        <v>1.5870730813698654E-12</v>
      </c>
      <c r="AL134" s="20">
        <f t="shared" si="112"/>
        <v>2.9494845662396269E-12</v>
      </c>
      <c r="AM134" s="59">
        <f t="shared" si="113"/>
        <v>284.07375224310869</v>
      </c>
      <c r="AN134" s="59">
        <f ca="1">AVERAGE(OFFSET($AM$3,0,0,'Données projet'!$E$10+1,1))-AVERAGE(OFFSET($H$3,0,0,'Données projet'!$E$10+1,1))</f>
        <v>325.51141702511984</v>
      </c>
      <c r="AO134" s="59">
        <f t="shared" si="144"/>
        <v>280.04509991782709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#VALUE!</v>
      </c>
      <c r="AV134" s="21" t="e">
        <f>EXP(-LN(2)/25)*AV133+(1-EXP(-LN(2)/25))/(LN(2)/25)*Calculateur!AQ134*Calculateur!AS134*VLOOKUP('Données projet'!$B$10,Paramètres!$A$1:$I$89,3,0)*0.475*44/12</f>
        <v>#VALUE!</v>
      </c>
      <c r="AW134" s="21" t="e">
        <f>EXP(-LN(2)/2)*AW133+(1-EXP(-LN(2)/2))/(LN(2)/2)*AQ134*AT134*VLOOKUP('Données projet'!$B$10,Paramètres!$A$1:$I$89,3,0)*0.475*44/12</f>
        <v>#VALUE!</v>
      </c>
      <c r="AX134" s="21" t="e">
        <f t="shared" si="114"/>
        <v>#VALUE!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2.5715962692629546E-13</v>
      </c>
      <c r="P135" s="13">
        <f t="shared" si="141"/>
        <v>3.4610450122128953E-12</v>
      </c>
      <c r="Q135" s="20">
        <f t="shared" si="108"/>
        <v>6.4758730798340893E-12</v>
      </c>
      <c r="R135" s="59">
        <f t="shared" si="109"/>
        <v>284.23438527370564</v>
      </c>
      <c r="S135" s="59">
        <f ca="1">AVERAGE(OFFSET($R$3,0,0,'Données projet'!$E$9+1,1))-AVERAGE(OFFSET($H$3,0,0,'Données projet'!$E$9+1,1))</f>
        <v>374.44366443573398</v>
      </c>
      <c r="T135" s="59">
        <f t="shared" si="142"/>
        <v>250.47702091764884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3.3990738713120006E-15</v>
      </c>
      <c r="AC135" s="22">
        <f t="shared" si="111"/>
        <v>3.3990738713120006E-15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1.064108801074326E-13</v>
      </c>
      <c r="AK135" s="13">
        <f t="shared" si="143"/>
        <v>1.5870730813698654E-12</v>
      </c>
      <c r="AL135" s="20">
        <f t="shared" si="112"/>
        <v>2.9494845662396269E-12</v>
      </c>
      <c r="AM135" s="59">
        <f t="shared" si="113"/>
        <v>284.23438527370212</v>
      </c>
      <c r="AN135" s="59">
        <f ca="1">AVERAGE(OFFSET($AM$3,0,0,'Données projet'!$E$10+1,1))-AVERAGE(OFFSET($H$3,0,0,'Données projet'!$E$10+1,1))</f>
        <v>325.51141702511984</v>
      </c>
      <c r="AO135" s="59">
        <f t="shared" si="144"/>
        <v>280.04509991782709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#VALUE!</v>
      </c>
      <c r="AV135" s="21" t="e">
        <f>EXP(-LN(2)/25)*AV134+(1-EXP(-LN(2)/25))/(LN(2)/25)*Calculateur!AQ135*Calculateur!AS135*VLOOKUP('Données projet'!$B$10,Paramètres!$A$1:$I$89,3,0)*0.475*44/12</f>
        <v>#VALUE!</v>
      </c>
      <c r="AW135" s="21" t="e">
        <f>EXP(-LN(2)/2)*AW134+(1-EXP(-LN(2)/2))/(LN(2)/2)*AQ135*AT135*VLOOKUP('Données projet'!$B$10,Paramètres!$A$1:$I$89,3,0)*0.475*44/12</f>
        <v>#VALUE!</v>
      </c>
      <c r="AX135" s="21" t="e">
        <f t="shared" si="114"/>
        <v>#VALUE!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2.5715962692629546E-13</v>
      </c>
      <c r="P136" s="13">
        <f t="shared" si="141"/>
        <v>3.4610450122128953E-12</v>
      </c>
      <c r="Q136" s="20">
        <f t="shared" si="108"/>
        <v>6.4758730798340893E-12</v>
      </c>
      <c r="R136" s="59">
        <f t="shared" si="109"/>
        <v>284.39223168033988</v>
      </c>
      <c r="S136" s="59">
        <f ca="1">AVERAGE(OFFSET($R$3,0,0,'Données projet'!$E$9+1,1))-AVERAGE(OFFSET($H$3,0,0,'Données projet'!$E$9+1,1))</f>
        <v>374.44366443573398</v>
      </c>
      <c r="T136" s="59">
        <f t="shared" si="142"/>
        <v>250.47702091764884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2.4035081841587258E-15</v>
      </c>
      <c r="AC136" s="22">
        <f t="shared" si="111"/>
        <v>2.4035081841587258E-15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1.064108801074326E-13</v>
      </c>
      <c r="AK136" s="13">
        <f t="shared" si="143"/>
        <v>1.5870730813698654E-12</v>
      </c>
      <c r="AL136" s="20">
        <f t="shared" si="112"/>
        <v>2.9494845662396269E-12</v>
      </c>
      <c r="AM136" s="59">
        <f t="shared" si="113"/>
        <v>284.39223168033635</v>
      </c>
      <c r="AN136" s="59">
        <f ca="1">AVERAGE(OFFSET($AM$3,0,0,'Données projet'!$E$10+1,1))-AVERAGE(OFFSET($H$3,0,0,'Données projet'!$E$10+1,1))</f>
        <v>325.51141702511984</v>
      </c>
      <c r="AO136" s="59">
        <f t="shared" si="144"/>
        <v>280.04509991782709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#VALUE!</v>
      </c>
      <c r="AV136" s="21" t="e">
        <f>EXP(-LN(2)/25)*AV135+(1-EXP(-LN(2)/25))/(LN(2)/25)*Calculateur!AQ136*Calculateur!AS136*VLOOKUP('Données projet'!$B$10,Paramètres!$A$1:$I$89,3,0)*0.475*44/12</f>
        <v>#VALUE!</v>
      </c>
      <c r="AW136" s="21" t="e">
        <f>EXP(-LN(2)/2)*AW135+(1-EXP(-LN(2)/2))/(LN(2)/2)*AQ136*AT136*VLOOKUP('Données projet'!$B$10,Paramètres!$A$1:$I$89,3,0)*0.475*44/12</f>
        <v>#VALUE!</v>
      </c>
      <c r="AX136" s="21" t="e">
        <f t="shared" si="114"/>
        <v>#VALUE!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2.5715962692629546E-13</v>
      </c>
      <c r="P137" s="13">
        <f t="shared" si="141"/>
        <v>3.4610450122128953E-12</v>
      </c>
      <c r="Q137" s="20">
        <f t="shared" si="108"/>
        <v>6.4758730798340893E-12</v>
      </c>
      <c r="R137" s="59">
        <f t="shared" si="109"/>
        <v>284.54733980471076</v>
      </c>
      <c r="S137" s="59">
        <f ca="1">AVERAGE(OFFSET($R$3,0,0,'Données projet'!$E$9+1,1))-AVERAGE(OFFSET($H$3,0,0,'Données projet'!$E$9+1,1))</f>
        <v>374.44366443573398</v>
      </c>
      <c r="T137" s="59">
        <f t="shared" si="142"/>
        <v>250.47702091764884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1.6995369356560003E-15</v>
      </c>
      <c r="AC137" s="22">
        <f t="shared" si="111"/>
        <v>1.6995369356560003E-15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1.064108801074326E-13</v>
      </c>
      <c r="AK137" s="13">
        <f t="shared" si="143"/>
        <v>1.5870730813698654E-12</v>
      </c>
      <c r="AL137" s="20">
        <f t="shared" si="112"/>
        <v>2.9494845662396269E-12</v>
      </c>
      <c r="AM137" s="59">
        <f t="shared" si="113"/>
        <v>284.54733980470724</v>
      </c>
      <c r="AN137" s="59">
        <f ca="1">AVERAGE(OFFSET($AM$3,0,0,'Données projet'!$E$10+1,1))-AVERAGE(OFFSET($H$3,0,0,'Données projet'!$E$10+1,1))</f>
        <v>325.51141702511984</v>
      </c>
      <c r="AO137" s="59">
        <f t="shared" si="144"/>
        <v>280.04509991782709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#VALUE!</v>
      </c>
      <c r="AV137" s="21" t="e">
        <f>EXP(-LN(2)/25)*AV136+(1-EXP(-LN(2)/25))/(LN(2)/25)*Calculateur!AQ137*Calculateur!AS137*VLOOKUP('Données projet'!$B$10,Paramètres!$A$1:$I$89,3,0)*0.475*44/12</f>
        <v>#VALUE!</v>
      </c>
      <c r="AW137" s="21" t="e">
        <f>EXP(-LN(2)/2)*AW136+(1-EXP(-LN(2)/2))/(LN(2)/2)*AQ137*AT137*VLOOKUP('Données projet'!$B$10,Paramètres!$A$1:$I$89,3,0)*0.475*44/12</f>
        <v>#VALUE!</v>
      </c>
      <c r="AX137" s="21" t="e">
        <f t="shared" si="114"/>
        <v>#VALUE!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2.5715962692629546E-13</v>
      </c>
      <c r="P138" s="13">
        <f t="shared" si="141"/>
        <v>3.4610450122128953E-12</v>
      </c>
      <c r="Q138" s="20">
        <f t="shared" si="108"/>
        <v>6.4758730798340893E-12</v>
      </c>
      <c r="R138" s="59">
        <f t="shared" si="109"/>
        <v>284.69975714989363</v>
      </c>
      <c r="S138" s="59">
        <f ca="1">AVERAGE(OFFSET($R$3,0,0,'Données projet'!$E$9+1,1))-AVERAGE(OFFSET($H$3,0,0,'Données projet'!$E$9+1,1))</f>
        <v>374.44366443573398</v>
      </c>
      <c r="T138" s="59">
        <f t="shared" si="142"/>
        <v>250.47702091764884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1.2017540920793629E-15</v>
      </c>
      <c r="AC138" s="22">
        <f t="shared" si="111"/>
        <v>1.2017540920793629E-15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1.064108801074326E-13</v>
      </c>
      <c r="AK138" s="13">
        <f t="shared" si="143"/>
        <v>1.5870730813698654E-12</v>
      </c>
      <c r="AL138" s="20">
        <f t="shared" si="112"/>
        <v>2.9494845662396269E-12</v>
      </c>
      <c r="AM138" s="59">
        <f t="shared" si="113"/>
        <v>284.6997571498901</v>
      </c>
      <c r="AN138" s="59">
        <f ca="1">AVERAGE(OFFSET($AM$3,0,0,'Données projet'!$E$10+1,1))-AVERAGE(OFFSET($H$3,0,0,'Données projet'!$E$10+1,1))</f>
        <v>325.51141702511984</v>
      </c>
      <c r="AO138" s="59">
        <f t="shared" si="144"/>
        <v>280.04509991782709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#VALUE!</v>
      </c>
      <c r="AV138" s="21" t="e">
        <f>EXP(-LN(2)/25)*AV137+(1-EXP(-LN(2)/25))/(LN(2)/25)*Calculateur!AQ138*Calculateur!AS138*VLOOKUP('Données projet'!$B$10,Paramètres!$A$1:$I$89,3,0)*0.475*44/12</f>
        <v>#VALUE!</v>
      </c>
      <c r="AW138" s="21" t="e">
        <f>EXP(-LN(2)/2)*AW137+(1-EXP(-LN(2)/2))/(LN(2)/2)*AQ138*AT138*VLOOKUP('Données projet'!$B$10,Paramètres!$A$1:$I$89,3,0)*0.475*44/12</f>
        <v>#VALUE!</v>
      </c>
      <c r="AX138" s="21" t="e">
        <f t="shared" si="114"/>
        <v>#VALUE!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2.5715962692629546E-13</v>
      </c>
      <c r="P139" s="13">
        <f t="shared" si="141"/>
        <v>3.4610450122128953E-12</v>
      </c>
      <c r="Q139" s="20">
        <f t="shared" si="108"/>
        <v>6.4758730798340893E-12</v>
      </c>
      <c r="R139" s="59">
        <f t="shared" si="109"/>
        <v>284.8495303948917</v>
      </c>
      <c r="S139" s="59">
        <f ca="1">AVERAGE(OFFSET($R$3,0,0,'Données projet'!$E$9+1,1))-AVERAGE(OFFSET($H$3,0,0,'Données projet'!$E$9+1,1))</f>
        <v>374.44366443573398</v>
      </c>
      <c r="T139" s="59">
        <f t="shared" si="142"/>
        <v>250.47702091764884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8.4976846782800016E-16</v>
      </c>
      <c r="AC139" s="22">
        <f t="shared" si="111"/>
        <v>8.4976846782800016E-16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1.064108801074326E-13</v>
      </c>
      <c r="AK139" s="13">
        <f t="shared" si="143"/>
        <v>1.5870730813698654E-12</v>
      </c>
      <c r="AL139" s="20">
        <f t="shared" si="112"/>
        <v>2.9494845662396269E-12</v>
      </c>
      <c r="AM139" s="59">
        <f t="shared" si="113"/>
        <v>284.84953039488818</v>
      </c>
      <c r="AN139" s="59">
        <f ca="1">AVERAGE(OFFSET($AM$3,0,0,'Données projet'!$E$10+1,1))-AVERAGE(OFFSET($H$3,0,0,'Données projet'!$E$10+1,1))</f>
        <v>325.51141702511984</v>
      </c>
      <c r="AO139" s="59">
        <f t="shared" si="144"/>
        <v>280.04509991782709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#VALUE!</v>
      </c>
      <c r="AV139" s="21" t="e">
        <f>EXP(-LN(2)/25)*AV138+(1-EXP(-LN(2)/25))/(LN(2)/25)*Calculateur!AQ139*Calculateur!AS139*VLOOKUP('Données projet'!$B$10,Paramètres!$A$1:$I$89,3,0)*0.475*44/12</f>
        <v>#VALUE!</v>
      </c>
      <c r="AW139" s="21" t="e">
        <f>EXP(-LN(2)/2)*AW138+(1-EXP(-LN(2)/2))/(LN(2)/2)*AQ139*AT139*VLOOKUP('Données projet'!$B$10,Paramètres!$A$1:$I$89,3,0)*0.475*44/12</f>
        <v>#VALUE!</v>
      </c>
      <c r="AX139" s="21" t="e">
        <f t="shared" si="114"/>
        <v>#VALUE!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2.5715962692629546E-13</v>
      </c>
      <c r="P140" s="13">
        <f t="shared" si="141"/>
        <v>3.4610450122128953E-12</v>
      </c>
      <c r="Q140" s="20">
        <f t="shared" si="108"/>
        <v>6.4758730798340893E-12</v>
      </c>
      <c r="R140" s="59">
        <f t="shared" si="109"/>
        <v>284.99670540893186</v>
      </c>
      <c r="S140" s="59">
        <f ca="1">AVERAGE(OFFSET($R$3,0,0,'Données projet'!$E$9+1,1))-AVERAGE(OFFSET($H$3,0,0,'Données projet'!$E$9+1,1))</f>
        <v>374.44366443573398</v>
      </c>
      <c r="T140" s="59">
        <f t="shared" si="142"/>
        <v>250.47702091764884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6.0087704603968145E-16</v>
      </c>
      <c r="AC140" s="22">
        <f t="shared" si="111"/>
        <v>6.0087704603968145E-16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1.064108801074326E-13</v>
      </c>
      <c r="AK140" s="13">
        <f t="shared" si="143"/>
        <v>1.5870730813698654E-12</v>
      </c>
      <c r="AL140" s="20">
        <f t="shared" si="112"/>
        <v>2.9494845662396269E-12</v>
      </c>
      <c r="AM140" s="59">
        <f t="shared" si="113"/>
        <v>284.99670540892834</v>
      </c>
      <c r="AN140" s="59">
        <f ca="1">AVERAGE(OFFSET($AM$3,0,0,'Données projet'!$E$10+1,1))-AVERAGE(OFFSET($H$3,0,0,'Données projet'!$E$10+1,1))</f>
        <v>325.51141702511984</v>
      </c>
      <c r="AO140" s="59">
        <f t="shared" si="144"/>
        <v>280.04509991782709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#VALUE!</v>
      </c>
      <c r="AV140" s="21" t="e">
        <f>EXP(-LN(2)/25)*AV139+(1-EXP(-LN(2)/25))/(LN(2)/25)*Calculateur!AQ140*Calculateur!AS140*VLOOKUP('Données projet'!$B$10,Paramètres!$A$1:$I$89,3,0)*0.475*44/12</f>
        <v>#VALUE!</v>
      </c>
      <c r="AW140" s="21" t="e">
        <f>EXP(-LN(2)/2)*AW139+(1-EXP(-LN(2)/2))/(LN(2)/2)*AQ140*AT140*VLOOKUP('Données projet'!$B$10,Paramètres!$A$1:$I$89,3,0)*0.475*44/12</f>
        <v>#VALUE!</v>
      </c>
      <c r="AX140" s="21" t="e">
        <f t="shared" si="114"/>
        <v>#VALUE!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2.5715962692629546E-13</v>
      </c>
      <c r="P141" s="13">
        <f t="shared" si="141"/>
        <v>3.4610450122128953E-12</v>
      </c>
      <c r="Q141" s="20">
        <f t="shared" si="108"/>
        <v>6.4758730798340893E-12</v>
      </c>
      <c r="R141" s="59">
        <f t="shared" si="109"/>
        <v>285.14132726551242</v>
      </c>
      <c r="S141" s="59">
        <f ca="1">AVERAGE(OFFSET($R$3,0,0,'Données projet'!$E$9+1,1))-AVERAGE(OFFSET($H$3,0,0,'Données projet'!$E$9+1,1))</f>
        <v>374.44366443573398</v>
      </c>
      <c r="T141" s="59">
        <f t="shared" si="142"/>
        <v>250.47702091764884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4.2488423391400008E-16</v>
      </c>
      <c r="AC141" s="22">
        <f t="shared" si="111"/>
        <v>4.2488423391400008E-16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1.064108801074326E-13</v>
      </c>
      <c r="AK141" s="13">
        <f t="shared" si="143"/>
        <v>1.5870730813698654E-12</v>
      </c>
      <c r="AL141" s="20">
        <f t="shared" si="112"/>
        <v>2.9494845662396269E-12</v>
      </c>
      <c r="AM141" s="59">
        <f t="shared" si="113"/>
        <v>285.14132726550889</v>
      </c>
      <c r="AN141" s="59">
        <f ca="1">AVERAGE(OFFSET($AM$3,0,0,'Données projet'!$E$10+1,1))-AVERAGE(OFFSET($H$3,0,0,'Données projet'!$E$10+1,1))</f>
        <v>325.51141702511984</v>
      </c>
      <c r="AO141" s="59">
        <f t="shared" si="144"/>
        <v>280.04509991782709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#VALUE!</v>
      </c>
      <c r="AV141" s="21" t="e">
        <f>EXP(-LN(2)/25)*AV140+(1-EXP(-LN(2)/25))/(LN(2)/25)*Calculateur!AQ141*Calculateur!AS141*VLOOKUP('Données projet'!$B$10,Paramètres!$A$1:$I$89,3,0)*0.475*44/12</f>
        <v>#VALUE!</v>
      </c>
      <c r="AW141" s="21" t="e">
        <f>EXP(-LN(2)/2)*AW140+(1-EXP(-LN(2)/2))/(LN(2)/2)*AQ141*AT141*VLOOKUP('Données projet'!$B$10,Paramètres!$A$1:$I$89,3,0)*0.475*44/12</f>
        <v>#VALUE!</v>
      </c>
      <c r="AX141" s="21" t="e">
        <f t="shared" si="114"/>
        <v>#VALUE!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2.5715962692629546E-13</v>
      </c>
      <c r="P142" s="13">
        <f t="shared" si="141"/>
        <v>3.4610450122128953E-12</v>
      </c>
      <c r="Q142" s="20">
        <f t="shared" si="108"/>
        <v>6.4758730798340893E-12</v>
      </c>
      <c r="R142" s="59">
        <f t="shared" si="109"/>
        <v>285.28344025620737</v>
      </c>
      <c r="S142" s="59">
        <f ca="1">AVERAGE(OFFSET($R$3,0,0,'Données projet'!$E$9+1,1))-AVERAGE(OFFSET($H$3,0,0,'Données projet'!$E$9+1,1))</f>
        <v>374.44366443573398</v>
      </c>
      <c r="T142" s="59">
        <f t="shared" si="142"/>
        <v>250.47702091764884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3.0043852301984073E-16</v>
      </c>
      <c r="AC142" s="22">
        <f t="shared" si="111"/>
        <v>3.0043852301984073E-16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1.064108801074326E-13</v>
      </c>
      <c r="AK142" s="13">
        <f t="shared" si="143"/>
        <v>1.5870730813698654E-12</v>
      </c>
      <c r="AL142" s="20">
        <f t="shared" si="112"/>
        <v>2.9494845662396269E-12</v>
      </c>
      <c r="AM142" s="59">
        <f t="shared" si="113"/>
        <v>285.28344025620385</v>
      </c>
      <c r="AN142" s="59">
        <f ca="1">AVERAGE(OFFSET($AM$3,0,0,'Données projet'!$E$10+1,1))-AVERAGE(OFFSET($H$3,0,0,'Données projet'!$E$10+1,1))</f>
        <v>325.51141702511984</v>
      </c>
      <c r="AO142" s="59">
        <f t="shared" si="144"/>
        <v>280.04509991782709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#VALUE!</v>
      </c>
      <c r="AV142" s="21" t="e">
        <f>EXP(-LN(2)/25)*AV141+(1-EXP(-LN(2)/25))/(LN(2)/25)*Calculateur!AQ142*Calculateur!AS142*VLOOKUP('Données projet'!$B$10,Paramètres!$A$1:$I$89,3,0)*0.475*44/12</f>
        <v>#VALUE!</v>
      </c>
      <c r="AW142" s="21" t="e">
        <f>EXP(-LN(2)/2)*AW141+(1-EXP(-LN(2)/2))/(LN(2)/2)*AQ142*AT142*VLOOKUP('Données projet'!$B$10,Paramètres!$A$1:$I$89,3,0)*0.475*44/12</f>
        <v>#VALUE!</v>
      </c>
      <c r="AX142" s="21" t="e">
        <f t="shared" si="114"/>
        <v>#VALUE!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2.5715962692629546E-13</v>
      </c>
      <c r="P143" s="13">
        <f t="shared" si="141"/>
        <v>3.4610450122128953E-12</v>
      </c>
      <c r="Q143" s="20">
        <f t="shared" si="108"/>
        <v>6.4758730798340893E-12</v>
      </c>
      <c r="R143" s="59">
        <f t="shared" si="109"/>
        <v>285.42308790423084</v>
      </c>
      <c r="S143" s="59">
        <f ca="1">AVERAGE(OFFSET($R$3,0,0,'Données projet'!$E$9+1,1))-AVERAGE(OFFSET($H$3,0,0,'Données projet'!$E$9+1,1))</f>
        <v>374.44366443573398</v>
      </c>
      <c r="T143" s="59">
        <f t="shared" si="142"/>
        <v>250.47702091764884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2.1244211695700004E-16</v>
      </c>
      <c r="AC143" s="22">
        <f t="shared" si="111"/>
        <v>2.1244211695700004E-16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1.064108801074326E-13</v>
      </c>
      <c r="AK143" s="13">
        <f t="shared" si="143"/>
        <v>1.5870730813698654E-12</v>
      </c>
      <c r="AL143" s="20">
        <f t="shared" si="112"/>
        <v>2.9494845662396269E-12</v>
      </c>
      <c r="AM143" s="59">
        <f t="shared" si="113"/>
        <v>285.42308790422732</v>
      </c>
      <c r="AN143" s="59">
        <f ca="1">AVERAGE(OFFSET($AM$3,0,0,'Données projet'!$E$10+1,1))-AVERAGE(OFFSET($H$3,0,0,'Données projet'!$E$10+1,1))</f>
        <v>325.51141702511984</v>
      </c>
      <c r="AO143" s="59">
        <f t="shared" si="144"/>
        <v>280.04509991782709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#VALUE!</v>
      </c>
      <c r="AV143" s="21" t="e">
        <f>EXP(-LN(2)/25)*AV142+(1-EXP(-LN(2)/25))/(LN(2)/25)*Calculateur!AQ143*Calculateur!AS143*VLOOKUP('Données projet'!$B$10,Paramètres!$A$1:$I$89,3,0)*0.475*44/12</f>
        <v>#VALUE!</v>
      </c>
      <c r="AW143" s="21" t="e">
        <f>EXP(-LN(2)/2)*AW142+(1-EXP(-LN(2)/2))/(LN(2)/2)*AQ143*AT143*VLOOKUP('Données projet'!$B$10,Paramètres!$A$1:$I$89,3,0)*0.475*44/12</f>
        <v>#VALUE!</v>
      </c>
      <c r="AX143" s="21" t="e">
        <f t="shared" si="114"/>
        <v>#VALUE!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2.5715962692629546E-13</v>
      </c>
      <c r="P144" s="13">
        <f t="shared" si="141"/>
        <v>3.4610450122128953E-12</v>
      </c>
      <c r="Q144" s="20">
        <f t="shared" si="108"/>
        <v>6.4758730798340893E-12</v>
      </c>
      <c r="R144" s="59">
        <f t="shared" si="109"/>
        <v>285.5603129777665</v>
      </c>
      <c r="S144" s="59">
        <f ca="1">AVERAGE(OFFSET($R$3,0,0,'Données projet'!$E$9+1,1))-AVERAGE(OFFSET($H$3,0,0,'Données projet'!$E$9+1,1))</f>
        <v>374.44366443573398</v>
      </c>
      <c r="T144" s="59">
        <f t="shared" si="142"/>
        <v>250.47702091764884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1.5021926150992036E-16</v>
      </c>
      <c r="AC144" s="22">
        <f t="shared" si="111"/>
        <v>1.5021926150992036E-16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1.064108801074326E-13</v>
      </c>
      <c r="AK144" s="13">
        <f t="shared" si="143"/>
        <v>1.5870730813698654E-12</v>
      </c>
      <c r="AL144" s="20">
        <f t="shared" si="112"/>
        <v>2.9494845662396269E-12</v>
      </c>
      <c r="AM144" s="59">
        <f t="shared" si="113"/>
        <v>285.56031297776298</v>
      </c>
      <c r="AN144" s="59">
        <f ca="1">AVERAGE(OFFSET($AM$3,0,0,'Données projet'!$E$10+1,1))-AVERAGE(OFFSET($H$3,0,0,'Données projet'!$E$10+1,1))</f>
        <v>325.51141702511984</v>
      </c>
      <c r="AO144" s="59">
        <f t="shared" si="144"/>
        <v>280.04509991782709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#VALUE!</v>
      </c>
      <c r="AV144" s="21" t="e">
        <f>EXP(-LN(2)/25)*AV143+(1-EXP(-LN(2)/25))/(LN(2)/25)*Calculateur!AQ144*Calculateur!AS144*VLOOKUP('Données projet'!$B$10,Paramètres!$A$1:$I$89,3,0)*0.475*44/12</f>
        <v>#VALUE!</v>
      </c>
      <c r="AW144" s="21" t="e">
        <f>EXP(-LN(2)/2)*AW143+(1-EXP(-LN(2)/2))/(LN(2)/2)*AQ144*AT144*VLOOKUP('Données projet'!$B$10,Paramètres!$A$1:$I$89,3,0)*0.475*44/12</f>
        <v>#VALUE!</v>
      </c>
      <c r="AX144" s="21" t="e">
        <f t="shared" si="114"/>
        <v>#VALUE!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2.5715962692629546E-13</v>
      </c>
      <c r="P145" s="13">
        <f t="shared" si="141"/>
        <v>3.4610450122128953E-12</v>
      </c>
      <c r="Q145" s="20">
        <f t="shared" si="108"/>
        <v>6.4758730798340893E-12</v>
      </c>
      <c r="R145" s="59">
        <f t="shared" si="109"/>
        <v>285.69515750306556</v>
      </c>
      <c r="S145" s="59">
        <f ca="1">AVERAGE(OFFSET($R$3,0,0,'Données projet'!$E$9+1,1))-AVERAGE(OFFSET($H$3,0,0,'Données projet'!$E$9+1,1))</f>
        <v>374.44366443573398</v>
      </c>
      <c r="T145" s="59">
        <f t="shared" si="142"/>
        <v>250.47702091764884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1.0622105847850002E-16</v>
      </c>
      <c r="AC145" s="22">
        <f t="shared" si="111"/>
        <v>1.0622105847850002E-16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1.064108801074326E-13</v>
      </c>
      <c r="AK145" s="13">
        <f t="shared" si="143"/>
        <v>1.5870730813698654E-12</v>
      </c>
      <c r="AL145" s="20">
        <f t="shared" si="112"/>
        <v>2.9494845662396269E-12</v>
      </c>
      <c r="AM145" s="59">
        <f t="shared" si="113"/>
        <v>285.69515750306203</v>
      </c>
      <c r="AN145" s="59">
        <f ca="1">AVERAGE(OFFSET($AM$3,0,0,'Données projet'!$E$10+1,1))-AVERAGE(OFFSET($H$3,0,0,'Données projet'!$E$10+1,1))</f>
        <v>325.51141702511984</v>
      </c>
      <c r="AO145" s="59">
        <f t="shared" si="144"/>
        <v>280.04509991782709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#VALUE!</v>
      </c>
      <c r="AV145" s="21" t="e">
        <f>EXP(-LN(2)/25)*AV144+(1-EXP(-LN(2)/25))/(LN(2)/25)*Calculateur!AQ145*Calculateur!AS145*VLOOKUP('Données projet'!$B$10,Paramètres!$A$1:$I$89,3,0)*0.475*44/12</f>
        <v>#VALUE!</v>
      </c>
      <c r="AW145" s="21" t="e">
        <f>EXP(-LN(2)/2)*AW144+(1-EXP(-LN(2)/2))/(LN(2)/2)*AQ145*AT145*VLOOKUP('Données projet'!$B$10,Paramètres!$A$1:$I$89,3,0)*0.475*44/12</f>
        <v>#VALUE!</v>
      </c>
      <c r="AX145" s="21" t="e">
        <f t="shared" si="114"/>
        <v>#VALUE!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2.5715962692629546E-13</v>
      </c>
      <c r="P146" s="13">
        <f t="shared" si="141"/>
        <v>3.4610450122128953E-12</v>
      </c>
      <c r="Q146" s="20">
        <f t="shared" si="108"/>
        <v>6.4758730798340893E-12</v>
      </c>
      <c r="R146" s="59">
        <f t="shared" si="109"/>
        <v>285.82766277731793</v>
      </c>
      <c r="S146" s="59">
        <f ca="1">AVERAGE(OFFSET($R$3,0,0,'Données projet'!$E$9+1,1))-AVERAGE(OFFSET($H$3,0,0,'Données projet'!$E$9+1,1))</f>
        <v>374.44366443573398</v>
      </c>
      <c r="T146" s="59">
        <f t="shared" si="142"/>
        <v>250.47702091764884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7.5109630754960181E-17</v>
      </c>
      <c r="AC146" s="22">
        <f t="shared" si="111"/>
        <v>7.5109630754960181E-17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1.064108801074326E-13</v>
      </c>
      <c r="AK146" s="13">
        <f t="shared" si="143"/>
        <v>1.5870730813698654E-12</v>
      </c>
      <c r="AL146" s="20">
        <f t="shared" si="112"/>
        <v>2.9494845662396269E-12</v>
      </c>
      <c r="AM146" s="59">
        <f t="shared" si="113"/>
        <v>285.8276627773144</v>
      </c>
      <c r="AN146" s="59">
        <f ca="1">AVERAGE(OFFSET($AM$3,0,0,'Données projet'!$E$10+1,1))-AVERAGE(OFFSET($H$3,0,0,'Données projet'!$E$10+1,1))</f>
        <v>325.51141702511984</v>
      </c>
      <c r="AO146" s="59">
        <f t="shared" si="144"/>
        <v>280.04509991782709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#VALUE!</v>
      </c>
      <c r="AV146" s="21" t="e">
        <f>EXP(-LN(2)/25)*AV145+(1-EXP(-LN(2)/25))/(LN(2)/25)*Calculateur!AQ146*Calculateur!AS146*VLOOKUP('Données projet'!$B$10,Paramètres!$A$1:$I$89,3,0)*0.475*44/12</f>
        <v>#VALUE!</v>
      </c>
      <c r="AW146" s="21" t="e">
        <f>EXP(-LN(2)/2)*AW145+(1-EXP(-LN(2)/2))/(LN(2)/2)*AQ146*AT146*VLOOKUP('Données projet'!$B$10,Paramètres!$A$1:$I$89,3,0)*0.475*44/12</f>
        <v>#VALUE!</v>
      </c>
      <c r="AX146" s="21" t="e">
        <f t="shared" si="114"/>
        <v>#VALUE!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2.5715962692629546E-13</v>
      </c>
      <c r="P147" s="13">
        <f t="shared" si="141"/>
        <v>3.4610450122128953E-12</v>
      </c>
      <c r="Q147" s="20">
        <f t="shared" si="108"/>
        <v>6.4758730798340893E-12</v>
      </c>
      <c r="R147" s="59">
        <f t="shared" si="109"/>
        <v>285.95786938129936</v>
      </c>
      <c r="S147" s="59">
        <f ca="1">AVERAGE(OFFSET($R$3,0,0,'Données projet'!$E$9+1,1))-AVERAGE(OFFSET($H$3,0,0,'Données projet'!$E$9+1,1))</f>
        <v>374.44366443573398</v>
      </c>
      <c r="T147" s="59">
        <f t="shared" si="142"/>
        <v>250.47702091764884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5.311052923925001E-17</v>
      </c>
      <c r="AC147" s="22">
        <f t="shared" si="111"/>
        <v>5.311052923925001E-17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1.064108801074326E-13</v>
      </c>
      <c r="AK147" s="13">
        <f t="shared" si="143"/>
        <v>1.5870730813698654E-12</v>
      </c>
      <c r="AL147" s="20">
        <f t="shared" si="112"/>
        <v>2.9494845662396269E-12</v>
      </c>
      <c r="AM147" s="59">
        <f t="shared" si="113"/>
        <v>285.95786938129584</v>
      </c>
      <c r="AN147" s="59">
        <f ca="1">AVERAGE(OFFSET($AM$3,0,0,'Données projet'!$E$10+1,1))-AVERAGE(OFFSET($H$3,0,0,'Données projet'!$E$10+1,1))</f>
        <v>325.51141702511984</v>
      </c>
      <c r="AO147" s="59">
        <f t="shared" si="144"/>
        <v>280.04509991782709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#VALUE!</v>
      </c>
      <c r="AV147" s="21" t="e">
        <f>EXP(-LN(2)/25)*AV146+(1-EXP(-LN(2)/25))/(LN(2)/25)*Calculateur!AQ147*Calculateur!AS147*VLOOKUP('Données projet'!$B$10,Paramètres!$A$1:$I$89,3,0)*0.475*44/12</f>
        <v>#VALUE!</v>
      </c>
      <c r="AW147" s="21" t="e">
        <f>EXP(-LN(2)/2)*AW146+(1-EXP(-LN(2)/2))/(LN(2)/2)*AQ147*AT147*VLOOKUP('Données projet'!$B$10,Paramètres!$A$1:$I$89,3,0)*0.475*44/12</f>
        <v>#VALUE!</v>
      </c>
      <c r="AX147" s="21" t="e">
        <f t="shared" si="114"/>
        <v>#VALUE!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2.5715962692629546E-13</v>
      </c>
      <c r="P148" s="13">
        <f t="shared" si="141"/>
        <v>3.4610450122128953E-12</v>
      </c>
      <c r="Q148" s="20">
        <f t="shared" si="108"/>
        <v>6.4758730798340893E-12</v>
      </c>
      <c r="R148" s="59">
        <f t="shared" si="109"/>
        <v>286.08581719180006</v>
      </c>
      <c r="S148" s="59">
        <f ca="1">AVERAGE(OFFSET($R$3,0,0,'Données projet'!$E$9+1,1))-AVERAGE(OFFSET($H$3,0,0,'Données projet'!$E$9+1,1))</f>
        <v>374.44366443573398</v>
      </c>
      <c r="T148" s="59">
        <f t="shared" si="142"/>
        <v>250.47702091764884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3.7554815377480091E-17</v>
      </c>
      <c r="AC148" s="22">
        <f t="shared" si="111"/>
        <v>3.7554815377480091E-17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1.064108801074326E-13</v>
      </c>
      <c r="AK148" s="13">
        <f t="shared" si="143"/>
        <v>1.5870730813698654E-12</v>
      </c>
      <c r="AL148" s="20">
        <f t="shared" si="112"/>
        <v>2.9494845662396269E-12</v>
      </c>
      <c r="AM148" s="59">
        <f t="shared" si="113"/>
        <v>286.08581719179654</v>
      </c>
      <c r="AN148" s="59">
        <f ca="1">AVERAGE(OFFSET($AM$3,0,0,'Données projet'!$E$10+1,1))-AVERAGE(OFFSET($H$3,0,0,'Données projet'!$E$10+1,1))</f>
        <v>325.51141702511984</v>
      </c>
      <c r="AO148" s="59">
        <f t="shared" si="144"/>
        <v>280.04509991782709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#VALUE!</v>
      </c>
      <c r="AV148" s="21" t="e">
        <f>EXP(-LN(2)/25)*AV147+(1-EXP(-LN(2)/25))/(LN(2)/25)*Calculateur!AQ148*Calculateur!AS148*VLOOKUP('Données projet'!$B$10,Paramètres!$A$1:$I$89,3,0)*0.475*44/12</f>
        <v>#VALUE!</v>
      </c>
      <c r="AW148" s="21" t="e">
        <f>EXP(-LN(2)/2)*AW147+(1-EXP(-LN(2)/2))/(LN(2)/2)*AQ148*AT148*VLOOKUP('Données projet'!$B$10,Paramètres!$A$1:$I$89,3,0)*0.475*44/12</f>
        <v>#VALUE!</v>
      </c>
      <c r="AX148" s="21" t="e">
        <f t="shared" si="114"/>
        <v>#VALUE!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2.5715962692629546E-13</v>
      </c>
      <c r="P149" s="13">
        <f t="shared" si="141"/>
        <v>3.4610450122128953E-12</v>
      </c>
      <c r="Q149" s="20">
        <f t="shared" si="108"/>
        <v>6.4758730798340893E-12</v>
      </c>
      <c r="R149" s="59">
        <f t="shared" si="109"/>
        <v>286.21154539383713</v>
      </c>
      <c r="S149" s="59">
        <f ca="1">AVERAGE(OFFSET($R$3,0,0,'Données projet'!$E$9+1,1))-AVERAGE(OFFSET($H$3,0,0,'Données projet'!$E$9+1,1))</f>
        <v>374.44366443573398</v>
      </c>
      <c r="T149" s="59">
        <f t="shared" si="142"/>
        <v>250.47702091764884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2.6555264619625005E-17</v>
      </c>
      <c r="AC149" s="22">
        <f t="shared" si="111"/>
        <v>2.6555264619625005E-17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1.064108801074326E-13</v>
      </c>
      <c r="AK149" s="13">
        <f t="shared" si="143"/>
        <v>1.5870730813698654E-12</v>
      </c>
      <c r="AL149" s="20">
        <f t="shared" si="112"/>
        <v>2.9494845662396269E-12</v>
      </c>
      <c r="AM149" s="59">
        <f t="shared" si="113"/>
        <v>286.2115453938336</v>
      </c>
      <c r="AN149" s="59">
        <f ca="1">AVERAGE(OFFSET($AM$3,0,0,'Données projet'!$E$10+1,1))-AVERAGE(OFFSET($H$3,0,0,'Données projet'!$E$10+1,1))</f>
        <v>325.51141702511984</v>
      </c>
      <c r="AO149" s="59">
        <f t="shared" si="144"/>
        <v>280.04509991782709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#VALUE!</v>
      </c>
      <c r="AV149" s="21" t="e">
        <f>EXP(-LN(2)/25)*AV148+(1-EXP(-LN(2)/25))/(LN(2)/25)*Calculateur!AQ149*Calculateur!AS149*VLOOKUP('Données projet'!$B$10,Paramètres!$A$1:$I$89,3,0)*0.475*44/12</f>
        <v>#VALUE!</v>
      </c>
      <c r="AW149" s="21" t="e">
        <f>EXP(-LN(2)/2)*AW148+(1-EXP(-LN(2)/2))/(LN(2)/2)*AQ149*AT149*VLOOKUP('Données projet'!$B$10,Paramètres!$A$1:$I$89,3,0)*0.475*44/12</f>
        <v>#VALUE!</v>
      </c>
      <c r="AX149" s="21" t="e">
        <f t="shared" si="114"/>
        <v>#VALUE!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2.5715962692629546E-13</v>
      </c>
      <c r="P150" s="13">
        <f t="shared" si="141"/>
        <v>3.4610450122128953E-12</v>
      </c>
      <c r="Q150" s="20">
        <f t="shared" si="108"/>
        <v>6.4758730798340893E-12</v>
      </c>
      <c r="R150" s="59">
        <f t="shared" si="109"/>
        <v>286.33509249265489</v>
      </c>
      <c r="S150" s="59">
        <f ca="1">AVERAGE(OFFSET($R$3,0,0,'Données projet'!$E$9+1,1))-AVERAGE(OFFSET($H$3,0,0,'Données projet'!$E$9+1,1))</f>
        <v>374.44366443573398</v>
      </c>
      <c r="T150" s="59">
        <f t="shared" si="142"/>
        <v>250.47702091764884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1.8777407688740045E-17</v>
      </c>
      <c r="AC150" s="22">
        <f t="shared" si="111"/>
        <v>1.8777407688740045E-17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1.064108801074326E-13</v>
      </c>
      <c r="AK150" s="13">
        <f t="shared" si="143"/>
        <v>1.5870730813698654E-12</v>
      </c>
      <c r="AL150" s="20">
        <f t="shared" si="112"/>
        <v>2.9494845662396269E-12</v>
      </c>
      <c r="AM150" s="59">
        <f t="shared" si="113"/>
        <v>286.33509249265137</v>
      </c>
      <c r="AN150" s="59">
        <f ca="1">AVERAGE(OFFSET($AM$3,0,0,'Données projet'!$E$10+1,1))-AVERAGE(OFFSET($H$3,0,0,'Données projet'!$E$10+1,1))</f>
        <v>325.51141702511984</v>
      </c>
      <c r="AO150" s="59">
        <f t="shared" si="144"/>
        <v>280.04509991782709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#VALUE!</v>
      </c>
      <c r="AV150" s="21" t="e">
        <f>EXP(-LN(2)/25)*AV149+(1-EXP(-LN(2)/25))/(LN(2)/25)*Calculateur!AQ150*Calculateur!AS150*VLOOKUP('Données projet'!$B$10,Paramètres!$A$1:$I$89,3,0)*0.475*44/12</f>
        <v>#VALUE!</v>
      </c>
      <c r="AW150" s="21" t="e">
        <f>EXP(-LN(2)/2)*AW149+(1-EXP(-LN(2)/2))/(LN(2)/2)*AQ150*AT150*VLOOKUP('Données projet'!$B$10,Paramètres!$A$1:$I$89,3,0)*0.475*44/12</f>
        <v>#VALUE!</v>
      </c>
      <c r="AX150" s="21" t="e">
        <f t="shared" si="114"/>
        <v>#VALUE!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2.5715962692629546E-13</v>
      </c>
      <c r="P151" s="13">
        <f t="shared" si="141"/>
        <v>3.4610450122128953E-12</v>
      </c>
      <c r="Q151" s="20">
        <f t="shared" si="108"/>
        <v>6.4758730798340893E-12</v>
      </c>
      <c r="R151" s="59">
        <f t="shared" si="109"/>
        <v>286.45649632551817</v>
      </c>
      <c r="S151" s="59">
        <f ca="1">AVERAGE(OFFSET($R$3,0,0,'Données projet'!$E$9+1,1))-AVERAGE(OFFSET($H$3,0,0,'Données projet'!$E$9+1,1))</f>
        <v>374.44366443573398</v>
      </c>
      <c r="T151" s="59">
        <f t="shared" si="142"/>
        <v>250.47702091764884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1.3277632309812503E-17</v>
      </c>
      <c r="AC151" s="22">
        <f t="shared" si="111"/>
        <v>1.3277632309812503E-17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1.064108801074326E-13</v>
      </c>
      <c r="AK151" s="13">
        <f t="shared" si="143"/>
        <v>1.5870730813698654E-12</v>
      </c>
      <c r="AL151" s="20">
        <f t="shared" si="112"/>
        <v>2.9494845662396269E-12</v>
      </c>
      <c r="AM151" s="59">
        <f t="shared" si="113"/>
        <v>286.45649632551465</v>
      </c>
      <c r="AN151" s="59">
        <f ca="1">AVERAGE(OFFSET($AM$3,0,0,'Données projet'!$E$10+1,1))-AVERAGE(OFFSET($H$3,0,0,'Données projet'!$E$10+1,1))</f>
        <v>325.51141702511984</v>
      </c>
      <c r="AO151" s="59">
        <f t="shared" si="144"/>
        <v>280.04509991782709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#VALUE!</v>
      </c>
      <c r="AV151" s="21" t="e">
        <f>EXP(-LN(2)/25)*AV150+(1-EXP(-LN(2)/25))/(LN(2)/25)*Calculateur!AQ151*Calculateur!AS151*VLOOKUP('Données projet'!$B$10,Paramètres!$A$1:$I$89,3,0)*0.475*44/12</f>
        <v>#VALUE!</v>
      </c>
      <c r="AW151" s="21" t="e">
        <f>EXP(-LN(2)/2)*AW150+(1-EXP(-LN(2)/2))/(LN(2)/2)*AQ151*AT151*VLOOKUP('Données projet'!$B$10,Paramètres!$A$1:$I$89,3,0)*0.475*44/12</f>
        <v>#VALUE!</v>
      </c>
      <c r="AX151" s="21" t="e">
        <f t="shared" si="114"/>
        <v>#VALUE!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2.5715962692629546E-13</v>
      </c>
      <c r="P152" s="13">
        <f t="shared" si="141"/>
        <v>3.4610450122128953E-12</v>
      </c>
      <c r="Q152" s="20">
        <f t="shared" si="108"/>
        <v>6.4758730798340893E-12</v>
      </c>
      <c r="R152" s="59">
        <f t="shared" si="109"/>
        <v>286.57579407329956</v>
      </c>
      <c r="S152" s="59">
        <f ca="1">AVERAGE(OFFSET($R$3,0,0,'Données projet'!$E$9+1,1))-AVERAGE(OFFSET($H$3,0,0,'Données projet'!$E$9+1,1))</f>
        <v>374.44366443573398</v>
      </c>
      <c r="T152" s="59">
        <f t="shared" si="142"/>
        <v>250.47702091764884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9.3887038443700227E-18</v>
      </c>
      <c r="AC152" s="22">
        <f t="shared" si="111"/>
        <v>9.3887038443700227E-18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1.064108801074326E-13</v>
      </c>
      <c r="AK152" s="13">
        <f t="shared" si="143"/>
        <v>1.5870730813698654E-12</v>
      </c>
      <c r="AL152" s="20">
        <f t="shared" si="112"/>
        <v>2.9494845662396269E-12</v>
      </c>
      <c r="AM152" s="59">
        <f t="shared" si="113"/>
        <v>286.57579407329604</v>
      </c>
      <c r="AN152" s="59">
        <f ca="1">AVERAGE(OFFSET($AM$3,0,0,'Données projet'!$E$10+1,1))-AVERAGE(OFFSET($H$3,0,0,'Données projet'!$E$10+1,1))</f>
        <v>325.51141702511984</v>
      </c>
      <c r="AO152" s="59">
        <f t="shared" si="144"/>
        <v>280.04509991782709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#VALUE!</v>
      </c>
      <c r="AV152" s="21" t="e">
        <f>EXP(-LN(2)/25)*AV151+(1-EXP(-LN(2)/25))/(LN(2)/25)*Calculateur!AQ152*Calculateur!AS152*VLOOKUP('Données projet'!$B$10,Paramètres!$A$1:$I$89,3,0)*0.475*44/12</f>
        <v>#VALUE!</v>
      </c>
      <c r="AW152" s="21" t="e">
        <f>EXP(-LN(2)/2)*AW151+(1-EXP(-LN(2)/2))/(LN(2)/2)*AQ152*AT152*VLOOKUP('Données projet'!$B$10,Paramètres!$A$1:$I$89,3,0)*0.475*44/12</f>
        <v>#VALUE!</v>
      </c>
      <c r="AX152" s="21" t="e">
        <f t="shared" si="114"/>
        <v>#VALUE!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2.5715962692629546E-13</v>
      </c>
      <c r="P153" s="13">
        <f t="shared" si="141"/>
        <v>3.4610450122128953E-12</v>
      </c>
      <c r="Q153" s="20">
        <f t="shared" si="108"/>
        <v>6.4758730798340893E-12</v>
      </c>
      <c r="R153" s="59">
        <f t="shared" si="109"/>
        <v>286.69302227186682</v>
      </c>
      <c r="S153" s="59">
        <f ca="1">AVERAGE(OFFSET($R$3,0,0,'Données projet'!$E$9+1,1))-AVERAGE(OFFSET($H$3,0,0,'Données projet'!$E$9+1,1))</f>
        <v>374.44366443573398</v>
      </c>
      <c r="T153" s="59">
        <f t="shared" si="142"/>
        <v>250.47702091764884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6.6388161549062513E-18</v>
      </c>
      <c r="AC153" s="22">
        <f t="shared" si="111"/>
        <v>6.6388161549062513E-18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1.064108801074326E-13</v>
      </c>
      <c r="AK153" s="13">
        <f t="shared" si="143"/>
        <v>1.5870730813698654E-12</v>
      </c>
      <c r="AL153" s="20">
        <f t="shared" si="112"/>
        <v>2.9494845662396269E-12</v>
      </c>
      <c r="AM153" s="59">
        <f t="shared" si="113"/>
        <v>286.6930222718633</v>
      </c>
      <c r="AN153" s="59">
        <f ca="1">AVERAGE(OFFSET($AM$3,0,0,'Données projet'!$E$10+1,1))-AVERAGE(OFFSET($H$3,0,0,'Données projet'!$E$10+1,1))</f>
        <v>325.51141702511984</v>
      </c>
      <c r="AO153" s="59">
        <f t="shared" si="144"/>
        <v>280.04509991782709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#VALUE!</v>
      </c>
      <c r="AV153" s="21" t="e">
        <f>EXP(-LN(2)/25)*AV152+(1-EXP(-LN(2)/25))/(LN(2)/25)*Calculateur!AQ153*Calculateur!AS153*VLOOKUP('Données projet'!$B$10,Paramètres!$A$1:$I$89,3,0)*0.475*44/12</f>
        <v>#VALUE!</v>
      </c>
      <c r="AW153" s="21" t="e">
        <f>EXP(-LN(2)/2)*AW152+(1-EXP(-LN(2)/2))/(LN(2)/2)*AQ153*AT153*VLOOKUP('Données projet'!$B$10,Paramètres!$A$1:$I$89,3,0)*0.475*44/12</f>
        <v>#VALUE!</v>
      </c>
      <c r="AX153" s="21" t="e">
        <f t="shared" si="114"/>
        <v>#VALUE!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2.5715962692629546E-13</v>
      </c>
      <c r="P154" s="13">
        <f t="shared" si="141"/>
        <v>3.4610450122128953E-12</v>
      </c>
      <c r="Q154" s="20">
        <f t="shared" ref="Q154:Q203" si="162">(O154+P154)*0.475*44/12</f>
        <v>6.4758730798340893E-12</v>
      </c>
      <c r="R154" s="59">
        <f t="shared" si="109"/>
        <v>286.80821682327183</v>
      </c>
      <c r="S154" s="59">
        <f ca="1">AVERAGE(OFFSET($R$3,0,0,'Données projet'!$E$9+1,1))-AVERAGE(OFFSET($H$3,0,0,'Données projet'!$E$9+1,1))</f>
        <v>374.44366443573398</v>
      </c>
      <c r="T154" s="59">
        <f t="shared" si="142"/>
        <v>250.47702091764884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4.6943519221850113E-18</v>
      </c>
      <c r="AC154" s="22">
        <f t="shared" ref="AC154:AC203" si="163">SUM(Z154:AB154)</f>
        <v>4.6943519221850113E-18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1.064108801074326E-13</v>
      </c>
      <c r="AK154" s="13">
        <f t="shared" ref="AK154:AK203" si="164">EXP(-1.0587+0.8836*LN(AJ154)+0.284)</f>
        <v>1.5870730813698654E-12</v>
      </c>
      <c r="AL154" s="20">
        <f t="shared" ref="AL154:AL203" si="165">(AJ154+AK154)*0.475*44/12</f>
        <v>2.9494845662396269E-12</v>
      </c>
      <c r="AM154" s="59">
        <f t="shared" si="113"/>
        <v>286.80821682326831</v>
      </c>
      <c r="AN154" s="59">
        <f ca="1">AVERAGE(OFFSET($AM$3,0,0,'Données projet'!$E$10+1,1))-AVERAGE(OFFSET($H$3,0,0,'Données projet'!$E$10+1,1))</f>
        <v>325.51141702511984</v>
      </c>
      <c r="AO154" s="59">
        <f t="shared" si="144"/>
        <v>280.04509991782709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#VALUE!</v>
      </c>
      <c r="AV154" s="21" t="e">
        <f>EXP(-LN(2)/25)*AV153+(1-EXP(-LN(2)/25))/(LN(2)/25)*Calculateur!AQ154*Calculateur!AS154*VLOOKUP('Données projet'!$B$10,Paramètres!$A$1:$I$89,3,0)*0.475*44/12</f>
        <v>#VALUE!</v>
      </c>
      <c r="AW154" s="21" t="e">
        <f>EXP(-LN(2)/2)*AW153+(1-EXP(-LN(2)/2))/(LN(2)/2)*AQ154*AT154*VLOOKUP('Données projet'!$B$10,Paramètres!$A$1:$I$89,3,0)*0.475*44/12</f>
        <v>#VALUE!</v>
      </c>
      <c r="AX154" s="21" t="e">
        <f t="shared" ref="AX154:AX203" si="166">SUM(AU154:AW154)</f>
        <v>#VALUE!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2.5715962692629546E-13</v>
      </c>
      <c r="P155" s="13">
        <f t="shared" si="141"/>
        <v>3.4610450122128953E-12</v>
      </c>
      <c r="Q155" s="20">
        <f t="shared" si="162"/>
        <v>6.4758730798340893E-12</v>
      </c>
      <c r="R155" s="59">
        <f t="shared" si="109"/>
        <v>286.92141300674638</v>
      </c>
      <c r="S155" s="59">
        <f ca="1">AVERAGE(OFFSET($R$3,0,0,'Données projet'!$E$9+1,1))-AVERAGE(OFFSET($H$3,0,0,'Données projet'!$E$9+1,1))</f>
        <v>374.44366443573398</v>
      </c>
      <c r="T155" s="59">
        <f t="shared" si="142"/>
        <v>250.47702091764884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3.3194080774531256E-18</v>
      </c>
      <c r="AC155" s="22">
        <f t="shared" si="163"/>
        <v>3.3194080774531256E-18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1.064108801074326E-13</v>
      </c>
      <c r="AK155" s="13">
        <f t="shared" si="164"/>
        <v>1.5870730813698654E-12</v>
      </c>
      <c r="AL155" s="20">
        <f t="shared" si="165"/>
        <v>2.9494845662396269E-12</v>
      </c>
      <c r="AM155" s="59">
        <f t="shared" si="113"/>
        <v>286.92141300674285</v>
      </c>
      <c r="AN155" s="59">
        <f ca="1">AVERAGE(OFFSET($AM$3,0,0,'Données projet'!$E$10+1,1))-AVERAGE(OFFSET($H$3,0,0,'Données projet'!$E$10+1,1))</f>
        <v>325.51141702511984</v>
      </c>
      <c r="AO155" s="59">
        <f t="shared" si="144"/>
        <v>280.04509991782709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#VALUE!</v>
      </c>
      <c r="AV155" s="21" t="e">
        <f>EXP(-LN(2)/25)*AV154+(1-EXP(-LN(2)/25))/(LN(2)/25)*Calculateur!AQ155*Calculateur!AS155*VLOOKUP('Données projet'!$B$10,Paramètres!$A$1:$I$89,3,0)*0.475*44/12</f>
        <v>#VALUE!</v>
      </c>
      <c r="AW155" s="21" t="e">
        <f>EXP(-LN(2)/2)*AW154+(1-EXP(-LN(2)/2))/(LN(2)/2)*AQ155*AT155*VLOOKUP('Données projet'!$B$10,Paramètres!$A$1:$I$89,3,0)*0.475*44/12</f>
        <v>#VALUE!</v>
      </c>
      <c r="AX155" s="21" t="e">
        <f t="shared" si="166"/>
        <v>#VALUE!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2.5715962692629546E-13</v>
      </c>
      <c r="P156" s="13">
        <f t="shared" si="141"/>
        <v>3.4610450122128953E-12</v>
      </c>
      <c r="Q156" s="20">
        <f t="shared" si="162"/>
        <v>6.4758730798340893E-12</v>
      </c>
      <c r="R156" s="59">
        <f t="shared" si="109"/>
        <v>287.03264548950648</v>
      </c>
      <c r="S156" s="59">
        <f ca="1">AVERAGE(OFFSET($R$3,0,0,'Données projet'!$E$9+1,1))-AVERAGE(OFFSET($H$3,0,0,'Données projet'!$E$9+1,1))</f>
        <v>374.44366443573398</v>
      </c>
      <c r="T156" s="59">
        <f t="shared" si="142"/>
        <v>250.47702091764884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2.3471759610925057E-18</v>
      </c>
      <c r="AC156" s="22">
        <f t="shared" si="163"/>
        <v>2.3471759610925057E-18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1.064108801074326E-13</v>
      </c>
      <c r="AK156" s="13">
        <f t="shared" si="164"/>
        <v>1.5870730813698654E-12</v>
      </c>
      <c r="AL156" s="20">
        <f t="shared" si="165"/>
        <v>2.9494845662396269E-12</v>
      </c>
      <c r="AM156" s="59">
        <f t="shared" si="113"/>
        <v>287.03264548950295</v>
      </c>
      <c r="AN156" s="59">
        <f ca="1">AVERAGE(OFFSET($AM$3,0,0,'Données projet'!$E$10+1,1))-AVERAGE(OFFSET($H$3,0,0,'Données projet'!$E$10+1,1))</f>
        <v>325.51141702511984</v>
      </c>
      <c r="AO156" s="59">
        <f t="shared" si="144"/>
        <v>280.04509991782709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#VALUE!</v>
      </c>
      <c r="AV156" s="21" t="e">
        <f>EXP(-LN(2)/25)*AV155+(1-EXP(-LN(2)/25))/(LN(2)/25)*Calculateur!AQ156*Calculateur!AS156*VLOOKUP('Données projet'!$B$10,Paramètres!$A$1:$I$89,3,0)*0.475*44/12</f>
        <v>#VALUE!</v>
      </c>
      <c r="AW156" s="21" t="e">
        <f>EXP(-LN(2)/2)*AW155+(1-EXP(-LN(2)/2))/(LN(2)/2)*AQ156*AT156*VLOOKUP('Données projet'!$B$10,Paramètres!$A$1:$I$89,3,0)*0.475*44/12</f>
        <v>#VALUE!</v>
      </c>
      <c r="AX156" s="21" t="e">
        <f t="shared" si="166"/>
        <v>#VALUE!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2.5715962692629546E-13</v>
      </c>
      <c r="P157" s="13">
        <f t="shared" si="141"/>
        <v>3.4610450122128953E-12</v>
      </c>
      <c r="Q157" s="20">
        <f t="shared" si="162"/>
        <v>6.4758730798340893E-12</v>
      </c>
      <c r="R157" s="59">
        <f t="shared" si="109"/>
        <v>287.14194833736923</v>
      </c>
      <c r="S157" s="59">
        <f ca="1">AVERAGE(OFFSET($R$3,0,0,'Données projet'!$E$9+1,1))-AVERAGE(OFFSET($H$3,0,0,'Données projet'!$E$9+1,1))</f>
        <v>374.44366443573398</v>
      </c>
      <c r="T157" s="59">
        <f t="shared" si="142"/>
        <v>250.47702091764884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1.6597040387265628E-18</v>
      </c>
      <c r="AC157" s="22">
        <f t="shared" si="163"/>
        <v>1.6597040387265628E-18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1.064108801074326E-13</v>
      </c>
      <c r="AK157" s="13">
        <f t="shared" si="164"/>
        <v>1.5870730813698654E-12</v>
      </c>
      <c r="AL157" s="20">
        <f t="shared" si="165"/>
        <v>2.9494845662396269E-12</v>
      </c>
      <c r="AM157" s="59">
        <f t="shared" si="113"/>
        <v>287.1419483373657</v>
      </c>
      <c r="AN157" s="59">
        <f ca="1">AVERAGE(OFFSET($AM$3,0,0,'Données projet'!$E$10+1,1))-AVERAGE(OFFSET($H$3,0,0,'Données projet'!$E$10+1,1))</f>
        <v>325.51141702511984</v>
      </c>
      <c r="AO157" s="59">
        <f t="shared" si="144"/>
        <v>280.04509991782709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#VALUE!</v>
      </c>
      <c r="AV157" s="21" t="e">
        <f>EXP(-LN(2)/25)*AV156+(1-EXP(-LN(2)/25))/(LN(2)/25)*Calculateur!AQ157*Calculateur!AS157*VLOOKUP('Données projet'!$B$10,Paramètres!$A$1:$I$89,3,0)*0.475*44/12</f>
        <v>#VALUE!</v>
      </c>
      <c r="AW157" s="21" t="e">
        <f>EXP(-LN(2)/2)*AW156+(1-EXP(-LN(2)/2))/(LN(2)/2)*AQ157*AT157*VLOOKUP('Données projet'!$B$10,Paramètres!$A$1:$I$89,3,0)*0.475*44/12</f>
        <v>#VALUE!</v>
      </c>
      <c r="AX157" s="21" t="e">
        <f t="shared" si="166"/>
        <v>#VALUE!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2.5715962692629546E-13</v>
      </c>
      <c r="P158" s="13">
        <f t="shared" si="141"/>
        <v>3.4610450122128953E-12</v>
      </c>
      <c r="Q158" s="20">
        <f t="shared" si="162"/>
        <v>6.4758730798340893E-12</v>
      </c>
      <c r="R158" s="59">
        <f t="shared" si="109"/>
        <v>287.24935502518616</v>
      </c>
      <c r="S158" s="59">
        <f ca="1">AVERAGE(OFFSET($R$3,0,0,'Données projet'!$E$9+1,1))-AVERAGE(OFFSET($H$3,0,0,'Données projet'!$E$9+1,1))</f>
        <v>374.44366443573398</v>
      </c>
      <c r="T158" s="59">
        <f t="shared" si="142"/>
        <v>250.47702091764884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1.1735879805462528E-18</v>
      </c>
      <c r="AC158" s="22">
        <f t="shared" si="163"/>
        <v>1.1735879805462528E-18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1.064108801074326E-13</v>
      </c>
      <c r="AK158" s="13">
        <f t="shared" si="164"/>
        <v>1.5870730813698654E-12</v>
      </c>
      <c r="AL158" s="20">
        <f t="shared" si="165"/>
        <v>2.9494845662396269E-12</v>
      </c>
      <c r="AM158" s="59">
        <f t="shared" si="113"/>
        <v>287.24935502518264</v>
      </c>
      <c r="AN158" s="59">
        <f ca="1">AVERAGE(OFFSET($AM$3,0,0,'Données projet'!$E$10+1,1))-AVERAGE(OFFSET($H$3,0,0,'Données projet'!$E$10+1,1))</f>
        <v>325.51141702511984</v>
      </c>
      <c r="AO158" s="59">
        <f t="shared" si="144"/>
        <v>280.04509991782709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#VALUE!</v>
      </c>
      <c r="AV158" s="21" t="e">
        <f>EXP(-LN(2)/25)*AV157+(1-EXP(-LN(2)/25))/(LN(2)/25)*Calculateur!AQ158*Calculateur!AS158*VLOOKUP('Données projet'!$B$10,Paramètres!$A$1:$I$89,3,0)*0.475*44/12</f>
        <v>#VALUE!</v>
      </c>
      <c r="AW158" s="21" t="e">
        <f>EXP(-LN(2)/2)*AW157+(1-EXP(-LN(2)/2))/(LN(2)/2)*AQ158*AT158*VLOOKUP('Données projet'!$B$10,Paramètres!$A$1:$I$89,3,0)*0.475*44/12</f>
        <v>#VALUE!</v>
      </c>
      <c r="AX158" s="21" t="e">
        <f t="shared" si="166"/>
        <v>#VALUE!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2.5715962692629546E-13</v>
      </c>
      <c r="P159" s="13">
        <f t="shared" si="141"/>
        <v>3.4610450122128953E-12</v>
      </c>
      <c r="Q159" s="20">
        <f t="shared" si="162"/>
        <v>6.4758730798340893E-12</v>
      </c>
      <c r="R159" s="59">
        <f t="shared" si="109"/>
        <v>287.3548984470948</v>
      </c>
      <c r="S159" s="59">
        <f ca="1">AVERAGE(OFFSET($R$3,0,0,'Données projet'!$E$9+1,1))-AVERAGE(OFFSET($H$3,0,0,'Données projet'!$E$9+1,1))</f>
        <v>374.44366443573398</v>
      </c>
      <c r="T159" s="59">
        <f t="shared" si="142"/>
        <v>250.47702091764884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8.2985201936328141E-19</v>
      </c>
      <c r="AC159" s="22">
        <f t="shared" si="163"/>
        <v>8.2985201936328141E-19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1.064108801074326E-13</v>
      </c>
      <c r="AK159" s="13">
        <f t="shared" si="164"/>
        <v>1.5870730813698654E-12</v>
      </c>
      <c r="AL159" s="20">
        <f t="shared" si="165"/>
        <v>2.9494845662396269E-12</v>
      </c>
      <c r="AM159" s="59">
        <f t="shared" si="113"/>
        <v>287.35489844709127</v>
      </c>
      <c r="AN159" s="59">
        <f ca="1">AVERAGE(OFFSET($AM$3,0,0,'Données projet'!$E$10+1,1))-AVERAGE(OFFSET($H$3,0,0,'Données projet'!$E$10+1,1))</f>
        <v>325.51141702511984</v>
      </c>
      <c r="AO159" s="59">
        <f t="shared" si="144"/>
        <v>280.04509991782709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#VALUE!</v>
      </c>
      <c r="AV159" s="21" t="e">
        <f>EXP(-LN(2)/25)*AV158+(1-EXP(-LN(2)/25))/(LN(2)/25)*Calculateur!AQ159*Calculateur!AS159*VLOOKUP('Données projet'!$B$10,Paramètres!$A$1:$I$89,3,0)*0.475*44/12</f>
        <v>#VALUE!</v>
      </c>
      <c r="AW159" s="21" t="e">
        <f>EXP(-LN(2)/2)*AW158+(1-EXP(-LN(2)/2))/(LN(2)/2)*AQ159*AT159*VLOOKUP('Données projet'!$B$10,Paramètres!$A$1:$I$89,3,0)*0.475*44/12</f>
        <v>#VALUE!</v>
      </c>
      <c r="AX159" s="21" t="e">
        <f t="shared" si="166"/>
        <v>#VALUE!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2.5715962692629546E-13</v>
      </c>
      <c r="P160" s="13">
        <f t="shared" si="141"/>
        <v>3.4610450122128953E-12</v>
      </c>
      <c r="Q160" s="20">
        <f t="shared" si="162"/>
        <v>6.4758730798340893E-12</v>
      </c>
      <c r="R160" s="59">
        <f t="shared" si="109"/>
        <v>287.45861092659305</v>
      </c>
      <c r="S160" s="59">
        <f ca="1">AVERAGE(OFFSET($R$3,0,0,'Données projet'!$E$9+1,1))-AVERAGE(OFFSET($H$3,0,0,'Données projet'!$E$9+1,1))</f>
        <v>374.44366443573398</v>
      </c>
      <c r="T160" s="59">
        <f t="shared" si="142"/>
        <v>250.47702091764884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5.8679399027312642E-19</v>
      </c>
      <c r="AC160" s="22">
        <f t="shared" si="163"/>
        <v>5.8679399027312642E-19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1.064108801074326E-13</v>
      </c>
      <c r="AK160" s="13">
        <f t="shared" si="164"/>
        <v>1.5870730813698654E-12</v>
      </c>
      <c r="AL160" s="20">
        <f t="shared" si="165"/>
        <v>2.9494845662396269E-12</v>
      </c>
      <c r="AM160" s="59">
        <f t="shared" si="113"/>
        <v>287.45861092658953</v>
      </c>
      <c r="AN160" s="59">
        <f ca="1">AVERAGE(OFFSET($AM$3,0,0,'Données projet'!$E$10+1,1))-AVERAGE(OFFSET($H$3,0,0,'Données projet'!$E$10+1,1))</f>
        <v>325.51141702511984</v>
      </c>
      <c r="AO160" s="59">
        <f t="shared" si="144"/>
        <v>280.04509991782709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#VALUE!</v>
      </c>
      <c r="AV160" s="21" t="e">
        <f>EXP(-LN(2)/25)*AV159+(1-EXP(-LN(2)/25))/(LN(2)/25)*Calculateur!AQ160*Calculateur!AS160*VLOOKUP('Données projet'!$B$10,Paramètres!$A$1:$I$89,3,0)*0.475*44/12</f>
        <v>#VALUE!</v>
      </c>
      <c r="AW160" s="21" t="e">
        <f>EXP(-LN(2)/2)*AW159+(1-EXP(-LN(2)/2))/(LN(2)/2)*AQ160*AT160*VLOOKUP('Données projet'!$B$10,Paramètres!$A$1:$I$89,3,0)*0.475*44/12</f>
        <v>#VALUE!</v>
      </c>
      <c r="AX160" s="21" t="e">
        <f t="shared" si="166"/>
        <v>#VALUE!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2.5715962692629546E-13</v>
      </c>
      <c r="P161" s="13">
        <f t="shared" si="141"/>
        <v>3.4610450122128953E-12</v>
      </c>
      <c r="Q161" s="20">
        <f t="shared" si="162"/>
        <v>6.4758730798340893E-12</v>
      </c>
      <c r="R161" s="59">
        <f t="shared" si="109"/>
        <v>287.56052422643847</v>
      </c>
      <c r="S161" s="59">
        <f ca="1">AVERAGE(OFFSET($R$3,0,0,'Données projet'!$E$9+1,1))-AVERAGE(OFFSET($H$3,0,0,'Données projet'!$E$9+1,1))</f>
        <v>374.44366443573398</v>
      </c>
      <c r="T161" s="59">
        <f t="shared" si="142"/>
        <v>250.47702091764884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4.149260096816407E-19</v>
      </c>
      <c r="AC161" s="22">
        <f t="shared" si="163"/>
        <v>4.149260096816407E-19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1.064108801074326E-13</v>
      </c>
      <c r="AK161" s="13">
        <f t="shared" si="164"/>
        <v>1.5870730813698654E-12</v>
      </c>
      <c r="AL161" s="20">
        <f t="shared" si="165"/>
        <v>2.9494845662396269E-12</v>
      </c>
      <c r="AM161" s="59">
        <f t="shared" si="113"/>
        <v>287.56052422643495</v>
      </c>
      <c r="AN161" s="59">
        <f ca="1">AVERAGE(OFFSET($AM$3,0,0,'Données projet'!$E$10+1,1))-AVERAGE(OFFSET($H$3,0,0,'Données projet'!$E$10+1,1))</f>
        <v>325.51141702511984</v>
      </c>
      <c r="AO161" s="59">
        <f t="shared" si="144"/>
        <v>280.04509991782709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#VALUE!</v>
      </c>
      <c r="AV161" s="21" t="e">
        <f>EXP(-LN(2)/25)*AV160+(1-EXP(-LN(2)/25))/(LN(2)/25)*Calculateur!AQ161*Calculateur!AS161*VLOOKUP('Données projet'!$B$10,Paramètres!$A$1:$I$89,3,0)*0.475*44/12</f>
        <v>#VALUE!</v>
      </c>
      <c r="AW161" s="21" t="e">
        <f>EXP(-LN(2)/2)*AW160+(1-EXP(-LN(2)/2))/(LN(2)/2)*AQ161*AT161*VLOOKUP('Données projet'!$B$10,Paramètres!$A$1:$I$89,3,0)*0.475*44/12</f>
        <v>#VALUE!</v>
      </c>
      <c r="AX161" s="21" t="e">
        <f t="shared" si="166"/>
        <v>#VALUE!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2.5715962692629546E-13</v>
      </c>
      <c r="P162" s="13">
        <f t="shared" si="141"/>
        <v>3.4610450122128953E-12</v>
      </c>
      <c r="Q162" s="20">
        <f t="shared" si="162"/>
        <v>6.4758730798340893E-12</v>
      </c>
      <c r="R162" s="59">
        <f t="shared" si="109"/>
        <v>287.66066955837545</v>
      </c>
      <c r="S162" s="59">
        <f ca="1">AVERAGE(OFFSET($R$3,0,0,'Données projet'!$E$9+1,1))-AVERAGE(OFFSET($H$3,0,0,'Données projet'!$E$9+1,1))</f>
        <v>374.44366443573398</v>
      </c>
      <c r="T162" s="59">
        <f t="shared" si="142"/>
        <v>250.47702091764884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2.9339699513656321E-19</v>
      </c>
      <c r="AC162" s="22">
        <f t="shared" si="163"/>
        <v>2.9339699513656321E-19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1.064108801074326E-13</v>
      </c>
      <c r="AK162" s="13">
        <f t="shared" si="164"/>
        <v>1.5870730813698654E-12</v>
      </c>
      <c r="AL162" s="20">
        <f t="shared" si="165"/>
        <v>2.9494845662396269E-12</v>
      </c>
      <c r="AM162" s="59">
        <f t="shared" si="113"/>
        <v>287.66066955837192</v>
      </c>
      <c r="AN162" s="59">
        <f ca="1">AVERAGE(OFFSET($AM$3,0,0,'Données projet'!$E$10+1,1))-AVERAGE(OFFSET($H$3,0,0,'Données projet'!$E$10+1,1))</f>
        <v>325.51141702511984</v>
      </c>
      <c r="AO162" s="59">
        <f t="shared" si="144"/>
        <v>280.04509991782709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#VALUE!</v>
      </c>
      <c r="AV162" s="21" t="e">
        <f>EXP(-LN(2)/25)*AV161+(1-EXP(-LN(2)/25))/(LN(2)/25)*Calculateur!AQ162*Calculateur!AS162*VLOOKUP('Données projet'!$B$10,Paramètres!$A$1:$I$89,3,0)*0.475*44/12</f>
        <v>#VALUE!</v>
      </c>
      <c r="AW162" s="21" t="e">
        <f>EXP(-LN(2)/2)*AW161+(1-EXP(-LN(2)/2))/(LN(2)/2)*AQ162*AT162*VLOOKUP('Données projet'!$B$10,Paramètres!$A$1:$I$89,3,0)*0.475*44/12</f>
        <v>#VALUE!</v>
      </c>
      <c r="AX162" s="21" t="e">
        <f t="shared" si="166"/>
        <v>#VALUE!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2.5715962692629546E-13</v>
      </c>
      <c r="P163" s="13">
        <f t="shared" si="141"/>
        <v>3.4610450122128953E-12</v>
      </c>
      <c r="Q163" s="20">
        <f t="shared" si="162"/>
        <v>6.4758730798340893E-12</v>
      </c>
      <c r="R163" s="59">
        <f t="shared" si="109"/>
        <v>287.75907759269484</v>
      </c>
      <c r="S163" s="59">
        <f ca="1">AVERAGE(OFFSET($R$3,0,0,'Données projet'!$E$9+1,1))-AVERAGE(OFFSET($H$3,0,0,'Données projet'!$E$9+1,1))</f>
        <v>374.44366443573398</v>
      </c>
      <c r="T163" s="59">
        <f t="shared" si="142"/>
        <v>250.47702091764884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2.0746300484082035E-19</v>
      </c>
      <c r="AC163" s="22">
        <f t="shared" si="163"/>
        <v>2.0746300484082035E-19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1.064108801074326E-13</v>
      </c>
      <c r="AK163" s="13">
        <f t="shared" si="164"/>
        <v>1.5870730813698654E-12</v>
      </c>
      <c r="AL163" s="20">
        <f t="shared" si="165"/>
        <v>2.9494845662396269E-12</v>
      </c>
      <c r="AM163" s="59">
        <f t="shared" si="113"/>
        <v>287.75907759269131</v>
      </c>
      <c r="AN163" s="59">
        <f ca="1">AVERAGE(OFFSET($AM$3,0,0,'Données projet'!$E$10+1,1))-AVERAGE(OFFSET($H$3,0,0,'Données projet'!$E$10+1,1))</f>
        <v>325.51141702511984</v>
      </c>
      <c r="AO163" s="59">
        <f t="shared" si="144"/>
        <v>280.04509991782709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#VALUE!</v>
      </c>
      <c r="AV163" s="21" t="e">
        <f>EXP(-LN(2)/25)*AV162+(1-EXP(-LN(2)/25))/(LN(2)/25)*Calculateur!AQ163*Calculateur!AS163*VLOOKUP('Données projet'!$B$10,Paramètres!$A$1:$I$89,3,0)*0.475*44/12</f>
        <v>#VALUE!</v>
      </c>
      <c r="AW163" s="21" t="e">
        <f>EXP(-LN(2)/2)*AW162+(1-EXP(-LN(2)/2))/(LN(2)/2)*AQ163*AT163*VLOOKUP('Données projet'!$B$10,Paramètres!$A$1:$I$89,3,0)*0.475*44/12</f>
        <v>#VALUE!</v>
      </c>
      <c r="AX163" s="21" t="e">
        <f t="shared" si="166"/>
        <v>#VALUE!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2.5715962692629546E-13</v>
      </c>
      <c r="P164" s="13">
        <f t="shared" si="141"/>
        <v>3.4610450122128953E-12</v>
      </c>
      <c r="Q164" s="20">
        <f t="shared" si="162"/>
        <v>6.4758730798340893E-12</v>
      </c>
      <c r="R164" s="59">
        <f t="shared" si="109"/>
        <v>287.85577846762618</v>
      </c>
      <c r="S164" s="59">
        <f ca="1">AVERAGE(OFFSET($R$3,0,0,'Données projet'!$E$9+1,1))-AVERAGE(OFFSET($H$3,0,0,'Données projet'!$E$9+1,1))</f>
        <v>374.44366443573398</v>
      </c>
      <c r="T164" s="59">
        <f t="shared" si="142"/>
        <v>250.47702091764884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1.466984975682816E-19</v>
      </c>
      <c r="AC164" s="22">
        <f t="shared" si="163"/>
        <v>1.466984975682816E-19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1.064108801074326E-13</v>
      </c>
      <c r="AK164" s="13">
        <f t="shared" si="164"/>
        <v>1.5870730813698654E-12</v>
      </c>
      <c r="AL164" s="20">
        <f t="shared" si="165"/>
        <v>2.9494845662396269E-12</v>
      </c>
      <c r="AM164" s="59">
        <f t="shared" si="113"/>
        <v>287.85577846762266</v>
      </c>
      <c r="AN164" s="59">
        <f ca="1">AVERAGE(OFFSET($AM$3,0,0,'Données projet'!$E$10+1,1))-AVERAGE(OFFSET($H$3,0,0,'Données projet'!$E$10+1,1))</f>
        <v>325.51141702511984</v>
      </c>
      <c r="AO164" s="59">
        <f t="shared" si="144"/>
        <v>280.04509991782709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#VALUE!</v>
      </c>
      <c r="AV164" s="21" t="e">
        <f>EXP(-LN(2)/25)*AV163+(1-EXP(-LN(2)/25))/(LN(2)/25)*Calculateur!AQ164*Calculateur!AS164*VLOOKUP('Données projet'!$B$10,Paramètres!$A$1:$I$89,3,0)*0.475*44/12</f>
        <v>#VALUE!</v>
      </c>
      <c r="AW164" s="21" t="e">
        <f>EXP(-LN(2)/2)*AW163+(1-EXP(-LN(2)/2))/(LN(2)/2)*AQ164*AT164*VLOOKUP('Données projet'!$B$10,Paramètres!$A$1:$I$89,3,0)*0.475*44/12</f>
        <v>#VALUE!</v>
      </c>
      <c r="AX164" s="21" t="e">
        <f t="shared" si="166"/>
        <v>#VALUE!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2.5715962692629546E-13</v>
      </c>
      <c r="P165" s="13">
        <f t="shared" si="141"/>
        <v>3.4610450122128953E-12</v>
      </c>
      <c r="Q165" s="20">
        <f t="shared" si="162"/>
        <v>6.4758730798340893E-12</v>
      </c>
      <c r="R165" s="59">
        <f t="shared" si="109"/>
        <v>287.95080179856819</v>
      </c>
      <c r="S165" s="59">
        <f ca="1">AVERAGE(OFFSET($R$3,0,0,'Données projet'!$E$9+1,1))-AVERAGE(OFFSET($H$3,0,0,'Données projet'!$E$9+1,1))</f>
        <v>374.44366443573398</v>
      </c>
      <c r="T165" s="59">
        <f t="shared" si="142"/>
        <v>250.47702091764884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1.0373150242041018E-19</v>
      </c>
      <c r="AC165" s="22">
        <f t="shared" si="163"/>
        <v>1.0373150242041018E-19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1.064108801074326E-13</v>
      </c>
      <c r="AK165" s="13">
        <f t="shared" si="164"/>
        <v>1.5870730813698654E-12</v>
      </c>
      <c r="AL165" s="20">
        <f t="shared" si="165"/>
        <v>2.9494845662396269E-12</v>
      </c>
      <c r="AM165" s="59">
        <f t="shared" si="113"/>
        <v>287.95080179856467</v>
      </c>
      <c r="AN165" s="59">
        <f ca="1">AVERAGE(OFFSET($AM$3,0,0,'Données projet'!$E$10+1,1))-AVERAGE(OFFSET($H$3,0,0,'Données projet'!$E$10+1,1))</f>
        <v>325.51141702511984</v>
      </c>
      <c r="AO165" s="59">
        <f t="shared" si="144"/>
        <v>280.04509991782709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#VALUE!</v>
      </c>
      <c r="AV165" s="21" t="e">
        <f>EXP(-LN(2)/25)*AV164+(1-EXP(-LN(2)/25))/(LN(2)/25)*Calculateur!AQ165*Calculateur!AS165*VLOOKUP('Données projet'!$B$10,Paramètres!$A$1:$I$89,3,0)*0.475*44/12</f>
        <v>#VALUE!</v>
      </c>
      <c r="AW165" s="21" t="e">
        <f>EXP(-LN(2)/2)*AW164+(1-EXP(-LN(2)/2))/(LN(2)/2)*AQ165*AT165*VLOOKUP('Données projet'!$B$10,Paramètres!$A$1:$I$89,3,0)*0.475*44/12</f>
        <v>#VALUE!</v>
      </c>
      <c r="AX165" s="21" t="e">
        <f t="shared" si="166"/>
        <v>#VALUE!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2.5715962692629546E-13</v>
      </c>
      <c r="P166" s="13">
        <f t="shared" si="141"/>
        <v>3.4610450122128953E-12</v>
      </c>
      <c r="Q166" s="20">
        <f t="shared" si="162"/>
        <v>6.4758730798340893E-12</v>
      </c>
      <c r="R166" s="59">
        <f t="shared" si="109"/>
        <v>288.04417668715871</v>
      </c>
      <c r="S166" s="59">
        <f ca="1">AVERAGE(OFFSET($R$3,0,0,'Données projet'!$E$9+1,1))-AVERAGE(OFFSET($H$3,0,0,'Données projet'!$E$9+1,1))</f>
        <v>374.44366443573398</v>
      </c>
      <c r="T166" s="59">
        <f t="shared" si="142"/>
        <v>250.47702091764884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7.3349248784140802E-20</v>
      </c>
      <c r="AC166" s="22">
        <f t="shared" si="163"/>
        <v>7.3349248784140802E-20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1.064108801074326E-13</v>
      </c>
      <c r="AK166" s="13">
        <f t="shared" si="164"/>
        <v>1.5870730813698654E-12</v>
      </c>
      <c r="AL166" s="20">
        <f t="shared" si="165"/>
        <v>2.9494845662396269E-12</v>
      </c>
      <c r="AM166" s="59">
        <f t="shared" si="113"/>
        <v>288.04417668715519</v>
      </c>
      <c r="AN166" s="59">
        <f ca="1">AVERAGE(OFFSET($AM$3,0,0,'Données projet'!$E$10+1,1))-AVERAGE(OFFSET($H$3,0,0,'Données projet'!$E$10+1,1))</f>
        <v>325.51141702511984</v>
      </c>
      <c r="AO166" s="59">
        <f t="shared" si="144"/>
        <v>280.04509991782709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#VALUE!</v>
      </c>
      <c r="AV166" s="21" t="e">
        <f>EXP(-LN(2)/25)*AV165+(1-EXP(-LN(2)/25))/(LN(2)/25)*Calculateur!AQ166*Calculateur!AS166*VLOOKUP('Données projet'!$B$10,Paramètres!$A$1:$I$89,3,0)*0.475*44/12</f>
        <v>#VALUE!</v>
      </c>
      <c r="AW166" s="21" t="e">
        <f>EXP(-LN(2)/2)*AW165+(1-EXP(-LN(2)/2))/(LN(2)/2)*AQ166*AT166*VLOOKUP('Données projet'!$B$10,Paramètres!$A$1:$I$89,3,0)*0.475*44/12</f>
        <v>#VALUE!</v>
      </c>
      <c r="AX166" s="21" t="e">
        <f t="shared" si="166"/>
        <v>#VALUE!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2.5715962692629546E-13</v>
      </c>
      <c r="P167" s="13">
        <f t="shared" si="141"/>
        <v>3.4610450122128953E-12</v>
      </c>
      <c r="Q167" s="20">
        <f t="shared" si="162"/>
        <v>6.4758730798340893E-12</v>
      </c>
      <c r="R167" s="59">
        <f t="shared" si="109"/>
        <v>288.13593173018717</v>
      </c>
      <c r="S167" s="59">
        <f ca="1">AVERAGE(OFFSET($R$3,0,0,'Données projet'!$E$9+1,1))-AVERAGE(OFFSET($H$3,0,0,'Données projet'!$E$9+1,1))</f>
        <v>374.44366443573398</v>
      </c>
      <c r="T167" s="59">
        <f t="shared" si="142"/>
        <v>250.47702091764884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5.1865751210205088E-20</v>
      </c>
      <c r="AC167" s="22">
        <f t="shared" si="163"/>
        <v>5.1865751210205088E-20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1.064108801074326E-13</v>
      </c>
      <c r="AK167" s="13">
        <f t="shared" si="164"/>
        <v>1.5870730813698654E-12</v>
      </c>
      <c r="AL167" s="20">
        <f t="shared" si="165"/>
        <v>2.9494845662396269E-12</v>
      </c>
      <c r="AM167" s="59">
        <f t="shared" si="113"/>
        <v>288.13593173018364</v>
      </c>
      <c r="AN167" s="59">
        <f ca="1">AVERAGE(OFFSET($AM$3,0,0,'Données projet'!$E$10+1,1))-AVERAGE(OFFSET($H$3,0,0,'Données projet'!$E$10+1,1))</f>
        <v>325.51141702511984</v>
      </c>
      <c r="AO167" s="59">
        <f t="shared" si="144"/>
        <v>280.04509991782709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#VALUE!</v>
      </c>
      <c r="AV167" s="21" t="e">
        <f>EXP(-LN(2)/25)*AV166+(1-EXP(-LN(2)/25))/(LN(2)/25)*Calculateur!AQ167*Calculateur!AS167*VLOOKUP('Données projet'!$B$10,Paramètres!$A$1:$I$89,3,0)*0.475*44/12</f>
        <v>#VALUE!</v>
      </c>
      <c r="AW167" s="21" t="e">
        <f>EXP(-LN(2)/2)*AW166+(1-EXP(-LN(2)/2))/(LN(2)/2)*AQ167*AT167*VLOOKUP('Données projet'!$B$10,Paramètres!$A$1:$I$89,3,0)*0.475*44/12</f>
        <v>#VALUE!</v>
      </c>
      <c r="AX167" s="21" t="e">
        <f t="shared" si="166"/>
        <v>#VALUE!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2.5715962692629546E-13</v>
      </c>
      <c r="P168" s="13">
        <f t="shared" si="141"/>
        <v>3.4610450122128953E-12</v>
      </c>
      <c r="Q168" s="20">
        <f t="shared" si="162"/>
        <v>6.4758730798340893E-12</v>
      </c>
      <c r="R168" s="59">
        <f t="shared" si="109"/>
        <v>288.22609502835263</v>
      </c>
      <c r="S168" s="59">
        <f ca="1">AVERAGE(OFFSET($R$3,0,0,'Données projet'!$E$9+1,1))-AVERAGE(OFFSET($H$3,0,0,'Données projet'!$E$9+1,1))</f>
        <v>374.44366443573398</v>
      </c>
      <c r="T168" s="59">
        <f t="shared" si="142"/>
        <v>250.47702091764884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3.6674624392070401E-20</v>
      </c>
      <c r="AC168" s="22">
        <f t="shared" si="163"/>
        <v>3.6674624392070401E-20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1.064108801074326E-13</v>
      </c>
      <c r="AK168" s="13">
        <f t="shared" si="164"/>
        <v>1.5870730813698654E-12</v>
      </c>
      <c r="AL168" s="20">
        <f t="shared" si="165"/>
        <v>2.9494845662396269E-12</v>
      </c>
      <c r="AM168" s="59">
        <f t="shared" si="113"/>
        <v>288.22609502834911</v>
      </c>
      <c r="AN168" s="59">
        <f ca="1">AVERAGE(OFFSET($AM$3,0,0,'Données projet'!$E$10+1,1))-AVERAGE(OFFSET($H$3,0,0,'Données projet'!$E$10+1,1))</f>
        <v>325.51141702511984</v>
      </c>
      <c r="AO168" s="59">
        <f t="shared" si="144"/>
        <v>280.04509991782709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#VALUE!</v>
      </c>
      <c r="AV168" s="21" t="e">
        <f>EXP(-LN(2)/25)*AV167+(1-EXP(-LN(2)/25))/(LN(2)/25)*Calculateur!AQ168*Calculateur!AS168*VLOOKUP('Données projet'!$B$10,Paramètres!$A$1:$I$89,3,0)*0.475*44/12</f>
        <v>#VALUE!</v>
      </c>
      <c r="AW168" s="21" t="e">
        <f>EXP(-LN(2)/2)*AW167+(1-EXP(-LN(2)/2))/(LN(2)/2)*AQ168*AT168*VLOOKUP('Données projet'!$B$10,Paramètres!$A$1:$I$89,3,0)*0.475*44/12</f>
        <v>#VALUE!</v>
      </c>
      <c r="AX168" s="21" t="e">
        <f t="shared" si="166"/>
        <v>#VALUE!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2.5715962692629546E-13</v>
      </c>
      <c r="P169" s="13">
        <f t="shared" si="141"/>
        <v>3.4610450122128953E-12</v>
      </c>
      <c r="Q169" s="20">
        <f t="shared" si="162"/>
        <v>6.4758730798340893E-12</v>
      </c>
      <c r="R169" s="59">
        <f t="shared" si="109"/>
        <v>288.3146941948699</v>
      </c>
      <c r="S169" s="59">
        <f ca="1">AVERAGE(OFFSET($R$3,0,0,'Données projet'!$E$9+1,1))-AVERAGE(OFFSET($H$3,0,0,'Données projet'!$E$9+1,1))</f>
        <v>374.44366443573398</v>
      </c>
      <c r="T169" s="59">
        <f t="shared" si="142"/>
        <v>250.47702091764884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2.5932875605102544E-20</v>
      </c>
      <c r="AC169" s="22">
        <f t="shared" si="163"/>
        <v>2.5932875605102544E-20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1.064108801074326E-13</v>
      </c>
      <c r="AK169" s="13">
        <f t="shared" si="164"/>
        <v>1.5870730813698654E-12</v>
      </c>
      <c r="AL169" s="20">
        <f t="shared" si="165"/>
        <v>2.9494845662396269E-12</v>
      </c>
      <c r="AM169" s="59">
        <f t="shared" si="113"/>
        <v>288.31469419486638</v>
      </c>
      <c r="AN169" s="59">
        <f ca="1">AVERAGE(OFFSET($AM$3,0,0,'Données projet'!$E$10+1,1))-AVERAGE(OFFSET($H$3,0,0,'Données projet'!$E$10+1,1))</f>
        <v>325.51141702511984</v>
      </c>
      <c r="AO169" s="59">
        <f t="shared" si="144"/>
        <v>280.04509991782709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#VALUE!</v>
      </c>
      <c r="AV169" s="21" t="e">
        <f>EXP(-LN(2)/25)*AV168+(1-EXP(-LN(2)/25))/(LN(2)/25)*Calculateur!AQ169*Calculateur!AS169*VLOOKUP('Données projet'!$B$10,Paramètres!$A$1:$I$89,3,0)*0.475*44/12</f>
        <v>#VALUE!</v>
      </c>
      <c r="AW169" s="21" t="e">
        <f>EXP(-LN(2)/2)*AW168+(1-EXP(-LN(2)/2))/(LN(2)/2)*AQ169*AT169*VLOOKUP('Données projet'!$B$10,Paramètres!$A$1:$I$89,3,0)*0.475*44/12</f>
        <v>#VALUE!</v>
      </c>
      <c r="AX169" s="21" t="e">
        <f t="shared" si="166"/>
        <v>#VALUE!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2.5715962692629546E-13</v>
      </c>
      <c r="P170" s="13">
        <f t="shared" si="141"/>
        <v>3.4610450122128953E-12</v>
      </c>
      <c r="Q170" s="20">
        <f t="shared" si="162"/>
        <v>6.4758730798340893E-12</v>
      </c>
      <c r="R170" s="59">
        <f t="shared" si="109"/>
        <v>288.4017563639261</v>
      </c>
      <c r="S170" s="59">
        <f ca="1">AVERAGE(OFFSET($R$3,0,0,'Données projet'!$E$9+1,1))-AVERAGE(OFFSET($H$3,0,0,'Données projet'!$E$9+1,1))</f>
        <v>374.44366443573398</v>
      </c>
      <c r="T170" s="59">
        <f t="shared" si="142"/>
        <v>250.47702091764884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1.8337312196035201E-20</v>
      </c>
      <c r="AC170" s="22">
        <f t="shared" si="163"/>
        <v>1.8337312196035201E-20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1.064108801074326E-13</v>
      </c>
      <c r="AK170" s="13">
        <f t="shared" si="164"/>
        <v>1.5870730813698654E-12</v>
      </c>
      <c r="AL170" s="20">
        <f t="shared" si="165"/>
        <v>2.9494845662396269E-12</v>
      </c>
      <c r="AM170" s="59">
        <f t="shared" si="113"/>
        <v>288.40175636392257</v>
      </c>
      <c r="AN170" s="59">
        <f ca="1">AVERAGE(OFFSET($AM$3,0,0,'Données projet'!$E$10+1,1))-AVERAGE(OFFSET($H$3,0,0,'Données projet'!$E$10+1,1))</f>
        <v>325.51141702511984</v>
      </c>
      <c r="AO170" s="59">
        <f t="shared" si="144"/>
        <v>280.04509991782709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#VALUE!</v>
      </c>
      <c r="AV170" s="21" t="e">
        <f>EXP(-LN(2)/25)*AV169+(1-EXP(-LN(2)/25))/(LN(2)/25)*Calculateur!AQ170*Calculateur!AS170*VLOOKUP('Données projet'!$B$10,Paramètres!$A$1:$I$89,3,0)*0.475*44/12</f>
        <v>#VALUE!</v>
      </c>
      <c r="AW170" s="21" t="e">
        <f>EXP(-LN(2)/2)*AW169+(1-EXP(-LN(2)/2))/(LN(2)/2)*AQ170*AT170*VLOOKUP('Données projet'!$B$10,Paramètres!$A$1:$I$89,3,0)*0.475*44/12</f>
        <v>#VALUE!</v>
      </c>
      <c r="AX170" s="21" t="e">
        <f t="shared" si="166"/>
        <v>#VALUE!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2.5715962692629546E-13</v>
      </c>
      <c r="P171" s="13">
        <f t="shared" si="141"/>
        <v>3.4610450122128953E-12</v>
      </c>
      <c r="Q171" s="20">
        <f t="shared" si="162"/>
        <v>6.4758730798340893E-12</v>
      </c>
      <c r="R171" s="59">
        <f t="shared" si="109"/>
        <v>288.487308198991</v>
      </c>
      <c r="S171" s="59">
        <f ca="1">AVERAGE(OFFSET($R$3,0,0,'Données projet'!$E$9+1,1))-AVERAGE(OFFSET($H$3,0,0,'Données projet'!$E$9+1,1))</f>
        <v>374.44366443573398</v>
      </c>
      <c r="T171" s="59">
        <f t="shared" si="142"/>
        <v>250.47702091764884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1.2966437802551272E-20</v>
      </c>
      <c r="AC171" s="22">
        <f t="shared" si="163"/>
        <v>1.2966437802551272E-20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1.064108801074326E-13</v>
      </c>
      <c r="AK171" s="13">
        <f t="shared" si="164"/>
        <v>1.5870730813698654E-12</v>
      </c>
      <c r="AL171" s="20">
        <f t="shared" si="165"/>
        <v>2.9494845662396269E-12</v>
      </c>
      <c r="AM171" s="59">
        <f t="shared" si="113"/>
        <v>288.48730819898748</v>
      </c>
      <c r="AN171" s="59">
        <f ca="1">AVERAGE(OFFSET($AM$3,0,0,'Données projet'!$E$10+1,1))-AVERAGE(OFFSET($H$3,0,0,'Données projet'!$E$10+1,1))</f>
        <v>325.51141702511984</v>
      </c>
      <c r="AO171" s="59">
        <f t="shared" si="144"/>
        <v>280.04509991782709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#VALUE!</v>
      </c>
      <c r="AV171" s="21" t="e">
        <f>EXP(-LN(2)/25)*AV170+(1-EXP(-LN(2)/25))/(LN(2)/25)*Calculateur!AQ171*Calculateur!AS171*VLOOKUP('Données projet'!$B$10,Paramètres!$A$1:$I$89,3,0)*0.475*44/12</f>
        <v>#VALUE!</v>
      </c>
      <c r="AW171" s="21" t="e">
        <f>EXP(-LN(2)/2)*AW170+(1-EXP(-LN(2)/2))/(LN(2)/2)*AQ171*AT171*VLOOKUP('Données projet'!$B$10,Paramètres!$A$1:$I$89,3,0)*0.475*44/12</f>
        <v>#VALUE!</v>
      </c>
      <c r="AX171" s="21" t="e">
        <f t="shared" si="166"/>
        <v>#VALUE!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2.5715962692629546E-13</v>
      </c>
      <c r="P172" s="13">
        <f t="shared" si="141"/>
        <v>3.4610450122128953E-12</v>
      </c>
      <c r="Q172" s="20">
        <f t="shared" si="162"/>
        <v>6.4758730798340893E-12</v>
      </c>
      <c r="R172" s="59">
        <f t="shared" si="109"/>
        <v>288.5713759009829</v>
      </c>
      <c r="S172" s="59">
        <f ca="1">AVERAGE(OFFSET($R$3,0,0,'Données projet'!$E$9+1,1))-AVERAGE(OFFSET($H$3,0,0,'Données projet'!$E$9+1,1))</f>
        <v>374.44366443573398</v>
      </c>
      <c r="T172" s="59">
        <f t="shared" si="142"/>
        <v>250.47702091764884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9.1686560980176003E-21</v>
      </c>
      <c r="AC172" s="22">
        <f t="shared" si="163"/>
        <v>9.1686560980176003E-21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1.064108801074326E-13</v>
      </c>
      <c r="AK172" s="13">
        <f t="shared" si="164"/>
        <v>1.5870730813698654E-12</v>
      </c>
      <c r="AL172" s="20">
        <f t="shared" si="165"/>
        <v>2.9494845662396269E-12</v>
      </c>
      <c r="AM172" s="59">
        <f t="shared" si="113"/>
        <v>288.57137590097938</v>
      </c>
      <c r="AN172" s="59">
        <f ca="1">AVERAGE(OFFSET($AM$3,0,0,'Données projet'!$E$10+1,1))-AVERAGE(OFFSET($H$3,0,0,'Données projet'!$E$10+1,1))</f>
        <v>325.51141702511984</v>
      </c>
      <c r="AO172" s="59">
        <f t="shared" si="144"/>
        <v>280.04509991782709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#VALUE!</v>
      </c>
      <c r="AV172" s="21" t="e">
        <f>EXP(-LN(2)/25)*AV171+(1-EXP(-LN(2)/25))/(LN(2)/25)*Calculateur!AQ172*Calculateur!AS172*VLOOKUP('Données projet'!$B$10,Paramètres!$A$1:$I$89,3,0)*0.475*44/12</f>
        <v>#VALUE!</v>
      </c>
      <c r="AW172" s="21" t="e">
        <f>EXP(-LN(2)/2)*AW171+(1-EXP(-LN(2)/2))/(LN(2)/2)*AQ172*AT172*VLOOKUP('Données projet'!$B$10,Paramètres!$A$1:$I$89,3,0)*0.475*44/12</f>
        <v>#VALUE!</v>
      </c>
      <c r="AX172" s="21" t="e">
        <f t="shared" si="166"/>
        <v>#VALUE!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2.5715962692629546E-13</v>
      </c>
      <c r="P173" s="13">
        <f t="shared" si="141"/>
        <v>3.4610450122128953E-12</v>
      </c>
      <c r="Q173" s="20">
        <f t="shared" si="162"/>
        <v>6.4758730798340893E-12</v>
      </c>
      <c r="R173" s="59">
        <f t="shared" si="109"/>
        <v>288.65398521629237</v>
      </c>
      <c r="S173" s="59">
        <f ca="1">AVERAGE(OFFSET($R$3,0,0,'Données projet'!$E$9+1,1))-AVERAGE(OFFSET($H$3,0,0,'Données projet'!$E$9+1,1))</f>
        <v>374.44366443573398</v>
      </c>
      <c r="T173" s="59">
        <f t="shared" si="142"/>
        <v>250.47702091764884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6.483218901275636E-21</v>
      </c>
      <c r="AC173" s="22">
        <f t="shared" si="163"/>
        <v>6.483218901275636E-21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1.064108801074326E-13</v>
      </c>
      <c r="AK173" s="13">
        <f t="shared" si="164"/>
        <v>1.5870730813698654E-12</v>
      </c>
      <c r="AL173" s="20">
        <f t="shared" si="165"/>
        <v>2.9494845662396269E-12</v>
      </c>
      <c r="AM173" s="59">
        <f t="shared" si="113"/>
        <v>288.65398521628885</v>
      </c>
      <c r="AN173" s="59">
        <f ca="1">AVERAGE(OFFSET($AM$3,0,0,'Données projet'!$E$10+1,1))-AVERAGE(OFFSET($H$3,0,0,'Données projet'!$E$10+1,1))</f>
        <v>325.51141702511984</v>
      </c>
      <c r="AO173" s="59">
        <f t="shared" si="144"/>
        <v>280.04509991782709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#VALUE!</v>
      </c>
      <c r="AV173" s="21" t="e">
        <f>EXP(-LN(2)/25)*AV172+(1-EXP(-LN(2)/25))/(LN(2)/25)*Calculateur!AQ173*Calculateur!AS173*VLOOKUP('Données projet'!$B$10,Paramètres!$A$1:$I$89,3,0)*0.475*44/12</f>
        <v>#VALUE!</v>
      </c>
      <c r="AW173" s="21" t="e">
        <f>EXP(-LN(2)/2)*AW172+(1-EXP(-LN(2)/2))/(LN(2)/2)*AQ173*AT173*VLOOKUP('Données projet'!$B$10,Paramètres!$A$1:$I$89,3,0)*0.475*44/12</f>
        <v>#VALUE!</v>
      </c>
      <c r="AX173" s="21" t="e">
        <f t="shared" si="166"/>
        <v>#VALUE!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2.5715962692629546E-13</v>
      </c>
      <c r="P174" s="13">
        <f t="shared" si="141"/>
        <v>3.4610450122128953E-12</v>
      </c>
      <c r="Q174" s="20">
        <f t="shared" si="162"/>
        <v>6.4758730798340893E-12</v>
      </c>
      <c r="R174" s="59">
        <f t="shared" si="109"/>
        <v>288.73516144466799</v>
      </c>
      <c r="S174" s="59">
        <f ca="1">AVERAGE(OFFSET($R$3,0,0,'Données projet'!$E$9+1,1))-AVERAGE(OFFSET($H$3,0,0,'Données projet'!$E$9+1,1))</f>
        <v>374.44366443573398</v>
      </c>
      <c r="T174" s="59">
        <f t="shared" si="142"/>
        <v>250.47702091764884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4.5843280490088001E-21</v>
      </c>
      <c r="AC174" s="22">
        <f t="shared" si="163"/>
        <v>4.5843280490088001E-21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1.064108801074326E-13</v>
      </c>
      <c r="AK174" s="13">
        <f t="shared" si="164"/>
        <v>1.5870730813698654E-12</v>
      </c>
      <c r="AL174" s="20">
        <f t="shared" si="165"/>
        <v>2.9494845662396269E-12</v>
      </c>
      <c r="AM174" s="59">
        <f t="shared" si="113"/>
        <v>288.73516144466447</v>
      </c>
      <c r="AN174" s="59">
        <f ca="1">AVERAGE(OFFSET($AM$3,0,0,'Données projet'!$E$10+1,1))-AVERAGE(OFFSET($H$3,0,0,'Données projet'!$E$10+1,1))</f>
        <v>325.51141702511984</v>
      </c>
      <c r="AO174" s="59">
        <f t="shared" si="144"/>
        <v>280.04509991782709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#VALUE!</v>
      </c>
      <c r="AV174" s="21" t="e">
        <f>EXP(-LN(2)/25)*AV173+(1-EXP(-LN(2)/25))/(LN(2)/25)*Calculateur!AQ174*Calculateur!AS174*VLOOKUP('Données projet'!$B$10,Paramètres!$A$1:$I$89,3,0)*0.475*44/12</f>
        <v>#VALUE!</v>
      </c>
      <c r="AW174" s="21" t="e">
        <f>EXP(-LN(2)/2)*AW173+(1-EXP(-LN(2)/2))/(LN(2)/2)*AQ174*AT174*VLOOKUP('Données projet'!$B$10,Paramètres!$A$1:$I$89,3,0)*0.475*44/12</f>
        <v>#VALUE!</v>
      </c>
      <c r="AX174" s="21" t="e">
        <f t="shared" si="166"/>
        <v>#VALUE!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2.5715962692629546E-13</v>
      </c>
      <c r="P175" s="13">
        <f t="shared" si="141"/>
        <v>3.4610450122128953E-12</v>
      </c>
      <c r="Q175" s="20">
        <f t="shared" si="162"/>
        <v>6.4758730798340893E-12</v>
      </c>
      <c r="R175" s="59">
        <f t="shared" si="109"/>
        <v>288.81492944696413</v>
      </c>
      <c r="S175" s="59">
        <f ca="1">AVERAGE(OFFSET($R$3,0,0,'Données projet'!$E$9+1,1))-AVERAGE(OFFSET($H$3,0,0,'Données projet'!$E$9+1,1))</f>
        <v>374.44366443573398</v>
      </c>
      <c r="T175" s="59">
        <f t="shared" si="142"/>
        <v>250.47702091764884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3.241609450637818E-21</v>
      </c>
      <c r="AC175" s="22">
        <f t="shared" si="163"/>
        <v>3.241609450637818E-21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1.064108801074326E-13</v>
      </c>
      <c r="AK175" s="13">
        <f t="shared" si="164"/>
        <v>1.5870730813698654E-12</v>
      </c>
      <c r="AL175" s="20">
        <f t="shared" si="165"/>
        <v>2.9494845662396269E-12</v>
      </c>
      <c r="AM175" s="59">
        <f t="shared" si="113"/>
        <v>288.8149294469606</v>
      </c>
      <c r="AN175" s="59">
        <f ca="1">AVERAGE(OFFSET($AM$3,0,0,'Données projet'!$E$10+1,1))-AVERAGE(OFFSET($H$3,0,0,'Données projet'!$E$10+1,1))</f>
        <v>325.51141702511984</v>
      </c>
      <c r="AO175" s="59">
        <f t="shared" si="144"/>
        <v>280.04509991782709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#VALUE!</v>
      </c>
      <c r="AV175" s="21" t="e">
        <f>EXP(-LN(2)/25)*AV174+(1-EXP(-LN(2)/25))/(LN(2)/25)*Calculateur!AQ175*Calculateur!AS175*VLOOKUP('Données projet'!$B$10,Paramètres!$A$1:$I$89,3,0)*0.475*44/12</f>
        <v>#VALUE!</v>
      </c>
      <c r="AW175" s="21" t="e">
        <f>EXP(-LN(2)/2)*AW174+(1-EXP(-LN(2)/2))/(LN(2)/2)*AQ175*AT175*VLOOKUP('Données projet'!$B$10,Paramètres!$A$1:$I$89,3,0)*0.475*44/12</f>
        <v>#VALUE!</v>
      </c>
      <c r="AX175" s="21" t="e">
        <f t="shared" si="166"/>
        <v>#VALUE!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2.5715962692629546E-13</v>
      </c>
      <c r="P176" s="13">
        <f t="shared" si="141"/>
        <v>3.4610450122128953E-12</v>
      </c>
      <c r="Q176" s="20">
        <f t="shared" si="162"/>
        <v>6.4758730798340893E-12</v>
      </c>
      <c r="R176" s="59">
        <f t="shared" si="109"/>
        <v>288.89331365275496</v>
      </c>
      <c r="S176" s="59">
        <f ca="1">AVERAGE(OFFSET($R$3,0,0,'Données projet'!$E$9+1,1))-AVERAGE(OFFSET($H$3,0,0,'Données projet'!$E$9+1,1))</f>
        <v>374.44366443573398</v>
      </c>
      <c r="T176" s="59">
        <f t="shared" si="142"/>
        <v>250.47702091764884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2.2921640245044001E-21</v>
      </c>
      <c r="AC176" s="22">
        <f t="shared" si="163"/>
        <v>2.2921640245044001E-21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1.064108801074326E-13</v>
      </c>
      <c r="AK176" s="13">
        <f t="shared" si="164"/>
        <v>1.5870730813698654E-12</v>
      </c>
      <c r="AL176" s="20">
        <f t="shared" si="165"/>
        <v>2.9494845662396269E-12</v>
      </c>
      <c r="AM176" s="59">
        <f t="shared" si="113"/>
        <v>288.89331365275143</v>
      </c>
      <c r="AN176" s="59">
        <f ca="1">AVERAGE(OFFSET($AM$3,0,0,'Données projet'!$E$10+1,1))-AVERAGE(OFFSET($H$3,0,0,'Données projet'!$E$10+1,1))</f>
        <v>325.51141702511984</v>
      </c>
      <c r="AO176" s="59">
        <f t="shared" si="144"/>
        <v>280.04509991782709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#VALUE!</v>
      </c>
      <c r="AV176" s="21" t="e">
        <f>EXP(-LN(2)/25)*AV175+(1-EXP(-LN(2)/25))/(LN(2)/25)*Calculateur!AQ176*Calculateur!AS176*VLOOKUP('Données projet'!$B$10,Paramètres!$A$1:$I$89,3,0)*0.475*44/12</f>
        <v>#VALUE!</v>
      </c>
      <c r="AW176" s="21" t="e">
        <f>EXP(-LN(2)/2)*AW175+(1-EXP(-LN(2)/2))/(LN(2)/2)*AQ176*AT176*VLOOKUP('Données projet'!$B$10,Paramètres!$A$1:$I$89,3,0)*0.475*44/12</f>
        <v>#VALUE!</v>
      </c>
      <c r="AX176" s="21" t="e">
        <f t="shared" si="166"/>
        <v>#VALUE!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2.5715962692629546E-13</v>
      </c>
      <c r="P177" s="13">
        <f t="shared" si="141"/>
        <v>3.4610450122128953E-12</v>
      </c>
      <c r="Q177" s="20">
        <f t="shared" si="162"/>
        <v>6.4758730798340893E-12</v>
      </c>
      <c r="R177" s="59">
        <f t="shared" si="109"/>
        <v>288.97033806781621</v>
      </c>
      <c r="S177" s="59">
        <f ca="1">AVERAGE(OFFSET($R$3,0,0,'Données projet'!$E$9+1,1))-AVERAGE(OFFSET($H$3,0,0,'Données projet'!$E$9+1,1))</f>
        <v>374.44366443573398</v>
      </c>
      <c r="T177" s="59">
        <f t="shared" si="142"/>
        <v>250.47702091764884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1.620804725318909E-21</v>
      </c>
      <c r="AC177" s="22">
        <f t="shared" si="163"/>
        <v>1.620804725318909E-21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1.064108801074326E-13</v>
      </c>
      <c r="AK177" s="13">
        <f t="shared" si="164"/>
        <v>1.5870730813698654E-12</v>
      </c>
      <c r="AL177" s="20">
        <f t="shared" si="165"/>
        <v>2.9494845662396269E-12</v>
      </c>
      <c r="AM177" s="59">
        <f t="shared" si="113"/>
        <v>288.97033806781269</v>
      </c>
      <c r="AN177" s="59">
        <f ca="1">AVERAGE(OFFSET($AM$3,0,0,'Données projet'!$E$10+1,1))-AVERAGE(OFFSET($H$3,0,0,'Données projet'!$E$10+1,1))</f>
        <v>325.51141702511984</v>
      </c>
      <c r="AO177" s="59">
        <f t="shared" si="144"/>
        <v>280.04509991782709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#VALUE!</v>
      </c>
      <c r="AV177" s="21" t="e">
        <f>EXP(-LN(2)/25)*AV176+(1-EXP(-LN(2)/25))/(LN(2)/25)*Calculateur!AQ177*Calculateur!AS177*VLOOKUP('Données projet'!$B$10,Paramètres!$A$1:$I$89,3,0)*0.475*44/12</f>
        <v>#VALUE!</v>
      </c>
      <c r="AW177" s="21" t="e">
        <f>EXP(-LN(2)/2)*AW176+(1-EXP(-LN(2)/2))/(LN(2)/2)*AQ177*AT177*VLOOKUP('Données projet'!$B$10,Paramètres!$A$1:$I$89,3,0)*0.475*44/12</f>
        <v>#VALUE!</v>
      </c>
      <c r="AX177" s="21" t="e">
        <f t="shared" si="166"/>
        <v>#VALUE!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2.5715962692629546E-13</v>
      </c>
      <c r="P178" s="13">
        <f t="shared" si="141"/>
        <v>3.4610450122128953E-12</v>
      </c>
      <c r="Q178" s="20">
        <f t="shared" si="162"/>
        <v>6.4758730798340893E-12</v>
      </c>
      <c r="R178" s="59">
        <f t="shared" si="109"/>
        <v>289.04602628147688</v>
      </c>
      <c r="S178" s="59">
        <f ca="1">AVERAGE(OFFSET($R$3,0,0,'Données projet'!$E$9+1,1))-AVERAGE(OFFSET($H$3,0,0,'Données projet'!$E$9+1,1))</f>
        <v>374.44366443573398</v>
      </c>
      <c r="T178" s="59">
        <f t="shared" si="142"/>
        <v>250.47702091764884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1.1460820122522E-21</v>
      </c>
      <c r="AC178" s="22">
        <f t="shared" si="163"/>
        <v>1.1460820122522E-21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1.064108801074326E-13</v>
      </c>
      <c r="AK178" s="13">
        <f t="shared" si="164"/>
        <v>1.5870730813698654E-12</v>
      </c>
      <c r="AL178" s="20">
        <f t="shared" si="165"/>
        <v>2.9494845662396269E-12</v>
      </c>
      <c r="AM178" s="59">
        <f t="shared" si="113"/>
        <v>289.04602628147336</v>
      </c>
      <c r="AN178" s="59">
        <f ca="1">AVERAGE(OFFSET($AM$3,0,0,'Données projet'!$E$10+1,1))-AVERAGE(OFFSET($H$3,0,0,'Données projet'!$E$10+1,1))</f>
        <v>325.51141702511984</v>
      </c>
      <c r="AO178" s="59">
        <f t="shared" si="144"/>
        <v>280.04509991782709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#VALUE!</v>
      </c>
      <c r="AV178" s="21" t="e">
        <f>EXP(-LN(2)/25)*AV177+(1-EXP(-LN(2)/25))/(LN(2)/25)*Calculateur!AQ178*Calculateur!AS178*VLOOKUP('Données projet'!$B$10,Paramètres!$A$1:$I$89,3,0)*0.475*44/12</f>
        <v>#VALUE!</v>
      </c>
      <c r="AW178" s="21" t="e">
        <f>EXP(-LN(2)/2)*AW177+(1-EXP(-LN(2)/2))/(LN(2)/2)*AQ178*AT178*VLOOKUP('Données projet'!$B$10,Paramètres!$A$1:$I$89,3,0)*0.475*44/12</f>
        <v>#VALUE!</v>
      </c>
      <c r="AX178" s="21" t="e">
        <f t="shared" si="166"/>
        <v>#VALUE!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2.5715962692629546E-13</v>
      </c>
      <c r="P179" s="13">
        <f t="shared" si="141"/>
        <v>3.4610450122128953E-12</v>
      </c>
      <c r="Q179" s="20">
        <f t="shared" si="162"/>
        <v>6.4758730798340893E-12</v>
      </c>
      <c r="R179" s="59">
        <f t="shared" si="109"/>
        <v>289.12040147384408</v>
      </c>
      <c r="S179" s="59">
        <f ca="1">AVERAGE(OFFSET($R$3,0,0,'Données projet'!$E$9+1,1))-AVERAGE(OFFSET($H$3,0,0,'Données projet'!$E$9+1,1))</f>
        <v>374.44366443573398</v>
      </c>
      <c r="T179" s="59">
        <f t="shared" si="142"/>
        <v>250.47702091764884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8.104023626594545E-22</v>
      </c>
      <c r="AC179" s="22">
        <f t="shared" si="163"/>
        <v>8.104023626594545E-22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1.064108801074326E-13</v>
      </c>
      <c r="AK179" s="13">
        <f t="shared" si="164"/>
        <v>1.5870730813698654E-12</v>
      </c>
      <c r="AL179" s="20">
        <f t="shared" si="165"/>
        <v>2.9494845662396269E-12</v>
      </c>
      <c r="AM179" s="59">
        <f t="shared" si="113"/>
        <v>289.12040147384056</v>
      </c>
      <c r="AN179" s="59">
        <f ca="1">AVERAGE(OFFSET($AM$3,0,0,'Données projet'!$E$10+1,1))-AVERAGE(OFFSET($H$3,0,0,'Données projet'!$E$10+1,1))</f>
        <v>325.51141702511984</v>
      </c>
      <c r="AO179" s="59">
        <f t="shared" si="144"/>
        <v>280.04509991782709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#VALUE!</v>
      </c>
      <c r="AV179" s="21" t="e">
        <f>EXP(-LN(2)/25)*AV178+(1-EXP(-LN(2)/25))/(LN(2)/25)*Calculateur!AQ179*Calculateur!AS179*VLOOKUP('Données projet'!$B$10,Paramètres!$A$1:$I$89,3,0)*0.475*44/12</f>
        <v>#VALUE!</v>
      </c>
      <c r="AW179" s="21" t="e">
        <f>EXP(-LN(2)/2)*AW178+(1-EXP(-LN(2)/2))/(LN(2)/2)*AQ179*AT179*VLOOKUP('Données projet'!$B$10,Paramètres!$A$1:$I$89,3,0)*0.475*44/12</f>
        <v>#VALUE!</v>
      </c>
      <c r="AX179" s="21" t="e">
        <f t="shared" si="166"/>
        <v>#VALUE!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2.5715962692629546E-13</v>
      </c>
      <c r="P180" s="13">
        <f t="shared" si="141"/>
        <v>3.4610450122128953E-12</v>
      </c>
      <c r="Q180" s="20">
        <f t="shared" si="162"/>
        <v>6.4758730798340893E-12</v>
      </c>
      <c r="R180" s="59">
        <f t="shared" si="109"/>
        <v>289.19348642290174</v>
      </c>
      <c r="S180" s="59">
        <f ca="1">AVERAGE(OFFSET($R$3,0,0,'Données projet'!$E$9+1,1))-AVERAGE(OFFSET($H$3,0,0,'Données projet'!$E$9+1,1))</f>
        <v>374.44366443573398</v>
      </c>
      <c r="T180" s="59">
        <f t="shared" si="142"/>
        <v>250.47702091764884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5.7304100612610002E-22</v>
      </c>
      <c r="AC180" s="22">
        <f t="shared" si="163"/>
        <v>5.7304100612610002E-22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1.064108801074326E-13</v>
      </c>
      <c r="AK180" s="13">
        <f t="shared" si="164"/>
        <v>1.5870730813698654E-12</v>
      </c>
      <c r="AL180" s="20">
        <f t="shared" si="165"/>
        <v>2.9494845662396269E-12</v>
      </c>
      <c r="AM180" s="59">
        <f t="shared" si="113"/>
        <v>289.19348642289822</v>
      </c>
      <c r="AN180" s="59">
        <f ca="1">AVERAGE(OFFSET($AM$3,0,0,'Données projet'!$E$10+1,1))-AVERAGE(OFFSET($H$3,0,0,'Données projet'!$E$10+1,1))</f>
        <v>325.51141702511984</v>
      </c>
      <c r="AO180" s="59">
        <f t="shared" si="144"/>
        <v>280.04509991782709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#VALUE!</v>
      </c>
      <c r="AV180" s="21" t="e">
        <f>EXP(-LN(2)/25)*AV179+(1-EXP(-LN(2)/25))/(LN(2)/25)*Calculateur!AQ180*Calculateur!AS180*VLOOKUP('Données projet'!$B$10,Paramètres!$A$1:$I$89,3,0)*0.475*44/12</f>
        <v>#VALUE!</v>
      </c>
      <c r="AW180" s="21" t="e">
        <f>EXP(-LN(2)/2)*AW179+(1-EXP(-LN(2)/2))/(LN(2)/2)*AQ180*AT180*VLOOKUP('Données projet'!$B$10,Paramètres!$A$1:$I$89,3,0)*0.475*44/12</f>
        <v>#VALUE!</v>
      </c>
      <c r="AX180" s="21" t="e">
        <f t="shared" si="166"/>
        <v>#VALUE!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2.5715962692629546E-13</v>
      </c>
      <c r="P181" s="13">
        <f t="shared" si="141"/>
        <v>3.4610450122128953E-12</v>
      </c>
      <c r="Q181" s="20">
        <f t="shared" si="162"/>
        <v>6.4758730798340893E-12</v>
      </c>
      <c r="R181" s="59">
        <f t="shared" si="109"/>
        <v>289.26530351148665</v>
      </c>
      <c r="S181" s="59">
        <f ca="1">AVERAGE(OFFSET($R$3,0,0,'Données projet'!$E$9+1,1))-AVERAGE(OFFSET($H$3,0,0,'Données projet'!$E$9+1,1))</f>
        <v>374.44366443573398</v>
      </c>
      <c r="T181" s="59">
        <f t="shared" si="142"/>
        <v>250.47702091764884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4.0520118132972725E-22</v>
      </c>
      <c r="AC181" s="22">
        <f t="shared" si="163"/>
        <v>4.0520118132972725E-22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1.064108801074326E-13</v>
      </c>
      <c r="AK181" s="13">
        <f t="shared" si="164"/>
        <v>1.5870730813698654E-12</v>
      </c>
      <c r="AL181" s="20">
        <f t="shared" si="165"/>
        <v>2.9494845662396269E-12</v>
      </c>
      <c r="AM181" s="59">
        <f t="shared" si="113"/>
        <v>289.26530351148313</v>
      </c>
      <c r="AN181" s="59">
        <f ca="1">AVERAGE(OFFSET($AM$3,0,0,'Données projet'!$E$10+1,1))-AVERAGE(OFFSET($H$3,0,0,'Données projet'!$E$10+1,1))</f>
        <v>325.51141702511984</v>
      </c>
      <c r="AO181" s="59">
        <f t="shared" si="144"/>
        <v>280.04509991782709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#VALUE!</v>
      </c>
      <c r="AV181" s="21" t="e">
        <f>EXP(-LN(2)/25)*AV180+(1-EXP(-LN(2)/25))/(LN(2)/25)*Calculateur!AQ181*Calculateur!AS181*VLOOKUP('Données projet'!$B$10,Paramètres!$A$1:$I$89,3,0)*0.475*44/12</f>
        <v>#VALUE!</v>
      </c>
      <c r="AW181" s="21" t="e">
        <f>EXP(-LN(2)/2)*AW180+(1-EXP(-LN(2)/2))/(LN(2)/2)*AQ181*AT181*VLOOKUP('Données projet'!$B$10,Paramètres!$A$1:$I$89,3,0)*0.475*44/12</f>
        <v>#VALUE!</v>
      </c>
      <c r="AX181" s="21" t="e">
        <f t="shared" si="166"/>
        <v>#VALUE!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2.5715962692629546E-13</v>
      </c>
      <c r="P182" s="13">
        <f t="shared" si="141"/>
        <v>3.4610450122128953E-12</v>
      </c>
      <c r="Q182" s="20">
        <f t="shared" si="162"/>
        <v>6.4758730798340893E-12</v>
      </c>
      <c r="R182" s="59">
        <f t="shared" si="109"/>
        <v>289.3358747341436</v>
      </c>
      <c r="S182" s="59">
        <f ca="1">AVERAGE(OFFSET($R$3,0,0,'Données projet'!$E$9+1,1))-AVERAGE(OFFSET($H$3,0,0,'Données projet'!$E$9+1,1))</f>
        <v>374.44366443573398</v>
      </c>
      <c r="T182" s="59">
        <f t="shared" si="142"/>
        <v>250.47702091764884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2.8652050306305001E-22</v>
      </c>
      <c r="AC182" s="22">
        <f t="shared" si="163"/>
        <v>2.8652050306305001E-22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1.064108801074326E-13</v>
      </c>
      <c r="AK182" s="13">
        <f t="shared" si="164"/>
        <v>1.5870730813698654E-12</v>
      </c>
      <c r="AL182" s="20">
        <f t="shared" si="165"/>
        <v>2.9494845662396269E-12</v>
      </c>
      <c r="AM182" s="59">
        <f t="shared" si="113"/>
        <v>289.33587473414008</v>
      </c>
      <c r="AN182" s="59">
        <f ca="1">AVERAGE(OFFSET($AM$3,0,0,'Données projet'!$E$10+1,1))-AVERAGE(OFFSET($H$3,0,0,'Données projet'!$E$10+1,1))</f>
        <v>325.51141702511984</v>
      </c>
      <c r="AO182" s="59">
        <f t="shared" si="144"/>
        <v>280.04509991782709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#VALUE!</v>
      </c>
      <c r="AV182" s="21" t="e">
        <f>EXP(-LN(2)/25)*AV181+(1-EXP(-LN(2)/25))/(LN(2)/25)*Calculateur!AQ182*Calculateur!AS182*VLOOKUP('Données projet'!$B$10,Paramètres!$A$1:$I$89,3,0)*0.475*44/12</f>
        <v>#VALUE!</v>
      </c>
      <c r="AW182" s="21" t="e">
        <f>EXP(-LN(2)/2)*AW181+(1-EXP(-LN(2)/2))/(LN(2)/2)*AQ182*AT182*VLOOKUP('Données projet'!$B$10,Paramètres!$A$1:$I$89,3,0)*0.475*44/12</f>
        <v>#VALUE!</v>
      </c>
      <c r="AX182" s="21" t="e">
        <f t="shared" si="166"/>
        <v>#VALUE!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2.5715962692629546E-13</v>
      </c>
      <c r="P183" s="13">
        <f t="shared" si="141"/>
        <v>3.4610450122128953E-12</v>
      </c>
      <c r="Q183" s="20">
        <f t="shared" si="162"/>
        <v>6.4758730798340893E-12</v>
      </c>
      <c r="R183" s="59">
        <f t="shared" si="109"/>
        <v>289.40522170386112</v>
      </c>
      <c r="S183" s="59">
        <f ca="1">AVERAGE(OFFSET($R$3,0,0,'Données projet'!$E$9+1,1))-AVERAGE(OFFSET($H$3,0,0,'Données projet'!$E$9+1,1))</f>
        <v>374.44366443573398</v>
      </c>
      <c r="T183" s="59">
        <f t="shared" si="142"/>
        <v>250.47702091764884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2.0260059066486362E-22</v>
      </c>
      <c r="AC183" s="22">
        <f t="shared" si="163"/>
        <v>2.0260059066486362E-22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1.064108801074326E-13</v>
      </c>
      <c r="AK183" s="13">
        <f t="shared" si="164"/>
        <v>1.5870730813698654E-12</v>
      </c>
      <c r="AL183" s="20">
        <f t="shared" si="165"/>
        <v>2.9494845662396269E-12</v>
      </c>
      <c r="AM183" s="59">
        <f t="shared" si="113"/>
        <v>289.40522170385759</v>
      </c>
      <c r="AN183" s="59">
        <f ca="1">AVERAGE(OFFSET($AM$3,0,0,'Données projet'!$E$10+1,1))-AVERAGE(OFFSET($H$3,0,0,'Données projet'!$E$10+1,1))</f>
        <v>325.51141702511984</v>
      </c>
      <c r="AO183" s="59">
        <f t="shared" si="144"/>
        <v>280.04509991782709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#VALUE!</v>
      </c>
      <c r="AV183" s="21" t="e">
        <f>EXP(-LN(2)/25)*AV182+(1-EXP(-LN(2)/25))/(LN(2)/25)*Calculateur!AQ183*Calculateur!AS183*VLOOKUP('Données projet'!$B$10,Paramètres!$A$1:$I$89,3,0)*0.475*44/12</f>
        <v>#VALUE!</v>
      </c>
      <c r="AW183" s="21" t="e">
        <f>EXP(-LN(2)/2)*AW182+(1-EXP(-LN(2)/2))/(LN(2)/2)*AQ183*AT183*VLOOKUP('Données projet'!$B$10,Paramètres!$A$1:$I$89,3,0)*0.475*44/12</f>
        <v>#VALUE!</v>
      </c>
      <c r="AX183" s="21" t="e">
        <f t="shared" si="166"/>
        <v>#VALUE!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2.5715962692629546E-13</v>
      </c>
      <c r="P184" s="13">
        <f t="shared" si="141"/>
        <v>3.4610450122128953E-12</v>
      </c>
      <c r="Q184" s="20">
        <f t="shared" si="162"/>
        <v>6.4758730798340893E-12</v>
      </c>
      <c r="R184" s="59">
        <f t="shared" si="109"/>
        <v>289.47336565869057</v>
      </c>
      <c r="S184" s="59">
        <f ca="1">AVERAGE(OFFSET($R$3,0,0,'Données projet'!$E$9+1,1))-AVERAGE(OFFSET($H$3,0,0,'Données projet'!$E$9+1,1))</f>
        <v>374.44366443573398</v>
      </c>
      <c r="T184" s="59">
        <f t="shared" si="142"/>
        <v>250.47702091764884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1.43260251531525E-22</v>
      </c>
      <c r="AC184" s="22">
        <f t="shared" si="163"/>
        <v>1.43260251531525E-22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1.064108801074326E-13</v>
      </c>
      <c r="AK184" s="13">
        <f t="shared" si="164"/>
        <v>1.5870730813698654E-12</v>
      </c>
      <c r="AL184" s="20">
        <f t="shared" si="165"/>
        <v>2.9494845662396269E-12</v>
      </c>
      <c r="AM184" s="59">
        <f t="shared" si="113"/>
        <v>289.47336565868704</v>
      </c>
      <c r="AN184" s="59">
        <f ca="1">AVERAGE(OFFSET($AM$3,0,0,'Données projet'!$E$10+1,1))-AVERAGE(OFFSET($H$3,0,0,'Données projet'!$E$10+1,1))</f>
        <v>325.51141702511984</v>
      </c>
      <c r="AO184" s="59">
        <f t="shared" si="144"/>
        <v>280.04509991782709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#VALUE!</v>
      </c>
      <c r="AV184" s="21" t="e">
        <f>EXP(-LN(2)/25)*AV183+(1-EXP(-LN(2)/25))/(LN(2)/25)*Calculateur!AQ184*Calculateur!AS184*VLOOKUP('Données projet'!$B$10,Paramètres!$A$1:$I$89,3,0)*0.475*44/12</f>
        <v>#VALUE!</v>
      </c>
      <c r="AW184" s="21" t="e">
        <f>EXP(-LN(2)/2)*AW183+(1-EXP(-LN(2)/2))/(LN(2)/2)*AQ184*AT184*VLOOKUP('Données projet'!$B$10,Paramètres!$A$1:$I$89,3,0)*0.475*44/12</f>
        <v>#VALUE!</v>
      </c>
      <c r="AX184" s="21" t="e">
        <f t="shared" si="166"/>
        <v>#VALUE!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2.5715962692629546E-13</v>
      </c>
      <c r="P185" s="13">
        <f t="shared" si="141"/>
        <v>3.4610450122128953E-12</v>
      </c>
      <c r="Q185" s="20">
        <f t="shared" si="162"/>
        <v>6.4758730798340893E-12</v>
      </c>
      <c r="R185" s="59">
        <f t="shared" si="109"/>
        <v>289.54032746825089</v>
      </c>
      <c r="S185" s="59">
        <f ca="1">AVERAGE(OFFSET($R$3,0,0,'Données projet'!$E$9+1,1))-AVERAGE(OFFSET($H$3,0,0,'Données projet'!$E$9+1,1))</f>
        <v>374.44366443573398</v>
      </c>
      <c r="T185" s="59">
        <f t="shared" si="142"/>
        <v>250.47702091764884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1.0130029533243181E-22</v>
      </c>
      <c r="AC185" s="22">
        <f t="shared" si="163"/>
        <v>1.0130029533243181E-22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1.064108801074326E-13</v>
      </c>
      <c r="AK185" s="13">
        <f t="shared" si="164"/>
        <v>1.5870730813698654E-12</v>
      </c>
      <c r="AL185" s="20">
        <f t="shared" si="165"/>
        <v>2.9494845662396269E-12</v>
      </c>
      <c r="AM185" s="59">
        <f t="shared" si="113"/>
        <v>289.54032746824737</v>
      </c>
      <c r="AN185" s="59">
        <f ca="1">AVERAGE(OFFSET($AM$3,0,0,'Données projet'!$E$10+1,1))-AVERAGE(OFFSET($H$3,0,0,'Données projet'!$E$10+1,1))</f>
        <v>325.51141702511984</v>
      </c>
      <c r="AO185" s="59">
        <f t="shared" si="144"/>
        <v>280.04509991782709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#VALUE!</v>
      </c>
      <c r="AV185" s="21" t="e">
        <f>EXP(-LN(2)/25)*AV184+(1-EXP(-LN(2)/25))/(LN(2)/25)*Calculateur!AQ185*Calculateur!AS185*VLOOKUP('Données projet'!$B$10,Paramètres!$A$1:$I$89,3,0)*0.475*44/12</f>
        <v>#VALUE!</v>
      </c>
      <c r="AW185" s="21" t="e">
        <f>EXP(-LN(2)/2)*AW184+(1-EXP(-LN(2)/2))/(LN(2)/2)*AQ185*AT185*VLOOKUP('Données projet'!$B$10,Paramètres!$A$1:$I$89,3,0)*0.475*44/12</f>
        <v>#VALUE!</v>
      </c>
      <c r="AX185" s="21" t="e">
        <f t="shared" si="166"/>
        <v>#VALUE!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2.5715962692629546E-13</v>
      </c>
      <c r="P186" s="13">
        <f t="shared" si="141"/>
        <v>3.4610450122128953E-12</v>
      </c>
      <c r="Q186" s="20">
        <f t="shared" si="162"/>
        <v>6.4758730798340893E-12</v>
      </c>
      <c r="R186" s="59">
        <f t="shared" si="109"/>
        <v>289.60612764011944</v>
      </c>
      <c r="S186" s="59">
        <f ca="1">AVERAGE(OFFSET($R$3,0,0,'Données projet'!$E$9+1,1))-AVERAGE(OFFSET($H$3,0,0,'Données projet'!$E$9+1,1))</f>
        <v>374.44366443573398</v>
      </c>
      <c r="T186" s="59">
        <f t="shared" si="142"/>
        <v>250.47702091764884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7.1630125765762502E-23</v>
      </c>
      <c r="AC186" s="22">
        <f t="shared" si="163"/>
        <v>7.1630125765762502E-23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1.064108801074326E-13</v>
      </c>
      <c r="AK186" s="13">
        <f t="shared" si="164"/>
        <v>1.5870730813698654E-12</v>
      </c>
      <c r="AL186" s="20">
        <f t="shared" si="165"/>
        <v>2.9494845662396269E-12</v>
      </c>
      <c r="AM186" s="59">
        <f t="shared" si="113"/>
        <v>289.60612764011591</v>
      </c>
      <c r="AN186" s="59">
        <f ca="1">AVERAGE(OFFSET($AM$3,0,0,'Données projet'!$E$10+1,1))-AVERAGE(OFFSET($H$3,0,0,'Données projet'!$E$10+1,1))</f>
        <v>325.51141702511984</v>
      </c>
      <c r="AO186" s="59">
        <f t="shared" si="144"/>
        <v>280.04509991782709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#VALUE!</v>
      </c>
      <c r="AV186" s="21" t="e">
        <f>EXP(-LN(2)/25)*AV185+(1-EXP(-LN(2)/25))/(LN(2)/25)*Calculateur!AQ186*Calculateur!AS186*VLOOKUP('Données projet'!$B$10,Paramètres!$A$1:$I$89,3,0)*0.475*44/12</f>
        <v>#VALUE!</v>
      </c>
      <c r="AW186" s="21" t="e">
        <f>EXP(-LN(2)/2)*AW185+(1-EXP(-LN(2)/2))/(LN(2)/2)*AQ186*AT186*VLOOKUP('Données projet'!$B$10,Paramètres!$A$1:$I$89,3,0)*0.475*44/12</f>
        <v>#VALUE!</v>
      </c>
      <c r="AX186" s="21" t="e">
        <f t="shared" si="166"/>
        <v>#VALUE!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2.5715962692629546E-13</v>
      </c>
      <c r="P187" s="13">
        <f t="shared" si="141"/>
        <v>3.4610450122128953E-12</v>
      </c>
      <c r="Q187" s="20">
        <f t="shared" si="162"/>
        <v>6.4758730798340893E-12</v>
      </c>
      <c r="R187" s="59">
        <f t="shared" si="109"/>
        <v>289.67078632611322</v>
      </c>
      <c r="S187" s="59">
        <f ca="1">AVERAGE(OFFSET($R$3,0,0,'Données projet'!$E$9+1,1))-AVERAGE(OFFSET($H$3,0,0,'Données projet'!$E$9+1,1))</f>
        <v>374.44366443573398</v>
      </c>
      <c r="T187" s="59">
        <f t="shared" si="142"/>
        <v>250.47702091764884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5.0650147666215906E-23</v>
      </c>
      <c r="AC187" s="22">
        <f t="shared" si="163"/>
        <v>5.0650147666215906E-23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1.064108801074326E-13</v>
      </c>
      <c r="AK187" s="13">
        <f t="shared" si="164"/>
        <v>1.5870730813698654E-12</v>
      </c>
      <c r="AL187" s="20">
        <f t="shared" si="165"/>
        <v>2.9494845662396269E-12</v>
      </c>
      <c r="AM187" s="59">
        <f t="shared" si="113"/>
        <v>289.67078632610969</v>
      </c>
      <c r="AN187" s="59">
        <f ca="1">AVERAGE(OFFSET($AM$3,0,0,'Données projet'!$E$10+1,1))-AVERAGE(OFFSET($H$3,0,0,'Données projet'!$E$10+1,1))</f>
        <v>325.51141702511984</v>
      </c>
      <c r="AO187" s="59">
        <f t="shared" si="144"/>
        <v>280.04509991782709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#VALUE!</v>
      </c>
      <c r="AV187" s="21" t="e">
        <f>EXP(-LN(2)/25)*AV186+(1-EXP(-LN(2)/25))/(LN(2)/25)*Calculateur!AQ187*Calculateur!AS187*VLOOKUP('Données projet'!$B$10,Paramètres!$A$1:$I$89,3,0)*0.475*44/12</f>
        <v>#VALUE!</v>
      </c>
      <c r="AW187" s="21" t="e">
        <f>EXP(-LN(2)/2)*AW186+(1-EXP(-LN(2)/2))/(LN(2)/2)*AQ187*AT187*VLOOKUP('Données projet'!$B$10,Paramètres!$A$1:$I$89,3,0)*0.475*44/12</f>
        <v>#VALUE!</v>
      </c>
      <c r="AX187" s="21" t="e">
        <f t="shared" si="166"/>
        <v>#VALUE!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2.5715962692629546E-13</v>
      </c>
      <c r="P188" s="13">
        <f t="shared" si="141"/>
        <v>3.4610450122128953E-12</v>
      </c>
      <c r="Q188" s="20">
        <f t="shared" si="162"/>
        <v>6.4758730798340893E-12</v>
      </c>
      <c r="R188" s="59">
        <f t="shared" si="109"/>
        <v>289.73432332846022</v>
      </c>
      <c r="S188" s="59">
        <f ca="1">AVERAGE(OFFSET($R$3,0,0,'Données projet'!$E$9+1,1))-AVERAGE(OFFSET($H$3,0,0,'Données projet'!$E$9+1,1))</f>
        <v>374.44366443573398</v>
      </c>
      <c r="T188" s="59">
        <f t="shared" si="142"/>
        <v>250.47702091764884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3.5815062882881251E-23</v>
      </c>
      <c r="AC188" s="22">
        <f t="shared" si="163"/>
        <v>3.5815062882881251E-23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1.064108801074326E-13</v>
      </c>
      <c r="AK188" s="13">
        <f t="shared" si="164"/>
        <v>1.5870730813698654E-12</v>
      </c>
      <c r="AL188" s="20">
        <f t="shared" si="165"/>
        <v>2.9494845662396269E-12</v>
      </c>
      <c r="AM188" s="59">
        <f t="shared" si="113"/>
        <v>289.7343233284567</v>
      </c>
      <c r="AN188" s="59">
        <f ca="1">AVERAGE(OFFSET($AM$3,0,0,'Données projet'!$E$10+1,1))-AVERAGE(OFFSET($H$3,0,0,'Données projet'!$E$10+1,1))</f>
        <v>325.51141702511984</v>
      </c>
      <c r="AO188" s="59">
        <f t="shared" si="144"/>
        <v>280.04509991782709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#VALUE!</v>
      </c>
      <c r="AV188" s="21" t="e">
        <f>EXP(-LN(2)/25)*AV187+(1-EXP(-LN(2)/25))/(LN(2)/25)*Calculateur!AQ188*Calculateur!AS188*VLOOKUP('Données projet'!$B$10,Paramètres!$A$1:$I$89,3,0)*0.475*44/12</f>
        <v>#VALUE!</v>
      </c>
      <c r="AW188" s="21" t="e">
        <f>EXP(-LN(2)/2)*AW187+(1-EXP(-LN(2)/2))/(LN(2)/2)*AQ188*AT188*VLOOKUP('Données projet'!$B$10,Paramètres!$A$1:$I$89,3,0)*0.475*44/12</f>
        <v>#VALUE!</v>
      </c>
      <c r="AX188" s="21" t="e">
        <f t="shared" si="166"/>
        <v>#VALUE!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2.5715962692629546E-13</v>
      </c>
      <c r="P189" s="13">
        <f t="shared" si="141"/>
        <v>3.4610450122128953E-12</v>
      </c>
      <c r="Q189" s="20">
        <f t="shared" si="162"/>
        <v>6.4758730798340893E-12</v>
      </c>
      <c r="R189" s="59">
        <f t="shared" si="109"/>
        <v>289.79675810586389</v>
      </c>
      <c r="S189" s="59">
        <f ca="1">AVERAGE(OFFSET($R$3,0,0,'Données projet'!$E$9+1,1))-AVERAGE(OFFSET($H$3,0,0,'Données projet'!$E$9+1,1))</f>
        <v>374.44366443573398</v>
      </c>
      <c r="T189" s="59">
        <f t="shared" si="142"/>
        <v>250.47702091764884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2.5325073833107953E-23</v>
      </c>
      <c r="AC189" s="22">
        <f t="shared" si="163"/>
        <v>2.5325073833107953E-23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1.064108801074326E-13</v>
      </c>
      <c r="AK189" s="13">
        <f t="shared" si="164"/>
        <v>1.5870730813698654E-12</v>
      </c>
      <c r="AL189" s="20">
        <f t="shared" si="165"/>
        <v>2.9494845662396269E-12</v>
      </c>
      <c r="AM189" s="59">
        <f t="shared" si="113"/>
        <v>289.79675810586036</v>
      </c>
      <c r="AN189" s="59">
        <f ca="1">AVERAGE(OFFSET($AM$3,0,0,'Données projet'!$E$10+1,1))-AVERAGE(OFFSET($H$3,0,0,'Données projet'!$E$10+1,1))</f>
        <v>325.51141702511984</v>
      </c>
      <c r="AO189" s="59">
        <f t="shared" si="144"/>
        <v>280.04509991782709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#VALUE!</v>
      </c>
      <c r="AV189" s="21" t="e">
        <f>EXP(-LN(2)/25)*AV188+(1-EXP(-LN(2)/25))/(LN(2)/25)*Calculateur!AQ189*Calculateur!AS189*VLOOKUP('Données projet'!$B$10,Paramètres!$A$1:$I$89,3,0)*0.475*44/12</f>
        <v>#VALUE!</v>
      </c>
      <c r="AW189" s="21" t="e">
        <f>EXP(-LN(2)/2)*AW188+(1-EXP(-LN(2)/2))/(LN(2)/2)*AQ189*AT189*VLOOKUP('Données projet'!$B$10,Paramètres!$A$1:$I$89,3,0)*0.475*44/12</f>
        <v>#VALUE!</v>
      </c>
      <c r="AX189" s="21" t="e">
        <f t="shared" si="166"/>
        <v>#VALUE!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2.5715962692629546E-13</v>
      </c>
      <c r="P190" s="13">
        <f t="shared" si="141"/>
        <v>3.4610450122128953E-12</v>
      </c>
      <c r="Q190" s="20">
        <f t="shared" si="162"/>
        <v>6.4758730798340893E-12</v>
      </c>
      <c r="R190" s="59">
        <f t="shared" si="109"/>
        <v>289.85810977946289</v>
      </c>
      <c r="S190" s="59">
        <f ca="1">AVERAGE(OFFSET($R$3,0,0,'Données projet'!$E$9+1,1))-AVERAGE(OFFSET($H$3,0,0,'Données projet'!$E$9+1,1))</f>
        <v>374.44366443573398</v>
      </c>
      <c r="T190" s="59">
        <f t="shared" si="142"/>
        <v>250.47702091764884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1.7907531441440626E-23</v>
      </c>
      <c r="AC190" s="22">
        <f t="shared" si="163"/>
        <v>1.7907531441440626E-23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1.064108801074326E-13</v>
      </c>
      <c r="AK190" s="13">
        <f t="shared" si="164"/>
        <v>1.5870730813698654E-12</v>
      </c>
      <c r="AL190" s="20">
        <f t="shared" si="165"/>
        <v>2.9494845662396269E-12</v>
      </c>
      <c r="AM190" s="59">
        <f t="shared" si="113"/>
        <v>289.85810977945937</v>
      </c>
      <c r="AN190" s="59">
        <f ca="1">AVERAGE(OFFSET($AM$3,0,0,'Données projet'!$E$10+1,1))-AVERAGE(OFFSET($H$3,0,0,'Données projet'!$E$10+1,1))</f>
        <v>325.51141702511984</v>
      </c>
      <c r="AO190" s="59">
        <f t="shared" si="144"/>
        <v>280.04509991782709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#VALUE!</v>
      </c>
      <c r="AV190" s="21" t="e">
        <f>EXP(-LN(2)/25)*AV189+(1-EXP(-LN(2)/25))/(LN(2)/25)*Calculateur!AQ190*Calculateur!AS190*VLOOKUP('Données projet'!$B$10,Paramètres!$A$1:$I$89,3,0)*0.475*44/12</f>
        <v>#VALUE!</v>
      </c>
      <c r="AW190" s="21" t="e">
        <f>EXP(-LN(2)/2)*AW189+(1-EXP(-LN(2)/2))/(LN(2)/2)*AQ190*AT190*VLOOKUP('Données projet'!$B$10,Paramètres!$A$1:$I$89,3,0)*0.475*44/12</f>
        <v>#VALUE!</v>
      </c>
      <c r="AX190" s="21" t="e">
        <f t="shared" si="166"/>
        <v>#VALUE!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2.5715962692629546E-13</v>
      </c>
      <c r="P191" s="13">
        <f t="shared" si="141"/>
        <v>3.4610450122128953E-12</v>
      </c>
      <c r="Q191" s="20">
        <f t="shared" si="162"/>
        <v>6.4758730798340893E-12</v>
      </c>
      <c r="R191" s="59">
        <f t="shared" si="109"/>
        <v>289.91839713868671</v>
      </c>
      <c r="S191" s="59">
        <f ca="1">AVERAGE(OFFSET($R$3,0,0,'Données projet'!$E$9+1,1))-AVERAGE(OFFSET($H$3,0,0,'Données projet'!$E$9+1,1))</f>
        <v>374.44366443573398</v>
      </c>
      <c r="T191" s="59">
        <f t="shared" si="142"/>
        <v>250.47702091764884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1.2662536916553977E-23</v>
      </c>
      <c r="AC191" s="22">
        <f t="shared" si="163"/>
        <v>1.2662536916553977E-23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1.064108801074326E-13</v>
      </c>
      <c r="AK191" s="13">
        <f t="shared" si="164"/>
        <v>1.5870730813698654E-12</v>
      </c>
      <c r="AL191" s="20">
        <f t="shared" si="165"/>
        <v>2.9494845662396269E-12</v>
      </c>
      <c r="AM191" s="59">
        <f t="shared" si="113"/>
        <v>289.91839713868319</v>
      </c>
      <c r="AN191" s="59">
        <f ca="1">AVERAGE(OFFSET($AM$3,0,0,'Données projet'!$E$10+1,1))-AVERAGE(OFFSET($H$3,0,0,'Données projet'!$E$10+1,1))</f>
        <v>325.51141702511984</v>
      </c>
      <c r="AO191" s="59">
        <f t="shared" si="144"/>
        <v>280.04509991782709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#VALUE!</v>
      </c>
      <c r="AV191" s="21" t="e">
        <f>EXP(-LN(2)/25)*AV190+(1-EXP(-LN(2)/25))/(LN(2)/25)*Calculateur!AQ191*Calculateur!AS191*VLOOKUP('Données projet'!$B$10,Paramètres!$A$1:$I$89,3,0)*0.475*44/12</f>
        <v>#VALUE!</v>
      </c>
      <c r="AW191" s="21" t="e">
        <f>EXP(-LN(2)/2)*AW190+(1-EXP(-LN(2)/2))/(LN(2)/2)*AQ191*AT191*VLOOKUP('Données projet'!$B$10,Paramètres!$A$1:$I$89,3,0)*0.475*44/12</f>
        <v>#VALUE!</v>
      </c>
      <c r="AX191" s="21" t="e">
        <f t="shared" si="166"/>
        <v>#VALUE!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2.5715962692629546E-13</v>
      </c>
      <c r="P192" s="13">
        <f t="shared" si="141"/>
        <v>3.4610450122128953E-12</v>
      </c>
      <c r="Q192" s="20">
        <f t="shared" si="162"/>
        <v>6.4758730798340893E-12</v>
      </c>
      <c r="R192" s="59">
        <f t="shared" si="109"/>
        <v>289.97763864701034</v>
      </c>
      <c r="S192" s="59">
        <f ca="1">AVERAGE(OFFSET($R$3,0,0,'Données projet'!$E$9+1,1))-AVERAGE(OFFSET($H$3,0,0,'Données projet'!$E$9+1,1))</f>
        <v>374.44366443573398</v>
      </c>
      <c r="T192" s="59">
        <f t="shared" si="142"/>
        <v>250.47702091764884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8.9537657207203128E-24</v>
      </c>
      <c r="AC192" s="22">
        <f t="shared" si="163"/>
        <v>8.9537657207203128E-24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1.064108801074326E-13</v>
      </c>
      <c r="AK192" s="13">
        <f t="shared" si="164"/>
        <v>1.5870730813698654E-12</v>
      </c>
      <c r="AL192" s="20">
        <f t="shared" si="165"/>
        <v>2.9494845662396269E-12</v>
      </c>
      <c r="AM192" s="59">
        <f t="shared" si="113"/>
        <v>289.97763864700681</v>
      </c>
      <c r="AN192" s="59">
        <f ca="1">AVERAGE(OFFSET($AM$3,0,0,'Données projet'!$E$10+1,1))-AVERAGE(OFFSET($H$3,0,0,'Données projet'!$E$10+1,1))</f>
        <v>325.51141702511984</v>
      </c>
      <c r="AO192" s="59">
        <f t="shared" si="144"/>
        <v>280.04509991782709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#VALUE!</v>
      </c>
      <c r="AV192" s="21" t="e">
        <f>EXP(-LN(2)/25)*AV191+(1-EXP(-LN(2)/25))/(LN(2)/25)*Calculateur!AQ192*Calculateur!AS192*VLOOKUP('Données projet'!$B$10,Paramètres!$A$1:$I$89,3,0)*0.475*44/12</f>
        <v>#VALUE!</v>
      </c>
      <c r="AW192" s="21" t="e">
        <f>EXP(-LN(2)/2)*AW191+(1-EXP(-LN(2)/2))/(LN(2)/2)*AQ192*AT192*VLOOKUP('Données projet'!$B$10,Paramètres!$A$1:$I$89,3,0)*0.475*44/12</f>
        <v>#VALUE!</v>
      </c>
      <c r="AX192" s="21" t="e">
        <f t="shared" si="166"/>
        <v>#VALUE!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2.5715962692629546E-13</v>
      </c>
      <c r="P193" s="13">
        <f t="shared" si="141"/>
        <v>3.4610450122128953E-12</v>
      </c>
      <c r="Q193" s="20">
        <f t="shared" si="162"/>
        <v>6.4758730798340893E-12</v>
      </c>
      <c r="R193" s="59">
        <f t="shared" si="109"/>
        <v>290.03585244760876</v>
      </c>
      <c r="S193" s="59">
        <f ca="1">AVERAGE(OFFSET($R$3,0,0,'Données projet'!$E$9+1,1))-AVERAGE(OFFSET($H$3,0,0,'Données projet'!$E$9+1,1))</f>
        <v>374.44366443573398</v>
      </c>
      <c r="T193" s="59">
        <f t="shared" si="142"/>
        <v>250.47702091764884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6.3312684582769883E-24</v>
      </c>
      <c r="AC193" s="22">
        <f t="shared" si="163"/>
        <v>6.3312684582769883E-24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1.064108801074326E-13</v>
      </c>
      <c r="AK193" s="13">
        <f t="shared" si="164"/>
        <v>1.5870730813698654E-12</v>
      </c>
      <c r="AL193" s="20">
        <f t="shared" si="165"/>
        <v>2.9494845662396269E-12</v>
      </c>
      <c r="AM193" s="59">
        <f t="shared" si="113"/>
        <v>290.03585244760524</v>
      </c>
      <c r="AN193" s="59">
        <f ca="1">AVERAGE(OFFSET($AM$3,0,0,'Données projet'!$E$10+1,1))-AVERAGE(OFFSET($H$3,0,0,'Données projet'!$E$10+1,1))</f>
        <v>325.51141702511984</v>
      </c>
      <c r="AO193" s="59">
        <f t="shared" si="144"/>
        <v>280.04509991782709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#VALUE!</v>
      </c>
      <c r="AV193" s="21" t="e">
        <f>EXP(-LN(2)/25)*AV192+(1-EXP(-LN(2)/25))/(LN(2)/25)*Calculateur!AQ193*Calculateur!AS193*VLOOKUP('Données projet'!$B$10,Paramètres!$A$1:$I$89,3,0)*0.475*44/12</f>
        <v>#VALUE!</v>
      </c>
      <c r="AW193" s="21" t="e">
        <f>EXP(-LN(2)/2)*AW192+(1-EXP(-LN(2)/2))/(LN(2)/2)*AQ193*AT193*VLOOKUP('Données projet'!$B$10,Paramètres!$A$1:$I$89,3,0)*0.475*44/12</f>
        <v>#VALUE!</v>
      </c>
      <c r="AX193" s="21" t="e">
        <f t="shared" si="166"/>
        <v>#VALUE!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2.5715962692629546E-13</v>
      </c>
      <c r="P194" s="13">
        <f t="shared" si="141"/>
        <v>3.4610450122128953E-12</v>
      </c>
      <c r="Q194" s="20">
        <f t="shared" si="162"/>
        <v>6.4758730798340893E-12</v>
      </c>
      <c r="R194" s="59">
        <f t="shared" si="109"/>
        <v>290.09305636891332</v>
      </c>
      <c r="S194" s="59">
        <f ca="1">AVERAGE(OFFSET($R$3,0,0,'Données projet'!$E$9+1,1))-AVERAGE(OFFSET($H$3,0,0,'Données projet'!$E$9+1,1))</f>
        <v>374.44366443573398</v>
      </c>
      <c r="T194" s="59">
        <f t="shared" si="142"/>
        <v>250.47702091764884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4.4768828603601564E-24</v>
      </c>
      <c r="AC194" s="22">
        <f t="shared" si="163"/>
        <v>4.4768828603601564E-24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1.064108801074326E-13</v>
      </c>
      <c r="AK194" s="13">
        <f t="shared" si="164"/>
        <v>1.5870730813698654E-12</v>
      </c>
      <c r="AL194" s="20">
        <f t="shared" si="165"/>
        <v>2.9494845662396269E-12</v>
      </c>
      <c r="AM194" s="59">
        <f t="shared" si="113"/>
        <v>290.0930563689098</v>
      </c>
      <c r="AN194" s="59">
        <f ca="1">AVERAGE(OFFSET($AM$3,0,0,'Données projet'!$E$10+1,1))-AVERAGE(OFFSET($H$3,0,0,'Données projet'!$E$10+1,1))</f>
        <v>325.51141702511984</v>
      </c>
      <c r="AO194" s="59">
        <f t="shared" si="144"/>
        <v>280.04509991782709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#VALUE!</v>
      </c>
      <c r="AV194" s="21" t="e">
        <f>EXP(-LN(2)/25)*AV193+(1-EXP(-LN(2)/25))/(LN(2)/25)*Calculateur!AQ194*Calculateur!AS194*VLOOKUP('Données projet'!$B$10,Paramètres!$A$1:$I$89,3,0)*0.475*44/12</f>
        <v>#VALUE!</v>
      </c>
      <c r="AW194" s="21" t="e">
        <f>EXP(-LN(2)/2)*AW193+(1-EXP(-LN(2)/2))/(LN(2)/2)*AQ194*AT194*VLOOKUP('Données projet'!$B$10,Paramètres!$A$1:$I$89,3,0)*0.475*44/12</f>
        <v>#VALUE!</v>
      </c>
      <c r="AX194" s="21" t="e">
        <f t="shared" si="166"/>
        <v>#VALUE!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2.5715962692629546E-13</v>
      </c>
      <c r="P195" s="13">
        <f t="shared" si="141"/>
        <v>3.4610450122128953E-12</v>
      </c>
      <c r="Q195" s="20">
        <f t="shared" si="162"/>
        <v>6.4758730798340893E-12</v>
      </c>
      <c r="R195" s="59">
        <f t="shared" ref="R195:R203" si="191">Q195+(I195+J195)*44/12</f>
        <v>290.14926793007214</v>
      </c>
      <c r="S195" s="59">
        <f ca="1">AVERAGE(OFFSET($R$3,0,0,'Données projet'!$E$9+1,1))-AVERAGE(OFFSET($H$3,0,0,'Données projet'!$E$9+1,1))</f>
        <v>374.44366443573398</v>
      </c>
      <c r="T195" s="59">
        <f t="shared" si="142"/>
        <v>250.47702091764884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3.1656342291384941E-24</v>
      </c>
      <c r="AC195" s="22">
        <f t="shared" si="163"/>
        <v>3.1656342291384941E-24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1.064108801074326E-13</v>
      </c>
      <c r="AK195" s="13">
        <f t="shared" si="164"/>
        <v>1.5870730813698654E-12</v>
      </c>
      <c r="AL195" s="20">
        <f t="shared" si="165"/>
        <v>2.9494845662396269E-12</v>
      </c>
      <c r="AM195" s="59">
        <f t="shared" si="113"/>
        <v>290.14926793006862</v>
      </c>
      <c r="AN195" s="59">
        <f ca="1">AVERAGE(OFFSET($AM$3,0,0,'Données projet'!$E$10+1,1))-AVERAGE(OFFSET($H$3,0,0,'Données projet'!$E$10+1,1))</f>
        <v>325.51141702511984</v>
      </c>
      <c r="AO195" s="59">
        <f t="shared" si="144"/>
        <v>280.04509991782709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#VALUE!</v>
      </c>
      <c r="AV195" s="21" t="e">
        <f>EXP(-LN(2)/25)*AV194+(1-EXP(-LN(2)/25))/(LN(2)/25)*Calculateur!AQ195*Calculateur!AS195*VLOOKUP('Données projet'!$B$10,Paramètres!$A$1:$I$89,3,0)*0.475*44/12</f>
        <v>#VALUE!</v>
      </c>
      <c r="AW195" s="21" t="e">
        <f>EXP(-LN(2)/2)*AW194+(1-EXP(-LN(2)/2))/(LN(2)/2)*AQ195*AT195*VLOOKUP('Données projet'!$B$10,Paramètres!$A$1:$I$89,3,0)*0.475*44/12</f>
        <v>#VALUE!</v>
      </c>
      <c r="AX195" s="21" t="e">
        <f t="shared" si="166"/>
        <v>#VALUE!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2.5715962692629546E-13</v>
      </c>
      <c r="P196" s="13">
        <f t="shared" si="141"/>
        <v>3.4610450122128953E-12</v>
      </c>
      <c r="Q196" s="20">
        <f t="shared" si="162"/>
        <v>6.4758730798340893E-12</v>
      </c>
      <c r="R196" s="59">
        <f t="shared" si="191"/>
        <v>290.20450434631499</v>
      </c>
      <c r="S196" s="59">
        <f ca="1">AVERAGE(OFFSET($R$3,0,0,'Données projet'!$E$9+1,1))-AVERAGE(OFFSET($H$3,0,0,'Données projet'!$E$9+1,1))</f>
        <v>374.44366443573398</v>
      </c>
      <c r="T196" s="59">
        <f t="shared" si="142"/>
        <v>250.47702091764884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2.2384414301800782E-24</v>
      </c>
      <c r="AC196" s="22">
        <f t="shared" si="163"/>
        <v>2.2384414301800782E-24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1.064108801074326E-13</v>
      </c>
      <c r="AK196" s="13">
        <f t="shared" si="164"/>
        <v>1.5870730813698654E-12</v>
      </c>
      <c r="AL196" s="20">
        <f t="shared" si="165"/>
        <v>2.9494845662396269E-12</v>
      </c>
      <c r="AM196" s="59">
        <f t="shared" ref="AM196:AM203" si="193">AL196+(AD196+AE196)*44/12</f>
        <v>290.20450434631147</v>
      </c>
      <c r="AN196" s="59">
        <f ca="1">AVERAGE(OFFSET($AM$3,0,0,'Données projet'!$E$10+1,1))-AVERAGE(OFFSET($H$3,0,0,'Données projet'!$E$10+1,1))</f>
        <v>325.51141702511984</v>
      </c>
      <c r="AO196" s="59">
        <f t="shared" si="144"/>
        <v>280.04509991782709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#VALUE!</v>
      </c>
      <c r="AV196" s="21" t="e">
        <f>EXP(-LN(2)/25)*AV195+(1-EXP(-LN(2)/25))/(LN(2)/25)*Calculateur!AQ196*Calculateur!AS196*VLOOKUP('Données projet'!$B$10,Paramètres!$A$1:$I$89,3,0)*0.475*44/12</f>
        <v>#VALUE!</v>
      </c>
      <c r="AW196" s="21" t="e">
        <f>EXP(-LN(2)/2)*AW195+(1-EXP(-LN(2)/2))/(LN(2)/2)*AQ196*AT196*VLOOKUP('Données projet'!$B$10,Paramètres!$A$1:$I$89,3,0)*0.475*44/12</f>
        <v>#VALUE!</v>
      </c>
      <c r="AX196" s="21" t="e">
        <f t="shared" si="166"/>
        <v>#VALUE!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2.5715962692629546E-13</v>
      </c>
      <c r="P197" s="13">
        <f t="shared" ref="P197:P203" si="203">EXP(-1.0587+0.8836*LN(O197)+0.284)</f>
        <v>3.4610450122128953E-12</v>
      </c>
      <c r="Q197" s="20">
        <f t="shared" si="162"/>
        <v>6.4758730798340893E-12</v>
      </c>
      <c r="R197" s="59">
        <f t="shared" si="191"/>
        <v>290.25878253422621</v>
      </c>
      <c r="S197" s="59">
        <f ca="1">AVERAGE(OFFSET($R$3,0,0,'Données projet'!$E$9+1,1))-AVERAGE(OFFSET($H$3,0,0,'Données projet'!$E$9+1,1))</f>
        <v>374.44366443573398</v>
      </c>
      <c r="T197" s="59">
        <f t="shared" ref="T197:T203" si="204">$T$3</f>
        <v>250.47702091764884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1.5828171145692471E-24</v>
      </c>
      <c r="AC197" s="22">
        <f t="shared" si="163"/>
        <v>1.5828171145692471E-24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1.064108801074326E-13</v>
      </c>
      <c r="AK197" s="13">
        <f t="shared" si="164"/>
        <v>1.5870730813698654E-12</v>
      </c>
      <c r="AL197" s="20">
        <f t="shared" si="165"/>
        <v>2.9494845662396269E-12</v>
      </c>
      <c r="AM197" s="59">
        <f t="shared" si="193"/>
        <v>290.25878253422269</v>
      </c>
      <c r="AN197" s="59">
        <f ca="1">AVERAGE(OFFSET($AM$3,0,0,'Données projet'!$E$10+1,1))-AVERAGE(OFFSET($H$3,0,0,'Données projet'!$E$10+1,1))</f>
        <v>325.51141702511984</v>
      </c>
      <c r="AO197" s="59">
        <f t="shared" ref="AO197:AO203" si="205">$AO$3</f>
        <v>280.04509991782709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#VALUE!</v>
      </c>
      <c r="AV197" s="21" t="e">
        <f>EXP(-LN(2)/25)*AV196+(1-EXP(-LN(2)/25))/(LN(2)/25)*Calculateur!AQ197*Calculateur!AS197*VLOOKUP('Données projet'!$B$10,Paramètres!$A$1:$I$89,3,0)*0.475*44/12</f>
        <v>#VALUE!</v>
      </c>
      <c r="AW197" s="21" t="e">
        <f>EXP(-LN(2)/2)*AW196+(1-EXP(-LN(2)/2))/(LN(2)/2)*AQ197*AT197*VLOOKUP('Données projet'!$B$10,Paramètres!$A$1:$I$89,3,0)*0.475*44/12</f>
        <v>#VALUE!</v>
      </c>
      <c r="AX197" s="21" t="e">
        <f t="shared" si="166"/>
        <v>#VALUE!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2.5715962692629546E-13</v>
      </c>
      <c r="P198" s="13">
        <f t="shared" si="203"/>
        <v>3.4610450122128953E-12</v>
      </c>
      <c r="Q198" s="20">
        <f t="shared" si="162"/>
        <v>6.4758730798340893E-12</v>
      </c>
      <c r="R198" s="59">
        <f t="shared" si="191"/>
        <v>290.31211911692498</v>
      </c>
      <c r="S198" s="59">
        <f ca="1">AVERAGE(OFFSET($R$3,0,0,'Données projet'!$E$9+1,1))-AVERAGE(OFFSET($H$3,0,0,'Données projet'!$E$9+1,1))</f>
        <v>374.44366443573398</v>
      </c>
      <c r="T198" s="59">
        <f t="shared" si="204"/>
        <v>250.47702091764884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1.1192207150900391E-24</v>
      </c>
      <c r="AC198" s="22">
        <f t="shared" si="163"/>
        <v>1.1192207150900391E-24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1.064108801074326E-13</v>
      </c>
      <c r="AK198" s="13">
        <f t="shared" si="164"/>
        <v>1.5870730813698654E-12</v>
      </c>
      <c r="AL198" s="20">
        <f t="shared" si="165"/>
        <v>2.9494845662396269E-12</v>
      </c>
      <c r="AM198" s="59">
        <f t="shared" si="193"/>
        <v>290.31211911692145</v>
      </c>
      <c r="AN198" s="59">
        <f ca="1">AVERAGE(OFFSET($AM$3,0,0,'Données projet'!$E$10+1,1))-AVERAGE(OFFSET($H$3,0,0,'Données projet'!$E$10+1,1))</f>
        <v>325.51141702511984</v>
      </c>
      <c r="AO198" s="59">
        <f t="shared" si="205"/>
        <v>280.04509991782709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#VALUE!</v>
      </c>
      <c r="AV198" s="21" t="e">
        <f>EXP(-LN(2)/25)*AV197+(1-EXP(-LN(2)/25))/(LN(2)/25)*Calculateur!AQ198*Calculateur!AS198*VLOOKUP('Données projet'!$B$10,Paramètres!$A$1:$I$89,3,0)*0.475*44/12</f>
        <v>#VALUE!</v>
      </c>
      <c r="AW198" s="21" t="e">
        <f>EXP(-LN(2)/2)*AW197+(1-EXP(-LN(2)/2))/(LN(2)/2)*AQ198*AT198*VLOOKUP('Données projet'!$B$10,Paramètres!$A$1:$I$89,3,0)*0.475*44/12</f>
        <v>#VALUE!</v>
      </c>
      <c r="AX198" s="21" t="e">
        <f t="shared" si="166"/>
        <v>#VALUE!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2.5715962692629546E-13</v>
      </c>
      <c r="P199" s="13">
        <f t="shared" si="203"/>
        <v>3.4610450122128953E-12</v>
      </c>
      <c r="Q199" s="20">
        <f t="shared" si="162"/>
        <v>6.4758730798340893E-12</v>
      </c>
      <c r="R199" s="59">
        <f t="shared" si="191"/>
        <v>290.36453042915667</v>
      </c>
      <c r="S199" s="59">
        <f ca="1">AVERAGE(OFFSET($R$3,0,0,'Données projet'!$E$9+1,1))-AVERAGE(OFFSET($H$3,0,0,'Données projet'!$E$9+1,1))</f>
        <v>374.44366443573398</v>
      </c>
      <c r="T199" s="59">
        <f t="shared" si="204"/>
        <v>250.47702091764884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7.9140855728462353E-25</v>
      </c>
      <c r="AC199" s="22">
        <f t="shared" si="163"/>
        <v>7.9140855728462353E-25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1.064108801074326E-13</v>
      </c>
      <c r="AK199" s="13">
        <f t="shared" si="164"/>
        <v>1.5870730813698654E-12</v>
      </c>
      <c r="AL199" s="20">
        <f t="shared" si="165"/>
        <v>2.9494845662396269E-12</v>
      </c>
      <c r="AM199" s="59">
        <f t="shared" si="193"/>
        <v>290.36453042915315</v>
      </c>
      <c r="AN199" s="59">
        <f ca="1">AVERAGE(OFFSET($AM$3,0,0,'Données projet'!$E$10+1,1))-AVERAGE(OFFSET($H$3,0,0,'Données projet'!$E$10+1,1))</f>
        <v>325.51141702511984</v>
      </c>
      <c r="AO199" s="59">
        <f t="shared" si="205"/>
        <v>280.04509991782709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#VALUE!</v>
      </c>
      <c r="AV199" s="21" t="e">
        <f>EXP(-LN(2)/25)*AV198+(1-EXP(-LN(2)/25))/(LN(2)/25)*Calculateur!AQ199*Calculateur!AS199*VLOOKUP('Données projet'!$B$10,Paramètres!$A$1:$I$89,3,0)*0.475*44/12</f>
        <v>#VALUE!</v>
      </c>
      <c r="AW199" s="21" t="e">
        <f>EXP(-LN(2)/2)*AW198+(1-EXP(-LN(2)/2))/(LN(2)/2)*AQ199*AT199*VLOOKUP('Données projet'!$B$10,Paramètres!$A$1:$I$89,3,0)*0.475*44/12</f>
        <v>#VALUE!</v>
      </c>
      <c r="AX199" s="21" t="e">
        <f t="shared" si="166"/>
        <v>#VALUE!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2.5715962692629546E-13</v>
      </c>
      <c r="P200" s="13">
        <f t="shared" si="203"/>
        <v>3.4610450122128953E-12</v>
      </c>
      <c r="Q200" s="20">
        <f t="shared" si="162"/>
        <v>6.4758730798340893E-12</v>
      </c>
      <c r="R200" s="59">
        <f t="shared" si="191"/>
        <v>290.41603252229527</v>
      </c>
      <c r="S200" s="59">
        <f ca="1">AVERAGE(OFFSET($R$3,0,0,'Données projet'!$E$9+1,1))-AVERAGE(OFFSET($H$3,0,0,'Données projet'!$E$9+1,1))</f>
        <v>374.44366443573398</v>
      </c>
      <c r="T200" s="59">
        <f t="shared" si="204"/>
        <v>250.47702091764884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5.5961035754501955E-25</v>
      </c>
      <c r="AC200" s="22">
        <f t="shared" si="163"/>
        <v>5.5961035754501955E-25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1.064108801074326E-13</v>
      </c>
      <c r="AK200" s="13">
        <f t="shared" si="164"/>
        <v>1.5870730813698654E-12</v>
      </c>
      <c r="AL200" s="20">
        <f t="shared" si="165"/>
        <v>2.9494845662396269E-12</v>
      </c>
      <c r="AM200" s="59">
        <f t="shared" si="193"/>
        <v>290.41603252229174</v>
      </c>
      <c r="AN200" s="59">
        <f ca="1">AVERAGE(OFFSET($AM$3,0,0,'Données projet'!$E$10+1,1))-AVERAGE(OFFSET($H$3,0,0,'Données projet'!$E$10+1,1))</f>
        <v>325.51141702511984</v>
      </c>
      <c r="AO200" s="59">
        <f t="shared" si="205"/>
        <v>280.04509991782709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#VALUE!</v>
      </c>
      <c r="AV200" s="21" t="e">
        <f>EXP(-LN(2)/25)*AV199+(1-EXP(-LN(2)/25))/(LN(2)/25)*Calculateur!AQ200*Calculateur!AS200*VLOOKUP('Données projet'!$B$10,Paramètres!$A$1:$I$89,3,0)*0.475*44/12</f>
        <v>#VALUE!</v>
      </c>
      <c r="AW200" s="21" t="e">
        <f>EXP(-LN(2)/2)*AW199+(1-EXP(-LN(2)/2))/(LN(2)/2)*AQ200*AT200*VLOOKUP('Données projet'!$B$10,Paramètres!$A$1:$I$89,3,0)*0.475*44/12</f>
        <v>#VALUE!</v>
      </c>
      <c r="AX200" s="21" t="e">
        <f t="shared" si="166"/>
        <v>#VALUE!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2.5715962692629546E-13</v>
      </c>
      <c r="P201" s="13">
        <f t="shared" si="203"/>
        <v>3.4610450122128953E-12</v>
      </c>
      <c r="Q201" s="20">
        <f t="shared" si="162"/>
        <v>6.4758730798340893E-12</v>
      </c>
      <c r="R201" s="59">
        <f t="shared" si="191"/>
        <v>290.46664116925939</v>
      </c>
      <c r="S201" s="59">
        <f ca="1">AVERAGE(OFFSET($R$3,0,0,'Données projet'!$E$9+1,1))-AVERAGE(OFFSET($H$3,0,0,'Données projet'!$E$9+1,1))</f>
        <v>374.44366443573398</v>
      </c>
      <c r="T201" s="59">
        <f t="shared" si="204"/>
        <v>250.47702091764884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3.9570427864231177E-25</v>
      </c>
      <c r="AC201" s="22">
        <f t="shared" si="163"/>
        <v>3.9570427864231177E-25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1.064108801074326E-13</v>
      </c>
      <c r="AK201" s="13">
        <f t="shared" si="164"/>
        <v>1.5870730813698654E-12</v>
      </c>
      <c r="AL201" s="20">
        <f t="shared" si="165"/>
        <v>2.9494845662396269E-12</v>
      </c>
      <c r="AM201" s="59">
        <f t="shared" si="193"/>
        <v>290.46664116925587</v>
      </c>
      <c r="AN201" s="59">
        <f ca="1">AVERAGE(OFFSET($AM$3,0,0,'Données projet'!$E$10+1,1))-AVERAGE(OFFSET($H$3,0,0,'Données projet'!$E$10+1,1))</f>
        <v>325.51141702511984</v>
      </c>
      <c r="AO201" s="59">
        <f t="shared" si="205"/>
        <v>280.04509991782709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#VALUE!</v>
      </c>
      <c r="AV201" s="21" t="e">
        <f>EXP(-LN(2)/25)*AV200+(1-EXP(-LN(2)/25))/(LN(2)/25)*Calculateur!AQ201*Calculateur!AS201*VLOOKUP('Données projet'!$B$10,Paramètres!$A$1:$I$89,3,0)*0.475*44/12</f>
        <v>#VALUE!</v>
      </c>
      <c r="AW201" s="21" t="e">
        <f>EXP(-LN(2)/2)*AW200+(1-EXP(-LN(2)/2))/(LN(2)/2)*AQ201*AT201*VLOOKUP('Données projet'!$B$10,Paramètres!$A$1:$I$89,3,0)*0.475*44/12</f>
        <v>#VALUE!</v>
      </c>
      <c r="AX201" s="21" t="e">
        <f t="shared" si="166"/>
        <v>#VALUE!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2.5715962692629546E-13</v>
      </c>
      <c r="P202" s="13">
        <f t="shared" si="203"/>
        <v>3.4610450122128953E-12</v>
      </c>
      <c r="Q202" s="20">
        <f t="shared" si="162"/>
        <v>6.4758730798340893E-12</v>
      </c>
      <c r="R202" s="59">
        <f t="shared" si="191"/>
        <v>290.51637186934261</v>
      </c>
      <c r="S202" s="59">
        <f ca="1">AVERAGE(OFFSET($R$3,0,0,'Données projet'!$E$9+1,1))-AVERAGE(OFFSET($H$3,0,0,'Données projet'!$E$9+1,1))</f>
        <v>374.44366443573398</v>
      </c>
      <c r="T202" s="59">
        <f t="shared" si="204"/>
        <v>250.47702091764884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2.7980517877250977E-25</v>
      </c>
      <c r="AC202" s="22">
        <f t="shared" si="163"/>
        <v>2.7980517877250977E-25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1.064108801074326E-13</v>
      </c>
      <c r="AK202" s="13">
        <f t="shared" si="164"/>
        <v>1.5870730813698654E-12</v>
      </c>
      <c r="AL202" s="20">
        <f t="shared" si="165"/>
        <v>2.9494845662396269E-12</v>
      </c>
      <c r="AM202" s="59">
        <f t="shared" si="193"/>
        <v>290.51637186933908</v>
      </c>
      <c r="AN202" s="59">
        <f ca="1">AVERAGE(OFFSET($AM$3,0,0,'Données projet'!$E$10+1,1))-AVERAGE(OFFSET($H$3,0,0,'Données projet'!$E$10+1,1))</f>
        <v>325.51141702511984</v>
      </c>
      <c r="AO202" s="59">
        <f t="shared" si="205"/>
        <v>280.04509991782709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#VALUE!</v>
      </c>
      <c r="AV202" s="21" t="e">
        <f>EXP(-LN(2)/25)*AV201+(1-EXP(-LN(2)/25))/(LN(2)/25)*Calculateur!AQ202*Calculateur!AS202*VLOOKUP('Données projet'!$B$10,Paramètres!$A$1:$I$89,3,0)*0.475*44/12</f>
        <v>#VALUE!</v>
      </c>
      <c r="AW202" s="21" t="e">
        <f>EXP(-LN(2)/2)*AW201+(1-EXP(-LN(2)/2))/(LN(2)/2)*AQ202*AT202*VLOOKUP('Données projet'!$B$10,Paramètres!$A$1:$I$89,3,0)*0.475*44/12</f>
        <v>#VALUE!</v>
      </c>
      <c r="AX202" s="21" t="e">
        <f t="shared" si="166"/>
        <v>#VALUE!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2.5715962692629546E-13</v>
      </c>
      <c r="P203" s="13">
        <f t="shared" si="203"/>
        <v>3.4610450122128953E-12</v>
      </c>
      <c r="Q203" s="20">
        <f t="shared" si="162"/>
        <v>6.4758730798340893E-12</v>
      </c>
      <c r="R203" s="59">
        <f t="shared" si="191"/>
        <v>290.56523985296059</v>
      </c>
      <c r="S203" s="59">
        <f ca="1">AVERAGE(OFFSET($R$3,0,0,'Données projet'!$E$9+1,1))-AVERAGE(OFFSET($H$3,0,0,'Données projet'!$E$9+1,1))</f>
        <v>374.44366443573398</v>
      </c>
      <c r="T203" s="59">
        <f t="shared" si="204"/>
        <v>250.47702091764884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1.9785213932115588E-25</v>
      </c>
      <c r="AC203" s="22">
        <f t="shared" si="163"/>
        <v>1.9785213932115588E-25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1.064108801074326E-13</v>
      </c>
      <c r="AK203" s="13">
        <f t="shared" si="164"/>
        <v>1.5870730813698654E-12</v>
      </c>
      <c r="AL203" s="20">
        <f t="shared" si="165"/>
        <v>2.9494845662396269E-12</v>
      </c>
      <c r="AM203" s="59">
        <f t="shared" si="193"/>
        <v>290.56523985295706</v>
      </c>
      <c r="AN203" s="59">
        <f ca="1">AVERAGE(OFFSET($AM$3,0,0,'Données projet'!$E$10+1,1))-AVERAGE(OFFSET($H$3,0,0,'Données projet'!$E$10+1,1))</f>
        <v>325.51141702511984</v>
      </c>
      <c r="AO203" s="59">
        <f t="shared" si="205"/>
        <v>280.04509991782709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#VALUE!</v>
      </c>
      <c r="AV203" s="21" t="e">
        <f>EXP(-LN(2)/25)*AV202+(1-EXP(-LN(2)/25))/(LN(2)/25)*Calculateur!AQ203*Calculateur!AS203*VLOOKUP('Données projet'!$B$10,Paramètres!$A$1:$I$89,3,0)*0.475*44/12</f>
        <v>#VALUE!</v>
      </c>
      <c r="AW203" s="21" t="e">
        <f>EXP(-LN(2)/2)*AW202+(1-EXP(-LN(2)/2))/(LN(2)/2)*AQ203*AT203*VLOOKUP('Données projet'!$B$10,Paramètres!$A$1:$I$89,3,0)*0.475*44/12</f>
        <v>#VALUE!</v>
      </c>
      <c r="AX203" s="21" t="e">
        <f t="shared" si="166"/>
        <v>#VALUE!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1.1963772029987372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23" sqref="M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5.45</v>
      </c>
      <c r="C6" s="147">
        <f ca="1">IF(OR('Données projet'!B9="",'Données projet'!C9="",'Données projet'!C9=0%),0,Calculateur!S3)</f>
        <v>374.44366443573398</v>
      </c>
      <c r="D6" s="147">
        <f>IF(OR('Données projet'!B9="",'Données projet'!C9="",'Données projet'!C9=0%),0,Calculateur!T3)</f>
        <v>250.47702091764884</v>
      </c>
      <c r="E6" s="147">
        <f ca="1">MIN(C6,D6)</f>
        <v>250.47702091764884</v>
      </c>
      <c r="F6" s="147">
        <f ca="1">E6*B6</f>
        <v>1365.0997640011863</v>
      </c>
      <c r="G6" s="147">
        <f ca="1">F6*(100%-'Données projet'!$C$24)*(100%-'Données projet'!$C$25)*(100%-'Données projet'!$C$26)*(100%-'Données projet'!$C$27)</f>
        <v>1228.5897876010677</v>
      </c>
      <c r="H6" s="148">
        <f>IF(OR('Données projet'!B9="",'Données projet'!C9="",'Données projet'!C9=0%),0,AVERAGE(Calculateur!$AC$3:$AC$33)*B6)</f>
        <v>2.6955236128090121</v>
      </c>
      <c r="I6" s="149">
        <f>H6*(100%-'Données projet'!$C$24)*(100%-'Données projet'!$C$25)*(100%-'Données projet'!$C$26)*(100%-'Données projet'!$C$27)</f>
        <v>2.4259712515281109</v>
      </c>
      <c r="J6" s="150">
        <f>IF(OR('Données projet'!B9="",'Données projet'!C9="",'Données projet'!C9=0%),0,SUM(Calculateur!$V$3:$V$33)*VLOOKUP('Données projet'!$B$9,Paramètres!$A$1:$I$89,9,0)*B6)</f>
        <v>39.512500000000003</v>
      </c>
      <c r="K6" s="151">
        <f>J6*(100%-'Données projet'!$C$24)*(100%-'Données projet'!$C$25)*(100%-'Données projet'!$C$26)*(100%-'Données projet'!$C$27)</f>
        <v>35.561250000000001</v>
      </c>
      <c r="L6" s="152">
        <f ca="1">G6+I6+K6</f>
        <v>1266.5770088525958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5.45</v>
      </c>
      <c r="C7" s="147">
        <f ca="1">IF(OR('Données projet'!B10="",'Données projet'!C10="",'Données projet'!C10=0%),0,Calculateur!AN3)</f>
        <v>325.51141702511984</v>
      </c>
      <c r="D7" s="147">
        <f>IF(OR('Données projet'!B10="",'Données projet'!C10="",'Données projet'!C10=0%),0,Calculateur!AO3)</f>
        <v>280.04509991782709</v>
      </c>
      <c r="E7" s="147">
        <f t="shared" ref="E7:E15" ca="1" si="0">MIN(C7,D7)</f>
        <v>280.04509991782709</v>
      </c>
      <c r="F7" s="147">
        <f t="shared" ref="F7:F15" ca="1" si="1">E7*B7</f>
        <v>1526.2457945521576</v>
      </c>
      <c r="G7" s="147">
        <f ca="1">F7*(100%-'Données projet'!$C$24)*(100%-'Données projet'!$C$25)*(100%-'Données projet'!$C$26)*(100%-'Données projet'!$C$27)</f>
        <v>1373.6212150969418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1373.6212150969418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2891.3455585533438</v>
      </c>
      <c r="G16" s="166">
        <f t="shared" ca="1" si="3"/>
        <v>2602.2110026980095</v>
      </c>
      <c r="H16" s="167">
        <f t="shared" si="3"/>
        <v>2.6955236128090121</v>
      </c>
      <c r="I16" s="167">
        <f t="shared" si="3"/>
        <v>2.4259712515281109</v>
      </c>
      <c r="J16" s="168">
        <f t="shared" si="3"/>
        <v>39.512500000000003</v>
      </c>
      <c r="K16" s="168">
        <f t="shared" si="3"/>
        <v>35.561250000000001</v>
      </c>
      <c r="L16" s="169">
        <f t="shared" ca="1" si="3"/>
        <v>2640.1982239495374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8" zoomScale="80" zoomScaleNormal="8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1025.1465191079303</v>
      </c>
      <c r="U10" s="178">
        <f>'Données projet'!D9</f>
        <v>5.45</v>
      </c>
      <c r="V10" s="177">
        <f>U10*T10</f>
        <v>5587.0485291382201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910.786425857636</v>
      </c>
      <c r="U11" s="178">
        <f>'Données projet'!D10</f>
        <v>5.45</v>
      </c>
      <c r="V11" s="177">
        <f t="shared" ref="V11" si="0">U11*T11</f>
        <v>4963.7860209241162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296.39999999999998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296.39999999999998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296.39999999999998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v>2</v>
      </c>
      <c r="D23" s="182">
        <f>B23*C23</f>
        <v>16</v>
      </c>
      <c r="E23" s="193"/>
      <c r="F23" s="230"/>
      <c r="H23" s="190">
        <v>4</v>
      </c>
      <c r="I23" s="191">
        <v>296.39999999999998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-3632.1267167699079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v>3</v>
      </c>
      <c r="D24" s="182">
        <f t="shared" ref="D24:D42" si="2">B24*C24</f>
        <v>63</v>
      </c>
      <c r="E24" s="193"/>
      <c r="F24" s="233"/>
      <c r="H24" s="190">
        <v>5</v>
      </c>
      <c r="I24" s="191">
        <v>296.39999999999998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2500.1979766141758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42</v>
      </c>
      <c r="C25" s="193">
        <v>6</v>
      </c>
      <c r="D25" s="182">
        <f t="shared" si="2"/>
        <v>252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10</v>
      </c>
      <c r="Q25" s="234"/>
      <c r="R25" s="23"/>
      <c r="S25" s="186" t="s">
        <v>266</v>
      </c>
      <c r="T25" s="299">
        <f ca="1">T23-T24</f>
        <v>-6132.3246933840837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42</v>
      </c>
      <c r="C27" s="193">
        <v>35</v>
      </c>
      <c r="D27" s="182">
        <f t="shared" si="2"/>
        <v>1470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42</v>
      </c>
      <c r="C28" s="193">
        <v>55</v>
      </c>
      <c r="D28" s="182">
        <f t="shared" si="2"/>
        <v>2310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42</v>
      </c>
      <c r="C29" s="193">
        <v>75</v>
      </c>
      <c r="D29" s="182">
        <f t="shared" si="2"/>
        <v>3150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42</v>
      </c>
      <c r="C30" s="193">
        <v>100</v>
      </c>
      <c r="D30" s="182">
        <f t="shared" si="2"/>
        <v>4200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229.37596115726382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303</v>
      </c>
      <c r="C31" s="193">
        <v>130</v>
      </c>
      <c r="D31" s="182">
        <f t="shared" si="2"/>
        <v>39390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9.5693779904306222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9.1572995123738021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8.7629660405490934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8.3856134359321484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8.0245104650068413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7.6789573827816682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7.3482845768245619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7.0318512696885787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6.7290442772139514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6.4392768203004325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6.1619873878473044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5.8966386486577083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5.6427164101987639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5.3997286221997758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5.1672044231576795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4.9446932279020874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4.7317638544517582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4.5280036884705828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4.3330178837039073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4.1464285968458459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3.9678742553548756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36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3.7970088567989255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42</v>
      </c>
      <c r="B56" s="181">
        <f>'Données projet'!D64</f>
        <v>179.84615384615384</v>
      </c>
      <c r="C56" s="191">
        <v>10</v>
      </c>
      <c r="D56" s="179">
        <f t="shared" si="4"/>
        <v>1798.4615384615383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3.6335012983721771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46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3.4770347352843807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49</v>
      </c>
      <c r="B58" s="181">
        <f>'Données projet'!D66</f>
        <v>94.476923076923072</v>
      </c>
      <c r="C58" s="191">
        <v>10</v>
      </c>
      <c r="D58" s="179">
        <f t="shared" si="4"/>
        <v>944.76923076923072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3.3273059667793121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53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3.1840248485926441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56</v>
      </c>
      <c r="B60" s="181">
        <f>'Données projet'!D68</f>
        <v>72.769230769230759</v>
      </c>
      <c r="C60" s="191">
        <v>10</v>
      </c>
      <c r="D60" s="179">
        <f t="shared" si="4"/>
        <v>727.69230769230762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3.046913730710664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2.9157069193403489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63</v>
      </c>
      <c r="B62" s="181">
        <f>'Données projet'!D70</f>
        <v>71.123076923076923</v>
      </c>
      <c r="C62" s="191">
        <v>20</v>
      </c>
      <c r="D62" s="179">
        <f t="shared" si="4"/>
        <v>1422.4615384615386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2.7901501620481803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67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2.6700001550700301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71</v>
      </c>
      <c r="B64" s="181">
        <f>'Données projet'!D72</f>
        <v>80.399999999999991</v>
      </c>
      <c r="C64" s="191">
        <v>20</v>
      </c>
      <c r="D64" s="179">
        <f t="shared" si="4"/>
        <v>1607.9999999999998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2.5550240718373489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75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2.4449991118060765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79</v>
      </c>
      <c r="B66" s="181">
        <f>'Données projet'!D74</f>
        <v>77.338461538461544</v>
      </c>
      <c r="C66" s="191">
        <v>20</v>
      </c>
      <c r="D66" s="179">
        <f t="shared" si="4"/>
        <v>1546.7692307692309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2.3397120687139492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83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2.2389589174296169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87</v>
      </c>
      <c r="B68" s="181">
        <f>'Données projet'!D76</f>
        <v>77.330769230769235</v>
      </c>
      <c r="C68" s="191">
        <v>30</v>
      </c>
      <c r="D68" s="179">
        <f t="shared" si="4"/>
        <v>2319.9230769230771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2.142544418592935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91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2.0502817402803206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95</v>
      </c>
      <c r="B70" s="181">
        <f>'Données projet'!D78</f>
        <v>234.42307692307691</v>
      </c>
      <c r="C70" s="191">
        <v>30</v>
      </c>
      <c r="D70" s="179">
        <f t="shared" si="4"/>
        <v>7032.6923076923067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1.9619920959620296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100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1.8775043980497894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105</v>
      </c>
      <c r="B72" s="181">
        <f>'Données projet'!D80</f>
        <v>309.71538461538461</v>
      </c>
      <c r="C72" s="191">
        <v>30</v>
      </c>
      <c r="D72" s="179">
        <f t="shared" si="4"/>
        <v>9291.461538461539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1.7966549263634348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1.7192870108741007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1.6452507281091875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1.5744026106308018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1.5066053690246906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1.4417276258609482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1.379643661110955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1.3202331685272302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1.2633810225140956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1.2089770550374126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1.1569158421410648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1.1070964996565216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1.0594224877095899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1.0138014236455408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0.97014490301008693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0.92836832823931803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0.88839074472661994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0.85013468394891878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0.81352601334824781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0.77849379267774921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0.74497013653373134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0.71289008280739852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0.68219146680133813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0.65281480076683107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0.62470315862854631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0.59780206567325045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0.57205939298875641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0.54742525644857087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0.52385192004647929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0.50129370339376012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0.4797068931997705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0.4590496585643738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0.43928196991806107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0.42036552145269013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0.40226365689252647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0.38494129846174785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0.36836487891076347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0.35250227646963023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0.33732275260251693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0.32279689244260001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0.30889654779196174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0.29559478257604005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0.28286582064692828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0.27068499583438116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0.25902870414773321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0.24787435803610838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0.23720034261828551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0.22698597379740246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0.21721145817933249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0.20785785471706464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0.19890703800676043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0.1903416631643641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0.18214513221470247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0.17430156192794499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0.16679575304109567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0.15961316080487631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0.15273986679892465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0.14616255196069353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0.13986847077578332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0.13384542657969695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0.12808174792315496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2026-02-23T12:25:44Z</dcterms:modified>
</cp:coreProperties>
</file>