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guillaumepanthou/Downloads/"/>
    </mc:Choice>
  </mc:AlternateContent>
  <xr:revisionPtr revIDLastSave="0" documentId="8_{4AFCB40D-549E-804B-A703-0F4CE7B72760}" xr6:coauthVersionLast="47" xr6:coauthVersionMax="47" xr10:uidLastSave="{00000000-0000-0000-0000-000000000000}"/>
  <bookViews>
    <workbookView xWindow="-480" yWindow="-24020" windowWidth="28800" windowHeight="16460" activeTab="1" xr2:uid="{00000000-000D-0000-FFFF-FFFF00000000}"/>
  </bookViews>
  <sheets>
    <sheet name="Accueil" sheetId="1" r:id="rId1"/>
    <sheet name="Eligibilité_projet" sheetId="2" r:id="rId2"/>
    <sheet name="RECeff + REIamont (1)" sheetId="3" r:id="rId3"/>
    <sheet name="RECeff + REIamont (2)" sheetId="4" r:id="rId4"/>
    <sheet name="REIaval" sheetId="5" r:id="rId5"/>
    <sheet name="RECant_biom" sheetId="6" r:id="rId6"/>
    <sheet name="RECant_sol" sheetId="7" r:id="rId7"/>
    <sheet name="RE" sheetId="8" r:id="rId8"/>
    <sheet name="(ne pas modifier) BDD_REF" sheetId="9" state="hidden" r:id="rId9"/>
    <sheet name="(ne pas modifier) LISTES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Bb0zXv5FVo5qW5fEiVtyCschHnfvFTBhU7OVI7xkNTg="/>
    </ext>
  </extLst>
</workbook>
</file>

<file path=xl/calcChain.xml><?xml version="1.0" encoding="utf-8"?>
<calcChain xmlns="http://schemas.openxmlformats.org/spreadsheetml/2006/main">
  <c r="C229" i="9" l="1"/>
  <c r="C228" i="9"/>
  <c r="C227" i="9"/>
  <c r="C226" i="9"/>
  <c r="C225" i="9"/>
  <c r="C224" i="9"/>
  <c r="H127" i="4" s="1"/>
  <c r="D133" i="9"/>
  <c r="D132" i="9"/>
  <c r="D131" i="9"/>
  <c r="D130" i="9"/>
  <c r="D129" i="9"/>
  <c r="D128" i="9"/>
  <c r="D127" i="9"/>
  <c r="D126" i="9"/>
  <c r="D125" i="9"/>
  <c r="D124" i="9"/>
  <c r="D123" i="9"/>
  <c r="E122" i="9"/>
  <c r="D122" i="9"/>
  <c r="E121" i="9"/>
  <c r="D121" i="9"/>
  <c r="E120" i="9"/>
  <c r="D120" i="9"/>
  <c r="E119" i="9"/>
  <c r="D119" i="9"/>
  <c r="E118" i="9"/>
  <c r="D118" i="9"/>
  <c r="E117" i="9"/>
  <c r="D117" i="9"/>
  <c r="E116" i="9"/>
  <c r="D116" i="9"/>
  <c r="E115" i="9"/>
  <c r="D115" i="9"/>
  <c r="E114" i="9"/>
  <c r="D114" i="9"/>
  <c r="E113" i="9"/>
  <c r="D113" i="9"/>
  <c r="E112" i="9"/>
  <c r="D112" i="9"/>
  <c r="E111" i="9"/>
  <c r="D111" i="9"/>
  <c r="E110" i="9"/>
  <c r="D110" i="9"/>
  <c r="E109" i="9"/>
  <c r="D109" i="9"/>
  <c r="E108" i="9"/>
  <c r="D108" i="9"/>
  <c r="E107" i="9"/>
  <c r="D107" i="9"/>
  <c r="E106" i="9"/>
  <c r="D106" i="9"/>
  <c r="E105" i="9"/>
  <c r="D105" i="9"/>
  <c r="E104" i="9"/>
  <c r="D104" i="9"/>
  <c r="E103" i="9"/>
  <c r="D103" i="9"/>
  <c r="E102" i="9"/>
  <c r="D102" i="9"/>
  <c r="E101" i="9"/>
  <c r="D101" i="9"/>
  <c r="D100" i="9"/>
  <c r="D99" i="9"/>
  <c r="D98" i="9"/>
  <c r="D97" i="9"/>
  <c r="D96" i="9"/>
  <c r="D95" i="9"/>
  <c r="D94" i="9"/>
  <c r="D93" i="9"/>
  <c r="D92" i="9"/>
  <c r="D91" i="9"/>
  <c r="E90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G65" i="9"/>
  <c r="D65" i="9"/>
  <c r="G64" i="9"/>
  <c r="D64" i="9"/>
  <c r="G63" i="9"/>
  <c r="D63" i="9"/>
  <c r="G62" i="9"/>
  <c r="D62" i="9"/>
  <c r="G61" i="9"/>
  <c r="D61" i="9"/>
  <c r="G60" i="9"/>
  <c r="D60" i="9"/>
  <c r="G59" i="9"/>
  <c r="D59" i="9"/>
  <c r="G58" i="9"/>
  <c r="D58" i="9"/>
  <c r="G57" i="9"/>
  <c r="D57" i="9"/>
  <c r="G56" i="9"/>
  <c r="D56" i="9"/>
  <c r="G55" i="9"/>
  <c r="D55" i="9"/>
  <c r="G54" i="9"/>
  <c r="D54" i="9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D47" i="9"/>
  <c r="G46" i="9"/>
  <c r="D46" i="9"/>
  <c r="E100" i="9" s="1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D10" i="9"/>
  <c r="D9" i="9"/>
  <c r="D8" i="9"/>
  <c r="D7" i="9"/>
  <c r="C7" i="9"/>
  <c r="D6" i="9"/>
  <c r="D5" i="9"/>
  <c r="D4" i="9"/>
  <c r="D3" i="9"/>
  <c r="D2" i="9"/>
  <c r="C6" i="8"/>
  <c r="K9" i="7"/>
  <c r="C9" i="7"/>
  <c r="L8" i="7"/>
  <c r="K8" i="7"/>
  <c r="J8" i="7"/>
  <c r="I8" i="7"/>
  <c r="H8" i="7"/>
  <c r="G8" i="7"/>
  <c r="F8" i="7"/>
  <c r="E8" i="7"/>
  <c r="D8" i="7"/>
  <c r="C8" i="7"/>
  <c r="L7" i="7"/>
  <c r="K7" i="7"/>
  <c r="J7" i="7"/>
  <c r="I7" i="7"/>
  <c r="I9" i="7" s="1"/>
  <c r="H36" i="2" s="1"/>
  <c r="H7" i="7"/>
  <c r="G7" i="7"/>
  <c r="F7" i="7"/>
  <c r="E7" i="7"/>
  <c r="D7" i="7"/>
  <c r="C7" i="7"/>
  <c r="M7" i="7" s="1"/>
  <c r="L6" i="7"/>
  <c r="L9" i="7" s="1"/>
  <c r="K36" i="2" s="1"/>
  <c r="K6" i="7"/>
  <c r="J6" i="7"/>
  <c r="I6" i="7"/>
  <c r="H6" i="7"/>
  <c r="G6" i="7"/>
  <c r="F6" i="7"/>
  <c r="F9" i="7" s="1"/>
  <c r="E36" i="2" s="1"/>
  <c r="E6" i="7"/>
  <c r="E9" i="7" s="1"/>
  <c r="D36" i="2" s="1"/>
  <c r="D6" i="7"/>
  <c r="D9" i="7" s="1"/>
  <c r="C36" i="2" s="1"/>
  <c r="C6" i="7"/>
  <c r="L5" i="7"/>
  <c r="K5" i="7"/>
  <c r="J5" i="7"/>
  <c r="I5" i="7"/>
  <c r="H5" i="7"/>
  <c r="G5" i="7"/>
  <c r="F5" i="7"/>
  <c r="E5" i="7"/>
  <c r="D5" i="7"/>
  <c r="C5" i="7"/>
  <c r="J28" i="6"/>
  <c r="I37" i="2" s="1"/>
  <c r="L27" i="6"/>
  <c r="K27" i="6"/>
  <c r="J27" i="6"/>
  <c r="I27" i="6"/>
  <c r="H27" i="6"/>
  <c r="G27" i="6"/>
  <c r="F27" i="6"/>
  <c r="E27" i="6"/>
  <c r="M27" i="6" s="1"/>
  <c r="D27" i="6"/>
  <c r="C27" i="6"/>
  <c r="L26" i="6"/>
  <c r="K26" i="6"/>
  <c r="J26" i="6"/>
  <c r="I26" i="6"/>
  <c r="H26" i="6"/>
  <c r="H28" i="6" s="1"/>
  <c r="G37" i="2" s="1"/>
  <c r="G26" i="6"/>
  <c r="F26" i="6"/>
  <c r="E26" i="6"/>
  <c r="D26" i="6"/>
  <c r="C26" i="6"/>
  <c r="L25" i="6"/>
  <c r="L28" i="6" s="1"/>
  <c r="K37" i="2" s="1"/>
  <c r="K25" i="6"/>
  <c r="K28" i="6" s="1"/>
  <c r="J37" i="2" s="1"/>
  <c r="J25" i="6"/>
  <c r="I25" i="6"/>
  <c r="H25" i="6"/>
  <c r="G25" i="6"/>
  <c r="G28" i="6" s="1"/>
  <c r="F25" i="6"/>
  <c r="E25" i="6"/>
  <c r="D25" i="6"/>
  <c r="D28" i="6" s="1"/>
  <c r="C37" i="2" s="1"/>
  <c r="C25" i="6"/>
  <c r="M25" i="6" s="1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L22" i="6"/>
  <c r="K22" i="6"/>
  <c r="J22" i="6"/>
  <c r="I22" i="6"/>
  <c r="H22" i="6"/>
  <c r="G22" i="6"/>
  <c r="F22" i="6"/>
  <c r="E22" i="6"/>
  <c r="D22" i="6"/>
  <c r="M22" i="6" s="1"/>
  <c r="C22" i="6"/>
  <c r="L21" i="6"/>
  <c r="K21" i="6"/>
  <c r="J21" i="6"/>
  <c r="I21" i="6"/>
  <c r="H21" i="6"/>
  <c r="G21" i="6"/>
  <c r="F21" i="6"/>
  <c r="E21" i="6"/>
  <c r="M21" i="6" s="1"/>
  <c r="D21" i="6"/>
  <c r="C21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M19" i="6" s="1"/>
  <c r="L18" i="6"/>
  <c r="K18" i="6"/>
  <c r="J18" i="6"/>
  <c r="I18" i="6"/>
  <c r="H18" i="6"/>
  <c r="G18" i="6"/>
  <c r="F18" i="6"/>
  <c r="E18" i="6"/>
  <c r="D18" i="6"/>
  <c r="C18" i="6"/>
  <c r="M18" i="6" s="1"/>
  <c r="L17" i="6"/>
  <c r="K17" i="6"/>
  <c r="J17" i="6"/>
  <c r="I17" i="6"/>
  <c r="H17" i="6"/>
  <c r="G17" i="6"/>
  <c r="F17" i="6"/>
  <c r="E17" i="6"/>
  <c r="D17" i="6"/>
  <c r="C17" i="6"/>
  <c r="M17" i="6" s="1"/>
  <c r="L16" i="6"/>
  <c r="K16" i="6"/>
  <c r="J16" i="6"/>
  <c r="I16" i="6"/>
  <c r="H16" i="6"/>
  <c r="G16" i="6"/>
  <c r="F16" i="6"/>
  <c r="E16" i="6"/>
  <c r="D16" i="6"/>
  <c r="C16" i="6"/>
  <c r="L15" i="6"/>
  <c r="K15" i="6"/>
  <c r="J15" i="6"/>
  <c r="I15" i="6"/>
  <c r="H15" i="6"/>
  <c r="G15" i="6"/>
  <c r="F15" i="6"/>
  <c r="E15" i="6"/>
  <c r="D15" i="6"/>
  <c r="C15" i="6"/>
  <c r="M14" i="6"/>
  <c r="L14" i="6"/>
  <c r="K14" i="6"/>
  <c r="J14" i="6"/>
  <c r="I14" i="6"/>
  <c r="H14" i="6"/>
  <c r="G14" i="6"/>
  <c r="F14" i="6"/>
  <c r="E14" i="6"/>
  <c r="D14" i="6"/>
  <c r="C14" i="6"/>
  <c r="L13" i="6"/>
  <c r="K13" i="6"/>
  <c r="J13" i="6"/>
  <c r="I13" i="6"/>
  <c r="H13" i="6"/>
  <c r="G13" i="6"/>
  <c r="F13" i="6"/>
  <c r="E13" i="6"/>
  <c r="M13" i="6" s="1"/>
  <c r="D13" i="6"/>
  <c r="C13" i="6"/>
  <c r="L12" i="6"/>
  <c r="K12" i="6"/>
  <c r="J12" i="6"/>
  <c r="I12" i="6"/>
  <c r="H12" i="6"/>
  <c r="G12" i="6"/>
  <c r="F12" i="6"/>
  <c r="E12" i="6"/>
  <c r="D12" i="6"/>
  <c r="C12" i="6"/>
  <c r="L11" i="6"/>
  <c r="K11" i="6"/>
  <c r="J11" i="6"/>
  <c r="I11" i="6"/>
  <c r="H11" i="6"/>
  <c r="G11" i="6"/>
  <c r="F11" i="6"/>
  <c r="E11" i="6"/>
  <c r="M11" i="6" s="1"/>
  <c r="D11" i="6"/>
  <c r="C11" i="6"/>
  <c r="L10" i="6"/>
  <c r="K10" i="6"/>
  <c r="J10" i="6"/>
  <c r="I10" i="6"/>
  <c r="H10" i="6"/>
  <c r="G10" i="6"/>
  <c r="F10" i="6"/>
  <c r="E10" i="6"/>
  <c r="D10" i="6"/>
  <c r="C10" i="6"/>
  <c r="L9" i="6"/>
  <c r="K9" i="6"/>
  <c r="J9" i="6"/>
  <c r="I9" i="6"/>
  <c r="H9" i="6"/>
  <c r="G9" i="6"/>
  <c r="F9" i="6"/>
  <c r="E9" i="6"/>
  <c r="D9" i="6"/>
  <c r="C9" i="6"/>
  <c r="L8" i="6"/>
  <c r="K8" i="6"/>
  <c r="J8" i="6"/>
  <c r="I8" i="6"/>
  <c r="H8" i="6"/>
  <c r="G8" i="6"/>
  <c r="F8" i="6"/>
  <c r="E8" i="6"/>
  <c r="D8" i="6"/>
  <c r="C8" i="6"/>
  <c r="M8" i="6" s="1"/>
  <c r="L7" i="6"/>
  <c r="K7" i="6"/>
  <c r="J7" i="6"/>
  <c r="I7" i="6"/>
  <c r="H7" i="6"/>
  <c r="G7" i="6"/>
  <c r="F7" i="6"/>
  <c r="E7" i="6"/>
  <c r="D7" i="6"/>
  <c r="C7" i="6"/>
  <c r="L6" i="6"/>
  <c r="K6" i="6"/>
  <c r="J6" i="6"/>
  <c r="I6" i="6"/>
  <c r="H6" i="6"/>
  <c r="G6" i="6"/>
  <c r="F6" i="6"/>
  <c r="E6" i="6"/>
  <c r="M6" i="6" s="1"/>
  <c r="D6" i="6"/>
  <c r="C6" i="6"/>
  <c r="L5" i="6"/>
  <c r="K5" i="6"/>
  <c r="J5" i="6"/>
  <c r="I5" i="6"/>
  <c r="H5" i="6"/>
  <c r="G5" i="6"/>
  <c r="F5" i="6"/>
  <c r="E5" i="6"/>
  <c r="M5" i="6" s="1"/>
  <c r="D5" i="6"/>
  <c r="C5" i="6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I20" i="5"/>
  <c r="H20" i="5"/>
  <c r="F20" i="5"/>
  <c r="M19" i="5"/>
  <c r="L18" i="5"/>
  <c r="K18" i="5"/>
  <c r="J18" i="5"/>
  <c r="I18" i="5"/>
  <c r="H18" i="5"/>
  <c r="G18" i="5"/>
  <c r="F18" i="5"/>
  <c r="E18" i="5"/>
  <c r="M18" i="5" s="1"/>
  <c r="D18" i="5"/>
  <c r="C18" i="5"/>
  <c r="M17" i="5"/>
  <c r="M16" i="5"/>
  <c r="M15" i="5"/>
  <c r="L14" i="5"/>
  <c r="K14" i="5"/>
  <c r="J14" i="5"/>
  <c r="I14" i="5"/>
  <c r="H14" i="5"/>
  <c r="G14" i="5"/>
  <c r="F14" i="5"/>
  <c r="E14" i="5"/>
  <c r="D14" i="5"/>
  <c r="C14" i="5"/>
  <c r="M13" i="5"/>
  <c r="M12" i="5"/>
  <c r="M11" i="5"/>
  <c r="M10" i="5"/>
  <c r="M9" i="5"/>
  <c r="L8" i="5"/>
  <c r="L20" i="5" s="1"/>
  <c r="K8" i="5"/>
  <c r="K20" i="5" s="1"/>
  <c r="J8" i="5"/>
  <c r="I8" i="5"/>
  <c r="H8" i="5"/>
  <c r="G8" i="5"/>
  <c r="G20" i="5" s="1"/>
  <c r="F8" i="5"/>
  <c r="E8" i="5"/>
  <c r="D8" i="5"/>
  <c r="D20" i="5" s="1"/>
  <c r="C8" i="5"/>
  <c r="M7" i="5"/>
  <c r="M6" i="5"/>
  <c r="M5" i="5"/>
  <c r="L140" i="4"/>
  <c r="J140" i="4"/>
  <c r="F140" i="4"/>
  <c r="L139" i="4"/>
  <c r="K139" i="4"/>
  <c r="J139" i="4"/>
  <c r="I139" i="4"/>
  <c r="H139" i="4"/>
  <c r="G139" i="4"/>
  <c r="F139" i="4"/>
  <c r="E139" i="4"/>
  <c r="M139" i="4" s="1"/>
  <c r="D139" i="4"/>
  <c r="C139" i="4"/>
  <c r="M138" i="4"/>
  <c r="M137" i="4"/>
  <c r="M136" i="4"/>
  <c r="M135" i="4"/>
  <c r="M134" i="4"/>
  <c r="L133" i="4"/>
  <c r="K133" i="4"/>
  <c r="K140" i="4" s="1"/>
  <c r="J133" i="4"/>
  <c r="I133" i="4"/>
  <c r="I140" i="4" s="1"/>
  <c r="H133" i="4"/>
  <c r="H140" i="4" s="1"/>
  <c r="G133" i="4"/>
  <c r="G140" i="4" s="1"/>
  <c r="F133" i="4"/>
  <c r="E133" i="4"/>
  <c r="M133" i="4" s="1"/>
  <c r="D133" i="4"/>
  <c r="D140" i="4" s="1"/>
  <c r="C133" i="4"/>
  <c r="C140" i="4" s="1"/>
  <c r="M132" i="4"/>
  <c r="M131" i="4"/>
  <c r="L129" i="4"/>
  <c r="K129" i="4"/>
  <c r="J129" i="4"/>
  <c r="I129" i="4"/>
  <c r="H129" i="4"/>
  <c r="G129" i="4"/>
  <c r="F129" i="4"/>
  <c r="E129" i="4"/>
  <c r="M129" i="4" s="1"/>
  <c r="D129" i="4"/>
  <c r="C129" i="4"/>
  <c r="M128" i="4"/>
  <c r="L127" i="4"/>
  <c r="L130" i="4" s="1"/>
  <c r="K127" i="4"/>
  <c r="K130" i="4" s="1"/>
  <c r="I127" i="4"/>
  <c r="I130" i="4" s="1"/>
  <c r="I141" i="4" s="1"/>
  <c r="D127" i="4"/>
  <c r="C127" i="4"/>
  <c r="M126" i="4"/>
  <c r="M125" i="4"/>
  <c r="M124" i="4"/>
  <c r="M123" i="4"/>
  <c r="M122" i="4"/>
  <c r="M121" i="4"/>
  <c r="L120" i="4"/>
  <c r="K120" i="4"/>
  <c r="J120" i="4"/>
  <c r="I120" i="4"/>
  <c r="H120" i="4"/>
  <c r="G120" i="4"/>
  <c r="F120" i="4"/>
  <c r="E120" i="4"/>
  <c r="D120" i="4"/>
  <c r="C120" i="4"/>
  <c r="L119" i="4"/>
  <c r="K119" i="4"/>
  <c r="J119" i="4"/>
  <c r="I119" i="4"/>
  <c r="H119" i="4"/>
  <c r="G119" i="4"/>
  <c r="F119" i="4"/>
  <c r="E119" i="4"/>
  <c r="M119" i="4" s="1"/>
  <c r="D119" i="4"/>
  <c r="C119" i="4"/>
  <c r="L118" i="4"/>
  <c r="K118" i="4"/>
  <c r="J118" i="4"/>
  <c r="I118" i="4"/>
  <c r="H118" i="4"/>
  <c r="G118" i="4"/>
  <c r="F118" i="4"/>
  <c r="E118" i="4"/>
  <c r="D118" i="4"/>
  <c r="C118" i="4"/>
  <c r="M117" i="4"/>
  <c r="M116" i="4"/>
  <c r="M115" i="4"/>
  <c r="L113" i="4"/>
  <c r="K113" i="4"/>
  <c r="I113" i="4"/>
  <c r="C113" i="4"/>
  <c r="L112" i="4"/>
  <c r="K112" i="4"/>
  <c r="J112" i="4"/>
  <c r="I112" i="4"/>
  <c r="H112" i="4"/>
  <c r="G112" i="4"/>
  <c r="F112" i="4"/>
  <c r="E112" i="4"/>
  <c r="D112" i="4"/>
  <c r="C112" i="4"/>
  <c r="M112" i="4" s="1"/>
  <c r="M111" i="4"/>
  <c r="M110" i="4"/>
  <c r="M109" i="4"/>
  <c r="M108" i="4"/>
  <c r="M107" i="4"/>
  <c r="L106" i="4"/>
  <c r="K106" i="4"/>
  <c r="J106" i="4"/>
  <c r="J113" i="4" s="1"/>
  <c r="I106" i="4"/>
  <c r="H106" i="4"/>
  <c r="H113" i="4" s="1"/>
  <c r="G106" i="4"/>
  <c r="G113" i="4" s="1"/>
  <c r="F106" i="4"/>
  <c r="F113" i="4" s="1"/>
  <c r="E106" i="4"/>
  <c r="E113" i="4" s="1"/>
  <c r="D106" i="4"/>
  <c r="D113" i="4" s="1"/>
  <c r="C106" i="4"/>
  <c r="M105" i="4"/>
  <c r="M104" i="4"/>
  <c r="C103" i="4"/>
  <c r="L102" i="4"/>
  <c r="K102" i="4"/>
  <c r="J102" i="4"/>
  <c r="I102" i="4"/>
  <c r="H102" i="4"/>
  <c r="G102" i="4"/>
  <c r="F102" i="4"/>
  <c r="E102" i="4"/>
  <c r="D102" i="4"/>
  <c r="C102" i="4"/>
  <c r="M101" i="4"/>
  <c r="K100" i="4"/>
  <c r="K103" i="4" s="1"/>
  <c r="J100" i="4"/>
  <c r="J103" i="4" s="1"/>
  <c r="H100" i="4"/>
  <c r="H103" i="4" s="1"/>
  <c r="H114" i="4" s="1"/>
  <c r="C100" i="4"/>
  <c r="M99" i="4"/>
  <c r="M98" i="4"/>
  <c r="M97" i="4"/>
  <c r="M96" i="4"/>
  <c r="M95" i="4"/>
  <c r="M94" i="4"/>
  <c r="L93" i="4"/>
  <c r="K93" i="4"/>
  <c r="J93" i="4"/>
  <c r="I93" i="4"/>
  <c r="H93" i="4"/>
  <c r="G93" i="4"/>
  <c r="F93" i="4"/>
  <c r="E93" i="4"/>
  <c r="D93" i="4"/>
  <c r="C93" i="4"/>
  <c r="L92" i="4"/>
  <c r="K92" i="4"/>
  <c r="J92" i="4"/>
  <c r="I92" i="4"/>
  <c r="H92" i="4"/>
  <c r="G92" i="4"/>
  <c r="F92" i="4"/>
  <c r="E92" i="4"/>
  <c r="D92" i="4"/>
  <c r="C92" i="4"/>
  <c r="L91" i="4"/>
  <c r="K91" i="4"/>
  <c r="J91" i="4"/>
  <c r="I91" i="4"/>
  <c r="H91" i="4"/>
  <c r="G91" i="4"/>
  <c r="F91" i="4"/>
  <c r="E91" i="4"/>
  <c r="D91" i="4"/>
  <c r="C91" i="4"/>
  <c r="M91" i="4" s="1"/>
  <c r="M90" i="4"/>
  <c r="M89" i="4"/>
  <c r="M88" i="4"/>
  <c r="G87" i="4"/>
  <c r="L86" i="4"/>
  <c r="J86" i="4"/>
  <c r="H86" i="4"/>
  <c r="L85" i="4"/>
  <c r="K85" i="4"/>
  <c r="J85" i="4"/>
  <c r="I85" i="4"/>
  <c r="H85" i="4"/>
  <c r="G85" i="4"/>
  <c r="F85" i="4"/>
  <c r="E85" i="4"/>
  <c r="D85" i="4"/>
  <c r="C85" i="4"/>
  <c r="M85" i="4" s="1"/>
  <c r="M84" i="4"/>
  <c r="M83" i="4"/>
  <c r="M82" i="4"/>
  <c r="M81" i="4"/>
  <c r="M80" i="4"/>
  <c r="L79" i="4"/>
  <c r="K79" i="4"/>
  <c r="K86" i="4" s="1"/>
  <c r="J79" i="4"/>
  <c r="I79" i="4"/>
  <c r="I86" i="4" s="1"/>
  <c r="H79" i="4"/>
  <c r="G79" i="4"/>
  <c r="G86" i="4" s="1"/>
  <c r="F79" i="4"/>
  <c r="F86" i="4" s="1"/>
  <c r="E79" i="4"/>
  <c r="E86" i="4" s="1"/>
  <c r="D79" i="4"/>
  <c r="D86" i="4" s="1"/>
  <c r="C79" i="4"/>
  <c r="C86" i="4" s="1"/>
  <c r="M78" i="4"/>
  <c r="M77" i="4"/>
  <c r="L75" i="4"/>
  <c r="K75" i="4"/>
  <c r="J75" i="4"/>
  <c r="I75" i="4"/>
  <c r="H75" i="4"/>
  <c r="G75" i="4"/>
  <c r="F75" i="4"/>
  <c r="E75" i="4"/>
  <c r="D75" i="4"/>
  <c r="C75" i="4"/>
  <c r="M74" i="4"/>
  <c r="J73" i="4"/>
  <c r="J76" i="4" s="1"/>
  <c r="I73" i="4"/>
  <c r="I76" i="4" s="1"/>
  <c r="G73" i="4"/>
  <c r="G76" i="4" s="1"/>
  <c r="M72" i="4"/>
  <c r="M71" i="4"/>
  <c r="M70" i="4"/>
  <c r="M69" i="4"/>
  <c r="M68" i="4"/>
  <c r="M67" i="4"/>
  <c r="L66" i="4"/>
  <c r="K66" i="4"/>
  <c r="J66" i="4"/>
  <c r="I66" i="4"/>
  <c r="H66" i="4"/>
  <c r="G66" i="4"/>
  <c r="F66" i="4"/>
  <c r="E66" i="4"/>
  <c r="D66" i="4"/>
  <c r="C66" i="4"/>
  <c r="L65" i="4"/>
  <c r="K65" i="4"/>
  <c r="J65" i="4"/>
  <c r="I65" i="4"/>
  <c r="H65" i="4"/>
  <c r="G65" i="4"/>
  <c r="F65" i="4"/>
  <c r="E65" i="4"/>
  <c r="D65" i="4"/>
  <c r="C65" i="4"/>
  <c r="M65" i="4" s="1"/>
  <c r="L64" i="4"/>
  <c r="K64" i="4"/>
  <c r="J64" i="4"/>
  <c r="I64" i="4"/>
  <c r="H64" i="4"/>
  <c r="G64" i="4"/>
  <c r="F64" i="4"/>
  <c r="E64" i="4"/>
  <c r="D64" i="4"/>
  <c r="C64" i="4"/>
  <c r="M63" i="4"/>
  <c r="M62" i="4"/>
  <c r="M61" i="4"/>
  <c r="F60" i="4"/>
  <c r="K59" i="4"/>
  <c r="I59" i="4"/>
  <c r="G59" i="4"/>
  <c r="C59" i="4"/>
  <c r="L58" i="4"/>
  <c r="K58" i="4"/>
  <c r="J58" i="4"/>
  <c r="I58" i="4"/>
  <c r="H58" i="4"/>
  <c r="G58" i="4"/>
  <c r="F58" i="4"/>
  <c r="E58" i="4"/>
  <c r="D58" i="4"/>
  <c r="M58" i="4" s="1"/>
  <c r="C58" i="4"/>
  <c r="M57" i="4"/>
  <c r="M56" i="4"/>
  <c r="M55" i="4"/>
  <c r="M54" i="4"/>
  <c r="M53" i="4"/>
  <c r="L52" i="4"/>
  <c r="L59" i="4" s="1"/>
  <c r="K52" i="4"/>
  <c r="J52" i="4"/>
  <c r="J59" i="4" s="1"/>
  <c r="I52" i="4"/>
  <c r="H52" i="4"/>
  <c r="H59" i="4" s="1"/>
  <c r="G52" i="4"/>
  <c r="F52" i="4"/>
  <c r="F59" i="4" s="1"/>
  <c r="E52" i="4"/>
  <c r="E59" i="4" s="1"/>
  <c r="D52" i="4"/>
  <c r="D59" i="4" s="1"/>
  <c r="C52" i="4"/>
  <c r="M51" i="4"/>
  <c r="M50" i="4"/>
  <c r="L48" i="4"/>
  <c r="K48" i="4"/>
  <c r="J48" i="4"/>
  <c r="I48" i="4"/>
  <c r="H48" i="4"/>
  <c r="G48" i="4"/>
  <c r="F48" i="4"/>
  <c r="E48" i="4"/>
  <c r="D48" i="4"/>
  <c r="M48" i="4" s="1"/>
  <c r="C48" i="4"/>
  <c r="M47" i="4"/>
  <c r="I46" i="4"/>
  <c r="I49" i="4" s="1"/>
  <c r="H46" i="4"/>
  <c r="H49" i="4" s="1"/>
  <c r="F46" i="4"/>
  <c r="F49" i="4" s="1"/>
  <c r="M45" i="4"/>
  <c r="M44" i="4"/>
  <c r="M43" i="4"/>
  <c r="M42" i="4"/>
  <c r="M41" i="4"/>
  <c r="M40" i="4"/>
  <c r="L39" i="4"/>
  <c r="K39" i="4"/>
  <c r="J39" i="4"/>
  <c r="I39" i="4"/>
  <c r="H39" i="4"/>
  <c r="G39" i="4"/>
  <c r="F39" i="4"/>
  <c r="E39" i="4"/>
  <c r="D39" i="4"/>
  <c r="C39" i="4"/>
  <c r="L38" i="4"/>
  <c r="K38" i="4"/>
  <c r="J38" i="4"/>
  <c r="I38" i="4"/>
  <c r="H38" i="4"/>
  <c r="G38" i="4"/>
  <c r="F38" i="4"/>
  <c r="E38" i="4"/>
  <c r="D38" i="4"/>
  <c r="M38" i="4" s="1"/>
  <c r="C38" i="4"/>
  <c r="L37" i="4"/>
  <c r="K37" i="4"/>
  <c r="J37" i="4"/>
  <c r="I37" i="4"/>
  <c r="H37" i="4"/>
  <c r="H60" i="4" s="1"/>
  <c r="G37" i="4"/>
  <c r="F37" i="4"/>
  <c r="E37" i="4"/>
  <c r="D37" i="4"/>
  <c r="C37" i="4"/>
  <c r="M36" i="4"/>
  <c r="M35" i="4"/>
  <c r="M34" i="4"/>
  <c r="J32" i="4"/>
  <c r="H32" i="4"/>
  <c r="F32" i="4"/>
  <c r="L31" i="4"/>
  <c r="K31" i="4"/>
  <c r="J31" i="4"/>
  <c r="I31" i="4"/>
  <c r="H31" i="4"/>
  <c r="G31" i="4"/>
  <c r="F31" i="4"/>
  <c r="E31" i="4"/>
  <c r="D31" i="4"/>
  <c r="C31" i="4"/>
  <c r="M31" i="4" s="1"/>
  <c r="M30" i="4"/>
  <c r="M29" i="4"/>
  <c r="M28" i="4"/>
  <c r="M27" i="4"/>
  <c r="M26" i="4"/>
  <c r="L25" i="4"/>
  <c r="L32" i="4" s="1"/>
  <c r="K25" i="4"/>
  <c r="J25" i="4"/>
  <c r="I25" i="4"/>
  <c r="I32" i="4" s="1"/>
  <c r="H25" i="4"/>
  <c r="G25" i="4"/>
  <c r="G32" i="4" s="1"/>
  <c r="F25" i="4"/>
  <c r="E25" i="4"/>
  <c r="E32" i="4" s="1"/>
  <c r="D25" i="4"/>
  <c r="C25" i="4"/>
  <c r="M24" i="4"/>
  <c r="M23" i="4"/>
  <c r="L21" i="4"/>
  <c r="K21" i="4"/>
  <c r="J21" i="4"/>
  <c r="I21" i="4"/>
  <c r="H21" i="4"/>
  <c r="G21" i="4"/>
  <c r="F21" i="4"/>
  <c r="E21" i="4"/>
  <c r="D21" i="4"/>
  <c r="C21" i="4"/>
  <c r="M20" i="4"/>
  <c r="H19" i="4"/>
  <c r="H22" i="4" s="1"/>
  <c r="G19" i="4"/>
  <c r="G22" i="4" s="1"/>
  <c r="E19" i="4"/>
  <c r="M18" i="4"/>
  <c r="M17" i="4"/>
  <c r="M16" i="4"/>
  <c r="M15" i="4"/>
  <c r="M14" i="4"/>
  <c r="M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M9" i="4"/>
  <c r="M8" i="4"/>
  <c r="M7" i="4"/>
  <c r="L5" i="4"/>
  <c r="K5" i="4"/>
  <c r="J5" i="4"/>
  <c r="I5" i="4"/>
  <c r="H5" i="4"/>
  <c r="G5" i="4"/>
  <c r="F5" i="4"/>
  <c r="E5" i="4"/>
  <c r="D5" i="4"/>
  <c r="C5" i="4"/>
  <c r="H7" i="3"/>
  <c r="F7" i="3"/>
  <c r="D7" i="3"/>
  <c r="K6" i="3"/>
  <c r="J6" i="3"/>
  <c r="I6" i="3"/>
  <c r="H6" i="3"/>
  <c r="G6" i="3"/>
  <c r="G7" i="3" s="1"/>
  <c r="F6" i="3"/>
  <c r="E6" i="3"/>
  <c r="D6" i="3"/>
  <c r="C6" i="3"/>
  <c r="B6" i="3"/>
  <c r="K5" i="3"/>
  <c r="K7" i="3" s="1"/>
  <c r="J5" i="3"/>
  <c r="J7" i="3" s="1"/>
  <c r="I5" i="3"/>
  <c r="I7" i="3" s="1"/>
  <c r="H5" i="3"/>
  <c r="G5" i="3"/>
  <c r="F5" i="3"/>
  <c r="E5" i="3"/>
  <c r="E7" i="3" s="1"/>
  <c r="D5" i="3"/>
  <c r="C5" i="3"/>
  <c r="C7" i="3" s="1"/>
  <c r="B5" i="3"/>
  <c r="B7" i="3" s="1"/>
  <c r="K43" i="2"/>
  <c r="J43" i="2"/>
  <c r="I43" i="2"/>
  <c r="H43" i="2"/>
  <c r="G43" i="2"/>
  <c r="F43" i="2"/>
  <c r="E43" i="2"/>
  <c r="D43" i="2"/>
  <c r="C43" i="2"/>
  <c r="B43" i="2"/>
  <c r="F37" i="2"/>
  <c r="J36" i="2"/>
  <c r="B36" i="2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1" i="2"/>
  <c r="J31" i="2"/>
  <c r="I31" i="2"/>
  <c r="H31" i="2"/>
  <c r="G31" i="2"/>
  <c r="F31" i="2"/>
  <c r="E31" i="2"/>
  <c r="D31" i="2"/>
  <c r="C31" i="2"/>
  <c r="K28" i="2"/>
  <c r="J28" i="2"/>
  <c r="I28" i="2"/>
  <c r="H28" i="2"/>
  <c r="G28" i="2"/>
  <c r="F28" i="2"/>
  <c r="E28" i="2"/>
  <c r="D28" i="2"/>
  <c r="C28" i="2"/>
  <c r="K27" i="2"/>
  <c r="J27" i="2"/>
  <c r="I27" i="2"/>
  <c r="H27" i="2"/>
  <c r="G27" i="2"/>
  <c r="F27" i="2"/>
  <c r="E27" i="2"/>
  <c r="D27" i="2"/>
  <c r="C27" i="2"/>
  <c r="K26" i="2"/>
  <c r="J26" i="2"/>
  <c r="I26" i="2"/>
  <c r="H26" i="2"/>
  <c r="G26" i="2"/>
  <c r="F26" i="2"/>
  <c r="E26" i="2"/>
  <c r="D26" i="2"/>
  <c r="C26" i="2"/>
  <c r="B26" i="2"/>
  <c r="B21" i="2"/>
  <c r="B31" i="2" s="1"/>
  <c r="L8" i="2"/>
  <c r="M5" i="4" l="1"/>
  <c r="E140" i="4"/>
  <c r="D130" i="4"/>
  <c r="M140" i="4"/>
  <c r="M120" i="4"/>
  <c r="M102" i="4"/>
  <c r="M75" i="4"/>
  <c r="E22" i="4"/>
  <c r="E33" i="4"/>
  <c r="M10" i="4"/>
  <c r="M86" i="4"/>
  <c r="C39" i="2"/>
  <c r="C38" i="2"/>
  <c r="K39" i="2"/>
  <c r="K38" i="2"/>
  <c r="G141" i="4"/>
  <c r="L7" i="3"/>
  <c r="M52" i="4"/>
  <c r="L36" i="2"/>
  <c r="M64" i="4"/>
  <c r="K87" i="4"/>
  <c r="E130" i="9"/>
  <c r="E126" i="9"/>
  <c r="M37" i="4"/>
  <c r="L87" i="4"/>
  <c r="J114" i="4"/>
  <c r="M118" i="4"/>
  <c r="K141" i="4"/>
  <c r="J20" i="5"/>
  <c r="M14" i="5"/>
  <c r="M7" i="6"/>
  <c r="M24" i="6"/>
  <c r="I28" i="6"/>
  <c r="H37" i="2" s="1"/>
  <c r="H38" i="2" s="1"/>
  <c r="G9" i="7"/>
  <c r="F36" i="2" s="1"/>
  <c r="D39" i="2"/>
  <c r="M6" i="7"/>
  <c r="M25" i="4"/>
  <c r="C32" i="4"/>
  <c r="K32" i="4"/>
  <c r="K114" i="4"/>
  <c r="D141" i="4"/>
  <c r="L141" i="4"/>
  <c r="C20" i="5"/>
  <c r="M8" i="5"/>
  <c r="C28" i="6"/>
  <c r="H130" i="4"/>
  <c r="H141" i="4" s="1"/>
  <c r="H9" i="7"/>
  <c r="G36" i="2" s="1"/>
  <c r="E132" i="9"/>
  <c r="L5" i="3"/>
  <c r="M11" i="4"/>
  <c r="M79" i="4"/>
  <c r="M92" i="4"/>
  <c r="M106" i="4"/>
  <c r="E20" i="5"/>
  <c r="M12" i="6"/>
  <c r="L6" i="3"/>
  <c r="M66" i="4"/>
  <c r="M113" i="4"/>
  <c r="M9" i="6"/>
  <c r="E28" i="6"/>
  <c r="D37" i="2" s="1"/>
  <c r="D38" i="2" s="1"/>
  <c r="M26" i="6"/>
  <c r="M8" i="7"/>
  <c r="B27" i="2"/>
  <c r="B28" i="2" s="1"/>
  <c r="J39" i="2"/>
  <c r="J38" i="2"/>
  <c r="M21" i="4"/>
  <c r="M59" i="4"/>
  <c r="M15" i="6"/>
  <c r="I60" i="4"/>
  <c r="M39" i="4"/>
  <c r="H39" i="2"/>
  <c r="G33" i="4"/>
  <c r="M12" i="4"/>
  <c r="I87" i="4"/>
  <c r="M93" i="4"/>
  <c r="M16" i="6"/>
  <c r="F28" i="6"/>
  <c r="E37" i="2" s="1"/>
  <c r="E39" i="2" s="1"/>
  <c r="J9" i="7"/>
  <c r="I36" i="2" s="1"/>
  <c r="E131" i="9"/>
  <c r="D32" i="4"/>
  <c r="H33" i="4"/>
  <c r="J87" i="4"/>
  <c r="C130" i="4"/>
  <c r="M10" i="6"/>
  <c r="M20" i="6"/>
  <c r="M23" i="6"/>
  <c r="M5" i="7"/>
  <c r="E98" i="9"/>
  <c r="E94" i="9"/>
  <c r="F19" i="4"/>
  <c r="F22" i="4" s="1"/>
  <c r="F33" i="4" s="1"/>
  <c r="G46" i="4"/>
  <c r="G49" i="4" s="1"/>
  <c r="G60" i="4" s="1"/>
  <c r="H73" i="4"/>
  <c r="H76" i="4" s="1"/>
  <c r="H87" i="4" s="1"/>
  <c r="I100" i="4"/>
  <c r="I103" i="4" s="1"/>
  <c r="I114" i="4" s="1"/>
  <c r="J127" i="4"/>
  <c r="J130" i="4" s="1"/>
  <c r="J141" i="4" s="1"/>
  <c r="E93" i="9"/>
  <c r="E97" i="9"/>
  <c r="E125" i="9"/>
  <c r="E129" i="9"/>
  <c r="E133" i="9"/>
  <c r="K73" i="4"/>
  <c r="K76" i="4" s="1"/>
  <c r="L100" i="4"/>
  <c r="L103" i="4" s="1"/>
  <c r="L114" i="4" s="1"/>
  <c r="J19" i="4"/>
  <c r="J22" i="4" s="1"/>
  <c r="J33" i="4" s="1"/>
  <c r="J142" i="4" s="1"/>
  <c r="J143" i="4" s="1"/>
  <c r="J144" i="4" s="1"/>
  <c r="C46" i="4"/>
  <c r="K46" i="4"/>
  <c r="K49" i="4" s="1"/>
  <c r="K60" i="4" s="1"/>
  <c r="D73" i="4"/>
  <c r="D76" i="4" s="1"/>
  <c r="D87" i="4" s="1"/>
  <c r="L73" i="4"/>
  <c r="L76" i="4" s="1"/>
  <c r="E100" i="4"/>
  <c r="E103" i="4" s="1"/>
  <c r="E114" i="4" s="1"/>
  <c r="C114" i="4"/>
  <c r="F127" i="4"/>
  <c r="F130" i="4" s="1"/>
  <c r="F141" i="4" s="1"/>
  <c r="E91" i="9"/>
  <c r="E95" i="9"/>
  <c r="E99" i="9"/>
  <c r="E123" i="9"/>
  <c r="E127" i="9"/>
  <c r="E127" i="4"/>
  <c r="E130" i="4" s="1"/>
  <c r="E141" i="4" s="1"/>
  <c r="C19" i="4"/>
  <c r="K19" i="4"/>
  <c r="K22" i="4" s="1"/>
  <c r="K33" i="4" s="1"/>
  <c r="D46" i="4"/>
  <c r="D49" i="4" s="1"/>
  <c r="D60" i="4" s="1"/>
  <c r="L46" i="4"/>
  <c r="L49" i="4" s="1"/>
  <c r="L60" i="4" s="1"/>
  <c r="E73" i="4"/>
  <c r="E76" i="4" s="1"/>
  <c r="E87" i="4" s="1"/>
  <c r="F100" i="4"/>
  <c r="F103" i="4" s="1"/>
  <c r="F114" i="4" s="1"/>
  <c r="G127" i="4"/>
  <c r="G130" i="4" s="1"/>
  <c r="I19" i="4"/>
  <c r="I22" i="4" s="1"/>
  <c r="I33" i="4" s="1"/>
  <c r="J46" i="4"/>
  <c r="J49" i="4" s="1"/>
  <c r="J60" i="4" s="1"/>
  <c r="C73" i="4"/>
  <c r="D100" i="4"/>
  <c r="D103" i="4" s="1"/>
  <c r="D114" i="4" s="1"/>
  <c r="D19" i="4"/>
  <c r="D22" i="4" s="1"/>
  <c r="L19" i="4"/>
  <c r="L22" i="4" s="1"/>
  <c r="L33" i="4" s="1"/>
  <c r="L142" i="4" s="1"/>
  <c r="L143" i="4" s="1"/>
  <c r="L144" i="4" s="1"/>
  <c r="E46" i="4"/>
  <c r="E49" i="4" s="1"/>
  <c r="E60" i="4" s="1"/>
  <c r="F73" i="4"/>
  <c r="F76" i="4" s="1"/>
  <c r="F87" i="4" s="1"/>
  <c r="G100" i="4"/>
  <c r="G103" i="4" s="1"/>
  <c r="G114" i="4" s="1"/>
  <c r="E92" i="9"/>
  <c r="E96" i="9"/>
  <c r="E124" i="9"/>
  <c r="E128" i="9"/>
  <c r="E142" i="4" l="1"/>
  <c r="E143" i="4" s="1"/>
  <c r="E144" i="4" s="1"/>
  <c r="D33" i="4"/>
  <c r="D142" i="4" s="1"/>
  <c r="D143" i="4" s="1"/>
  <c r="D144" i="4" s="1"/>
  <c r="I142" i="4"/>
  <c r="I143" i="4" s="1"/>
  <c r="I144" i="4" s="1"/>
  <c r="F142" i="4"/>
  <c r="F143" i="4" s="1"/>
  <c r="F144" i="4" s="1"/>
  <c r="K142" i="4"/>
  <c r="K143" i="4" s="1"/>
  <c r="K144" i="4" s="1"/>
  <c r="G142" i="4"/>
  <c r="G143" i="4" s="1"/>
  <c r="G144" i="4" s="1"/>
  <c r="E38" i="2"/>
  <c r="M46" i="4"/>
  <c r="C49" i="4"/>
  <c r="I39" i="2"/>
  <c r="I38" i="2"/>
  <c r="H142" i="4"/>
  <c r="H143" i="4" s="1"/>
  <c r="H144" i="4" s="1"/>
  <c r="C22" i="4"/>
  <c r="M19" i="4"/>
  <c r="M32" i="4"/>
  <c r="B37" i="2"/>
  <c r="M28" i="6"/>
  <c r="C9" i="8" s="1"/>
  <c r="C17" i="8" s="1"/>
  <c r="M73" i="4"/>
  <c r="C76" i="4"/>
  <c r="M103" i="4"/>
  <c r="M114" i="4"/>
  <c r="M130" i="4"/>
  <c r="M100" i="4"/>
  <c r="M127" i="4"/>
  <c r="G38" i="2"/>
  <c r="G39" i="2"/>
  <c r="M20" i="5"/>
  <c r="C8" i="8" s="1"/>
  <c r="C141" i="4"/>
  <c r="M141" i="4" s="1"/>
  <c r="M9" i="7"/>
  <c r="C10" i="8" s="1"/>
  <c r="C18" i="8" s="1"/>
  <c r="F38" i="2"/>
  <c r="F39" i="2"/>
  <c r="M22" i="4" l="1"/>
  <c r="C33" i="4"/>
  <c r="M49" i="4"/>
  <c r="C60" i="4"/>
  <c r="M60" i="4" s="1"/>
  <c r="M76" i="4"/>
  <c r="C87" i="4"/>
  <c r="M87" i="4" s="1"/>
  <c r="L37" i="2"/>
  <c r="B39" i="2"/>
  <c r="B38" i="2"/>
  <c r="L38" i="2" s="1"/>
  <c r="C16" i="8"/>
  <c r="C142" i="4" l="1"/>
  <c r="M33" i="4"/>
  <c r="M142" i="4" l="1"/>
  <c r="C143" i="4"/>
  <c r="M143" i="4" l="1"/>
  <c r="C144" i="4"/>
  <c r="M144" i="4" s="1"/>
  <c r="C7" i="8" s="1"/>
  <c r="C15" i="8" l="1"/>
  <c r="C19" i="8" s="1"/>
  <c r="C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14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======
ID#AAAAmxMNqnc
MYNARD Louise    (2023-01-02 10:21:26)
MYNARD Louise
attente de la modif texte méthode pour préciser unités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or6o8afWAljJUTizjTa7RPdqNcg=="/>
    </ext>
  </extLst>
</comments>
</file>

<file path=xl/sharedStrings.xml><?xml version="1.0" encoding="utf-8"?>
<sst xmlns="http://schemas.openxmlformats.org/spreadsheetml/2006/main" count="886" uniqueCount="352">
  <si>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</si>
  <si>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</si>
  <si>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sz val="14"/>
        <color theme="1"/>
        <rFont val="Calibri"/>
        <family val="2"/>
      </rP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 xml:space="preserve">un onglet </t>
    </r>
    <r>
      <rPr>
        <b/>
        <sz val="14"/>
        <color theme="1"/>
        <rFont val="Calibri"/>
        <family val="2"/>
      </rPr>
      <t xml:space="preserve">Eligibilité_projet </t>
    </r>
    <r>
      <rPr>
        <sz val="14"/>
        <color theme="1"/>
        <rFont val="Calibri"/>
        <family val="2"/>
      </rPr>
      <t xml:space="preserve">où le porteur de projet </t>
    </r>
    <r>
      <rPr>
        <u/>
        <sz val="14"/>
        <color theme="1"/>
        <rFont val="Calibri"/>
        <family val="2"/>
      </rPr>
      <t>doit renseigner</t>
    </r>
    <r>
      <rPr>
        <sz val="14"/>
        <color theme="1"/>
        <rFont val="Calibri"/>
        <family val="2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charset val="2"/>
      </rPr>
      <t xml:space="preserve">® </t>
    </r>
    <r>
      <rPr>
        <sz val="14"/>
        <color theme="1"/>
        <rFont val="Calibri"/>
        <family val="2"/>
      </rPr>
      <t xml:space="preserve">un onglet </t>
    </r>
    <r>
      <rPr>
        <b/>
        <sz val="14"/>
        <color theme="1"/>
        <rFont val="Calibri"/>
        <family val="2"/>
      </rPr>
      <t>RECeff + REIamont (1)</t>
    </r>
    <r>
      <rPr>
        <sz val="12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 xml:space="preserve">que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</rPr>
      <t xml:space="preserve">S'il choisit cette option, l'onglet suivant, </t>
    </r>
    <r>
      <rPr>
        <b/>
        <u/>
        <sz val="14"/>
        <color theme="1"/>
        <rFont val="Calibri"/>
        <family val="2"/>
      </rPr>
      <t>RECeff + REIamont (2)</t>
    </r>
    <r>
      <rPr>
        <u/>
        <sz val="14"/>
        <color theme="1"/>
        <rFont val="Calibri"/>
        <family val="2"/>
      </rPr>
      <t xml:space="preserve"> n'est pas à compléter</t>
    </r>
    <r>
      <rPr>
        <sz val="14"/>
        <color theme="1"/>
        <rFont val="Calibri"/>
        <family val="2"/>
      </rPr>
      <t xml:space="preserve">. </t>
    </r>
    <r>
      <rPr>
        <sz val="14"/>
        <color theme="1"/>
        <rFont val="Symbol"/>
        <charset val="2"/>
      </rPr>
      <t xml:space="preserve">
® </t>
    </r>
    <r>
      <rPr>
        <sz val="14"/>
        <color theme="1"/>
        <rFont val="Calibri"/>
        <family val="2"/>
      </rPr>
      <t xml:space="preserve">un onglet </t>
    </r>
    <r>
      <rPr>
        <b/>
        <sz val="14"/>
        <color theme="1"/>
        <rFont val="Calibri"/>
        <family val="2"/>
      </rPr>
      <t>RECeff + REIamont (2)</t>
    </r>
    <r>
      <rPr>
        <sz val="14"/>
        <color theme="1"/>
        <rFont val="Calibri"/>
        <family val="2"/>
      </rPr>
      <t xml:space="preserve"> dans lequel le porteur de projet </t>
    </r>
    <r>
      <rPr>
        <u/>
        <sz val="14"/>
        <color theme="1"/>
        <rFont val="Calibri"/>
        <family val="2"/>
      </rPr>
      <t>doit renseigner</t>
    </r>
    <r>
      <rPr>
        <sz val="14"/>
        <color theme="1"/>
        <rFont val="Calibri"/>
        <family val="2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charset val="2"/>
      </rPr>
      <t xml:space="preserve">
® </t>
    </r>
    <r>
      <rPr>
        <sz val="14"/>
        <color theme="1"/>
        <rFont val="Calibri"/>
        <family val="2"/>
      </rPr>
      <t xml:space="preserve">un onglet </t>
    </r>
    <r>
      <rPr>
        <b/>
        <sz val="14"/>
        <color theme="1"/>
        <rFont val="Calibri"/>
        <family val="2"/>
      </rPr>
      <t>REIaval</t>
    </r>
    <r>
      <rPr>
        <sz val="14"/>
        <color theme="1"/>
        <rFont val="Calibri"/>
        <family val="2"/>
      </rPr>
      <t xml:space="preserve"> que le porteur de projet </t>
    </r>
    <r>
      <rPr>
        <u/>
        <sz val="14"/>
        <color theme="1"/>
        <rFont val="Calibri"/>
        <family val="2"/>
      </rPr>
      <t>peut choisir de remplir ou non</t>
    </r>
    <r>
      <rPr>
        <sz val="14"/>
        <color theme="1"/>
        <rFont val="Calibri"/>
        <family val="2"/>
      </rPr>
      <t xml:space="preserve"> s'il fait le choix de valoriser des coproduits du verger en énergie.</t>
    </r>
    <r>
      <rPr>
        <sz val="14"/>
        <color theme="1"/>
        <rFont val="Symbol"/>
        <charset val="2"/>
      </rPr>
      <t xml:space="preserve">
® </t>
    </r>
    <r>
      <rPr>
        <sz val="14"/>
        <color theme="1"/>
        <rFont val="Calibri"/>
        <family val="2"/>
      </rPr>
      <t xml:space="preserve">un onglet </t>
    </r>
    <r>
      <rPr>
        <b/>
        <sz val="14"/>
        <color theme="1"/>
        <rFont val="Calibri"/>
        <family val="2"/>
      </rPr>
      <t>RECant_biom</t>
    </r>
    <r>
      <rPr>
        <sz val="14"/>
        <color theme="1"/>
        <rFont val="Calibri"/>
        <family val="2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</t>
    </r>
    <r>
      <rPr>
        <sz val="14"/>
        <color theme="1"/>
        <rFont val="Symbol"/>
        <charset val="2"/>
      </rPr>
      <t xml:space="preserve">
® </t>
    </r>
    <r>
      <rPr>
        <sz val="14"/>
        <color theme="1"/>
        <rFont val="Calibri"/>
        <family val="2"/>
      </rPr>
      <t>un onglet</t>
    </r>
    <r>
      <rPr>
        <b/>
        <sz val="14"/>
        <color theme="1"/>
        <rFont val="Calibri"/>
        <family val="2"/>
      </rPr>
      <t xml:space="preserve"> RECant_sol</t>
    </r>
    <r>
      <rPr>
        <sz val="14"/>
        <color theme="1"/>
        <rFont val="Calibri"/>
        <family val="2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</t>
    </r>
    <r>
      <rPr>
        <sz val="14"/>
        <color theme="1"/>
        <rFont val="Symbol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</si>
  <si>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rPr>
        <sz val="14"/>
        <color theme="1"/>
        <rFont val="Calibri"/>
        <family val="2"/>
      </rPr>
      <t>Pour que le tableur fonctionne correctement, vous devez</t>
    </r>
    <r>
      <rPr>
        <b/>
        <sz val="14"/>
        <color theme="1"/>
        <rFont val="Calibri"/>
        <family val="2"/>
      </rPr>
      <t xml:space="preserve"> l'enregistrer </t>
    </r>
    <r>
      <rPr>
        <sz val="14"/>
        <color theme="1"/>
        <rFont val="Calibri"/>
        <family val="2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</rPr>
      <t xml:space="preserve"> l'enregistrer de nouveau</t>
    </r>
    <r>
      <rPr>
        <sz val="14"/>
        <color theme="1"/>
        <rFont val="Calibri"/>
        <family val="2"/>
      </rPr>
      <t xml:space="preserve"> (CTRL + S).</t>
    </r>
  </si>
  <si>
    <r>
      <rPr>
        <sz val="12"/>
        <color theme="1"/>
        <rFont val="Calibri"/>
        <family val="2"/>
      </rPr>
      <t xml:space="preserve">Si vous plantez des </t>
    </r>
    <r>
      <rPr>
        <b/>
        <sz val="12"/>
        <color theme="1"/>
        <rFont val="Calibri"/>
        <family val="2"/>
      </rPr>
      <t>pommiers et/ou des pêchers et/ou des clémentiniers</t>
    </r>
    <r>
      <rPr>
        <sz val="12"/>
        <color theme="1"/>
        <rFont val="Calibri"/>
        <family val="2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rgb="FF2F5496"/>
        <rFont val="Calibri"/>
        <family val="2"/>
      </rPr>
      <t>RECeff + REIamont (1)</t>
    </r>
    <r>
      <rPr>
        <sz val="12"/>
        <color theme="1"/>
        <rFont val="Calibri"/>
        <family val="2"/>
      </rPr>
      <t xml:space="preserve"> et vous n'avez pas à remplir l'onglet </t>
    </r>
    <r>
      <rPr>
        <sz val="12"/>
        <color rgb="FF2F5496"/>
        <rFont val="Calibri"/>
        <family val="2"/>
      </rPr>
      <t>RECeff + REIamont (2)</t>
    </r>
    <r>
      <rPr>
        <sz val="12"/>
        <color theme="1"/>
        <rFont val="Calibri"/>
        <family val="2"/>
      </rPr>
      <t xml:space="preserve">
Si non, vous devez remplir l'onflet </t>
    </r>
    <r>
      <rPr>
        <sz val="12"/>
        <color rgb="FF2F5496"/>
        <rFont val="Calibri"/>
        <family val="2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</si>
  <si>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</si>
  <si>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</si>
  <si>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</si>
  <si>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</si>
  <si>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</si>
  <si>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</si>
  <si>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</si>
  <si>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</si>
  <si>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</si>
  <si>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</si>
  <si>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</si>
  <si>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</si>
  <si>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</si>
  <si>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</si>
  <si>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</si>
  <si>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Surface parcelle (ha)</t>
  </si>
  <si>
    <t>Espèce plantée</t>
  </si>
  <si>
    <t>Pommier</t>
  </si>
  <si>
    <t>Espèce selon référentiel Agribalyse (à compléter si vous souhaitez planter des pommiers/pêchers/clémentiniers)</t>
  </si>
  <si>
    <t>Pomme de table, conventionnelle – Moyenne nationale (France)</t>
  </si>
  <si>
    <t>Type de plantation</t>
  </si>
  <si>
    <t>Axe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</si>
  <si>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</si>
  <si>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</si>
  <si>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</si>
  <si>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</si>
  <si>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</si>
  <si>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</si>
  <si>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</si>
  <si>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b/>
        <sz val="10"/>
        <color theme="1"/>
        <rFont val="Calibri"/>
        <family val="2"/>
      </rPr>
      <t xml:space="preserve">Culture en place année n-1 </t>
    </r>
    <r>
      <rPr>
        <sz val="10"/>
        <color theme="1"/>
        <rFont val="Calibri"/>
        <family val="2"/>
      </rPr>
      <t>(ou culture qui s'en rapproche le plus si elle n'est pas dans la liste, sauf cas extreme et contacter le service instructeur)</t>
    </r>
  </si>
  <si>
    <t>Maïs ensilage, conventionnel – Moyenne nationale (France)</t>
  </si>
  <si>
    <r>
      <rPr>
        <b/>
        <sz val="10"/>
        <color theme="1"/>
        <rFont val="Calibri"/>
        <family val="2"/>
      </rPr>
      <t>Culture en place année n-2 (</t>
    </r>
    <r>
      <rPr>
        <sz val="10"/>
        <color theme="1"/>
        <rFont val="Calibri"/>
        <family val="2"/>
      </rPr>
      <t>ou culture qui s'en rapproche le plus si elle n'est pas dans la liste, sauf cas extreme et contacter le service instructeur)</t>
    </r>
  </si>
  <si>
    <t>Colza, conventionnel, 9% humidité – Moyenne nationale (France)</t>
  </si>
  <si>
    <t>Culture en place année n-3  (ou culture qui s'en rapproche le plus si elle n'est pas dans la liste, sauf cas extreme et contacter le service instructeur)</t>
  </si>
  <si>
    <t>Blé tendre conventionnel, panifiable, 15% humidité</t>
  </si>
  <si>
    <r>
      <rPr>
        <b/>
        <sz val="11"/>
        <color theme="1"/>
        <rFont val="Calibri"/>
        <family val="2"/>
      </rPr>
      <t xml:space="preserve">SAU en cultures fruitières de l'exploitation avant-projet </t>
    </r>
    <r>
      <rPr>
        <b/>
        <i/>
        <sz val="10"/>
        <color theme="1"/>
        <rFont val="Calibri"/>
        <family val="2"/>
      </rPr>
      <t>(moyenne des 3 dernières années)</t>
    </r>
  </si>
  <si>
    <r>
      <rPr>
        <b/>
        <sz val="11"/>
        <color theme="1"/>
        <rFont val="Calibri"/>
        <family val="2"/>
      </rPr>
      <t>SAU en culture fruitières à l'échelle de l'exploitation en phase de projet</t>
    </r>
    <r>
      <rPr>
        <b/>
        <i/>
        <sz val="10"/>
        <color theme="1"/>
        <rFont val="Calibri"/>
        <family val="2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</si>
  <si>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</si>
  <si>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</si>
  <si>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</si>
  <si>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</si>
  <si>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</rPr>
      <t>Validation critère</t>
    </r>
    <r>
      <rPr>
        <sz val="11"/>
        <color theme="1"/>
        <rFont val="Calibri"/>
        <family val="2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</si>
  <si>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</si>
  <si>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</si>
  <si>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</si>
  <si>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</si>
  <si>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</si>
  <si>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</si>
  <si>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</si>
  <si>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</si>
  <si>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</si>
  <si>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</si>
  <si>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</si>
  <si>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</si>
  <si>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</si>
  <si>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</si>
  <si>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</si>
  <si>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</si>
  <si>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</si>
  <si>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</si>
  <si>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</si>
  <si>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</si>
  <si>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</si>
  <si>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</si>
  <si>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</si>
  <si>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</si>
  <si>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</si>
  <si>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</si>
  <si>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</si>
  <si>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</si>
  <si>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</si>
  <si>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</si>
  <si>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</si>
  <si>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</si>
  <si>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</si>
  <si>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</si>
  <si>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</si>
  <si>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</si>
  <si>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</si>
  <si>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</si>
  <si>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</si>
  <si>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</si>
  <si>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</si>
  <si>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</si>
  <si>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</si>
  <si>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</si>
  <si>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</si>
  <si>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</si>
  <si>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</si>
  <si>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</si>
  <si>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</si>
  <si>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</si>
  <si>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</si>
  <si>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</si>
  <si>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</si>
  <si>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</si>
  <si>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</si>
  <si>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</si>
  <si>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</si>
  <si>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</si>
  <si>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</si>
  <si>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</si>
  <si>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</si>
  <si>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</si>
  <si>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</si>
  <si>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</si>
  <si>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</si>
  <si>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</si>
  <si>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</si>
  <si>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</si>
  <si>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</si>
  <si>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</si>
  <si>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</si>
  <si>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</si>
  <si>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</si>
  <si>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</si>
  <si>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</si>
  <si>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</si>
  <si>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</si>
  <si>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</si>
  <si>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</si>
  <si>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</si>
  <si>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</si>
  <si>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</si>
  <si>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</si>
  <si>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</si>
  <si>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</si>
  <si>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</si>
  <si>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</si>
  <si>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</si>
  <si>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</si>
  <si>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</si>
  <si>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</si>
  <si>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</si>
  <si>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</si>
  <si>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</si>
  <si>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</si>
  <si>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</si>
  <si>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</si>
  <si>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</si>
  <si>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</si>
  <si>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</si>
  <si>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</si>
  <si>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</si>
  <si>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</si>
  <si>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</si>
  <si>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</si>
  <si>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</si>
  <si>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</si>
  <si>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</si>
  <si>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</si>
  <si>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</si>
  <si>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</si>
  <si>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</si>
  <si>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</si>
  <si>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</si>
  <si>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</si>
  <si>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</si>
  <si>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</si>
  <si>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</si>
  <si>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</si>
  <si>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</si>
  <si>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</si>
  <si>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</si>
  <si>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</si>
  <si>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</si>
  <si>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</si>
  <si>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</si>
  <si>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</si>
  <si>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</si>
  <si>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</si>
  <si>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</si>
  <si>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</si>
  <si>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</si>
  <si>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</si>
  <si>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</si>
  <si>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</si>
  <si>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</si>
  <si>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</si>
  <si>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</si>
  <si>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</si>
  <si>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</si>
  <si>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</si>
  <si>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</si>
  <si>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</si>
  <si>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</si>
  <si>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</si>
  <si>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</si>
  <si>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</si>
  <si>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</si>
  <si>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</si>
  <si>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</si>
  <si>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</si>
  <si>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</si>
  <si>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</si>
  <si>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</si>
  <si>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</si>
  <si>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</si>
  <si>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</si>
  <si>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</si>
  <si>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</si>
  <si>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</si>
  <si>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</si>
  <si>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</si>
  <si>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</si>
  <si>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</si>
  <si>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</si>
  <si>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</si>
  <si>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</si>
  <si>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</si>
  <si>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</si>
  <si>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</si>
  <si>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</si>
  <si>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</si>
  <si>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</si>
  <si>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</si>
  <si>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</si>
  <si>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</si>
  <si>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</si>
  <si>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Prunier de table</t>
  </si>
  <si>
    <t>Climat non mediterranéen</t>
  </si>
  <si>
    <t>Année du projet</t>
  </si>
  <si>
    <r>
      <rPr>
        <b/>
        <sz val="12"/>
        <color rgb="FF000000"/>
        <rFont val="Calibri"/>
        <family val="2"/>
      </rP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</si>
  <si>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rPr>
        <b/>
        <sz val="11"/>
        <color theme="1"/>
        <rFont val="Calibri"/>
        <family val="2"/>
      </rPr>
      <t xml:space="preserve">Stock </t>
    </r>
    <r>
      <rPr>
        <b/>
        <vertAlign val="subscript"/>
        <sz val="11"/>
        <color theme="1"/>
        <rFont val="Calibri"/>
        <family val="2"/>
      </rPr>
      <t>biomasse_ref</t>
    </r>
    <r>
      <rPr>
        <b/>
        <sz val="11"/>
        <color theme="1"/>
        <rFont val="Calibri"/>
        <family val="2"/>
      </rPr>
      <t xml:space="preserve"> (vigne)</t>
    </r>
  </si>
  <si>
    <r>
      <rPr>
        <b/>
        <sz val="11"/>
        <color theme="1"/>
        <rFont val="Calibri"/>
        <family val="2"/>
      </rPr>
      <t xml:space="preserve">Stock </t>
    </r>
    <r>
      <rPr>
        <b/>
        <vertAlign val="subscript"/>
        <sz val="11"/>
        <color theme="1"/>
        <rFont val="Calibri"/>
        <family val="2"/>
      </rPr>
      <t>biomasse_projet</t>
    </r>
    <r>
      <rPr>
        <b/>
        <sz val="11"/>
        <color theme="1"/>
        <rFont val="Calibri"/>
        <family val="2"/>
      </rPr>
      <t xml:space="preserve"> - Stock </t>
    </r>
    <r>
      <rPr>
        <b/>
        <vertAlign val="subscript"/>
        <sz val="11"/>
        <color theme="1"/>
        <rFont val="Calibri"/>
        <family val="2"/>
      </rPr>
      <t xml:space="preserve">biomasse_ref </t>
    </r>
    <r>
      <rPr>
        <b/>
        <sz val="11"/>
        <color theme="1"/>
        <rFont val="Calibri"/>
        <family val="2"/>
      </rPr>
      <t>(vigne)</t>
    </r>
  </si>
  <si>
    <r>
      <rPr>
        <b/>
        <sz val="12"/>
        <color rgb="FF000000"/>
        <rFont val="Calibri"/>
        <family val="2"/>
      </rP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</si>
  <si>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rPr>
        <b/>
        <sz val="11"/>
        <color theme="1"/>
        <rFont val="Calibri"/>
        <family val="2"/>
      </rPr>
      <t xml:space="preserve">Stock </t>
    </r>
    <r>
      <rPr>
        <b/>
        <vertAlign val="subscript"/>
        <sz val="11"/>
        <color theme="1"/>
        <rFont val="Calibri"/>
        <family val="2"/>
      </rPr>
      <t>biomasse_ref</t>
    </r>
    <r>
      <rPr>
        <b/>
        <sz val="11"/>
        <color theme="1"/>
        <rFont val="Calibri"/>
        <family val="2"/>
      </rPr>
      <t xml:space="preserve"> (vigne)</t>
    </r>
  </si>
  <si>
    <r>
      <rPr>
        <b/>
        <sz val="11"/>
        <color theme="1"/>
        <rFont val="Calibri"/>
        <family val="2"/>
      </rPr>
      <t xml:space="preserve">Stock </t>
    </r>
    <r>
      <rPr>
        <b/>
        <vertAlign val="subscript"/>
        <sz val="11"/>
        <color theme="1"/>
        <rFont val="Calibri"/>
        <family val="2"/>
      </rPr>
      <t>biomasse_projet</t>
    </r>
    <r>
      <rPr>
        <b/>
        <sz val="11"/>
        <color theme="1"/>
        <rFont val="Calibri"/>
        <family val="2"/>
      </rPr>
      <t xml:space="preserve"> - Stock </t>
    </r>
    <r>
      <rPr>
        <b/>
        <vertAlign val="subscript"/>
        <sz val="11"/>
        <color theme="1"/>
        <rFont val="Calibri"/>
        <family val="2"/>
      </rPr>
      <t xml:space="preserve">biomasse_ref </t>
    </r>
    <r>
      <rPr>
        <b/>
        <sz val="11"/>
        <color theme="1"/>
        <rFont val="Calibri"/>
        <family val="2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</si>
  <si>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</si>
  <si>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</si>
  <si>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</si>
  <si>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</si>
  <si>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</si>
  <si>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</si>
  <si>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</si>
  <si>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</si>
  <si>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</si>
  <si>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</si>
  <si>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</si>
  <si>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</si>
  <si>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</si>
  <si>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</si>
  <si>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</si>
  <si>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</si>
  <si>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</si>
  <si>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</si>
  <si>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</si>
  <si>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</si>
  <si>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</si>
  <si>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</si>
  <si>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</si>
  <si>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</si>
  <si>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</si>
  <si>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</si>
  <si>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</si>
  <si>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</si>
  <si>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</si>
  <si>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</si>
  <si>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</si>
  <si>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</si>
  <si>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</si>
  <si>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</si>
  <si>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</si>
  <si>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</si>
  <si>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</si>
  <si>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</si>
  <si>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</si>
  <si>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</si>
  <si>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</si>
  <si>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</si>
  <si>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</si>
  <si>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</si>
  <si>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</si>
  <si>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</si>
  <si>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</si>
  <si>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</si>
  <si>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</si>
  <si>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</si>
  <si>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</si>
  <si>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</si>
  <si>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</si>
  <si>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</si>
  <si>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</si>
  <si>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</si>
  <si>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</si>
  <si>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</si>
  <si>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</si>
  <si>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</si>
  <si>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</si>
  <si>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</si>
  <si>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</si>
  <si>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</si>
  <si>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</si>
  <si>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</si>
  <si>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</si>
  <si>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</si>
  <si>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</si>
  <si>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</si>
  <si>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</si>
  <si>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</si>
  <si>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</si>
  <si>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</si>
  <si>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</si>
  <si>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</si>
  <si>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</si>
  <si>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</si>
  <si>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</si>
  <si>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</si>
  <si>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</si>
  <si>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</si>
  <si>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</si>
  <si>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</si>
  <si>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</si>
  <si>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</si>
  <si>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</si>
  <si>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</si>
  <si>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</si>
  <si>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</si>
  <si>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</si>
  <si>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</si>
  <si>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</si>
  <si>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</si>
  <si>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</si>
  <si>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</si>
  <si>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</si>
  <si>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sz val="11"/>
        <color theme="1"/>
        <rFont val="Calibri"/>
        <family val="2"/>
      </rP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</si>
  <si>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</si>
  <si>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r>
      <rPr>
        <sz val="11"/>
        <color theme="1"/>
        <rFont val="Calibri"/>
        <family val="2"/>
      </rP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</si>
  <si>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</si>
  <si>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</si>
  <si>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</si>
  <si>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</si>
  <si>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</si>
  <si>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sz val="11"/>
        <color theme="1"/>
        <rFont val="Calibri"/>
        <family val="2"/>
      </rP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</si>
  <si>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rPr>
        <sz val="11"/>
        <color theme="1"/>
        <rFont val="Calibri"/>
        <family val="2"/>
      </rP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</si>
  <si>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</si>
  <si>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</si>
  <si>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</si>
  <si>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</si>
  <si>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</si>
  <si>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</si>
  <si>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</si>
  <si>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</si>
  <si>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</si>
  <si>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</si>
  <si>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</si>
  <si>
    <t>Chèvreville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</si>
</sst>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b/>
      <sz val="11"/>
      <color rgb="FFFFFFFF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8"/>
      <color rgb="FF00000A"/>
      <name val="Calibri"/>
      <family val="2"/>
    </font>
    <font>
      <sz val="14"/>
      <color theme="1"/>
      <name val="Symbol"/>
      <charset val="2"/>
    </font>
    <font>
      <b/>
      <sz val="14"/>
      <color theme="1"/>
      <name val="Calibri"/>
      <family val="2"/>
    </font>
    <font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2"/>
      <color rgb="FF2F5496"/>
      <name val="Calibri"/>
      <family val="2"/>
    </font>
    <font>
      <b/>
      <i/>
      <sz val="10"/>
      <color theme="1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</font>
    <font>
      <vertAlign val="subscript"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666666"/>
        <bgColor rgb="FF666666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4" xfId="0" applyFont="1" applyFill="1" applyBorder="1" applyAlignment="1">
      <alignment horizontal="right"/>
    </xf>
    <xf numFmtId="0" fontId="1" fillId="0" borderId="18" xfId="0" applyFont="1" applyBorder="1"/>
    <xf numFmtId="0" fontId="5" fillId="6" borderId="19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/>
    </xf>
    <xf numFmtId="0" fontId="5" fillId="0" borderId="0" xfId="0" applyFont="1"/>
    <xf numFmtId="0" fontId="5" fillId="6" borderId="20" xfId="0" applyFont="1" applyFill="1" applyBorder="1" applyAlignment="1">
      <alignment vertical="center" wrapText="1"/>
    </xf>
    <xf numFmtId="0" fontId="1" fillId="2" borderId="20" xfId="0" applyFont="1" applyFill="1" applyBorder="1"/>
    <xf numFmtId="2" fontId="1" fillId="2" borderId="20" xfId="0" applyNumberFormat="1" applyFont="1" applyFill="1" applyBorder="1"/>
    <xf numFmtId="2" fontId="5" fillId="8" borderId="14" xfId="0" applyNumberFormat="1" applyFont="1" applyFill="1" applyBorder="1"/>
    <xf numFmtId="0" fontId="1" fillId="2" borderId="18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21" xfId="0" applyFont="1" applyFill="1" applyBorder="1"/>
    <xf numFmtId="0" fontId="1" fillId="0" borderId="20" xfId="0" applyFont="1" applyBorder="1"/>
    <xf numFmtId="0" fontId="1" fillId="2" borderId="18" xfId="0" applyFont="1" applyFill="1" applyBorder="1" applyAlignment="1">
      <alignment horizontal="right" wrapText="1"/>
    </xf>
    <xf numFmtId="0" fontId="1" fillId="2" borderId="21" xfId="0" applyFont="1" applyFill="1" applyBorder="1" applyAlignment="1">
      <alignment horizontal="right" wrapText="1"/>
    </xf>
    <xf numFmtId="0" fontId="1" fillId="2" borderId="20" xfId="0" applyFont="1" applyFill="1" applyBorder="1" applyAlignment="1">
      <alignment wrapText="1"/>
    </xf>
    <xf numFmtId="0" fontId="1" fillId="0" borderId="0" xfId="0" applyFont="1" applyAlignment="1">
      <alignment wrapText="1"/>
    </xf>
    <xf numFmtId="9" fontId="1" fillId="2" borderId="18" xfId="0" applyNumberFormat="1" applyFont="1" applyFill="1" applyBorder="1" applyAlignment="1">
      <alignment horizontal="right"/>
    </xf>
    <xf numFmtId="9" fontId="1" fillId="2" borderId="21" xfId="0" applyNumberFormat="1" applyFont="1" applyFill="1" applyBorder="1" applyAlignment="1">
      <alignment horizontal="right"/>
    </xf>
    <xf numFmtId="9" fontId="1" fillId="2" borderId="20" xfId="0" applyNumberFormat="1" applyFont="1" applyFill="1" applyBorder="1"/>
    <xf numFmtId="0" fontId="7" fillId="6" borderId="20" xfId="0" applyFont="1" applyFill="1" applyBorder="1" applyAlignment="1">
      <alignment horizontal="left" vertical="center" wrapText="1"/>
    </xf>
    <xf numFmtId="164" fontId="1" fillId="2" borderId="18" xfId="0" applyNumberFormat="1" applyFont="1" applyFill="1" applyBorder="1" applyAlignment="1">
      <alignment horizontal="right"/>
    </xf>
    <xf numFmtId="0" fontId="1" fillId="9" borderId="14" xfId="0" applyFont="1" applyFill="1" applyBorder="1"/>
    <xf numFmtId="0" fontId="5" fillId="6" borderId="19" xfId="0" applyFont="1" applyFill="1" applyBorder="1" applyAlignment="1">
      <alignment vertical="center" wrapText="1"/>
    </xf>
    <xf numFmtId="9" fontId="1" fillId="9" borderId="14" xfId="0" applyNumberFormat="1" applyFont="1" applyFill="1" applyBorder="1"/>
    <xf numFmtId="9" fontId="1" fillId="10" borderId="20" xfId="0" applyNumberFormat="1" applyFont="1" applyFill="1" applyBorder="1"/>
    <xf numFmtId="0" fontId="1" fillId="6" borderId="20" xfId="0" applyFont="1" applyFill="1" applyBorder="1" applyAlignment="1">
      <alignment vertical="center" wrapText="1"/>
    </xf>
    <xf numFmtId="165" fontId="1" fillId="10" borderId="20" xfId="0" applyNumberFormat="1" applyFont="1" applyFill="1" applyBorder="1"/>
    <xf numFmtId="9" fontId="1" fillId="10" borderId="20" xfId="0" applyNumberFormat="1" applyFont="1" applyFill="1" applyBorder="1" applyAlignment="1">
      <alignment horizontal="center"/>
    </xf>
    <xf numFmtId="0" fontId="1" fillId="9" borderId="14" xfId="0" applyFont="1" applyFill="1" applyBorder="1" applyAlignment="1">
      <alignment vertical="center" wrapText="1"/>
    </xf>
    <xf numFmtId="9" fontId="1" fillId="0" borderId="0" xfId="0" applyNumberFormat="1" applyFont="1" applyAlignment="1">
      <alignment horizontal="center"/>
    </xf>
    <xf numFmtId="0" fontId="1" fillId="10" borderId="20" xfId="0" applyFont="1" applyFill="1" applyBorder="1" applyAlignment="1">
      <alignment wrapText="1"/>
    </xf>
    <xf numFmtId="0" fontId="1" fillId="10" borderId="20" xfId="0" applyFont="1" applyFill="1" applyBorder="1"/>
    <xf numFmtId="0" fontId="1" fillId="8" borderId="14" xfId="0" applyFont="1" applyFill="1" applyBorder="1"/>
    <xf numFmtId="2" fontId="1" fillId="10" borderId="20" xfId="0" applyNumberFormat="1" applyFont="1" applyFill="1" applyBorder="1"/>
    <xf numFmtId="164" fontId="1" fillId="10" borderId="20" xfId="0" applyNumberFormat="1" applyFont="1" applyFill="1" applyBorder="1"/>
    <xf numFmtId="2" fontId="1" fillId="8" borderId="14" xfId="0" applyNumberFormat="1" applyFont="1" applyFill="1" applyBorder="1"/>
    <xf numFmtId="0" fontId="1" fillId="6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5" fillId="6" borderId="20" xfId="0" applyFont="1" applyFill="1" applyBorder="1" applyAlignment="1">
      <alignment horizontal="center" vertical="center" wrapText="1"/>
    </xf>
    <xf numFmtId="2" fontId="1" fillId="11" borderId="20" xfId="0" applyNumberFormat="1" applyFont="1" applyFill="1" applyBorder="1" applyAlignment="1">
      <alignment horizontal="right"/>
    </xf>
    <xf numFmtId="0" fontId="5" fillId="6" borderId="22" xfId="0" applyFont="1" applyFill="1" applyBorder="1" applyAlignment="1">
      <alignment horizontal="center" vertical="center" wrapText="1"/>
    </xf>
    <xf numFmtId="0" fontId="1" fillId="11" borderId="20" xfId="0" applyFont="1" applyFill="1" applyBorder="1"/>
    <xf numFmtId="0" fontId="1" fillId="2" borderId="20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5" fillId="12" borderId="20" xfId="0" applyFont="1" applyFill="1" applyBorder="1" applyAlignment="1">
      <alignment vertical="center" wrapText="1"/>
    </xf>
    <xf numFmtId="0" fontId="1" fillId="11" borderId="18" xfId="0" applyFont="1" applyFill="1" applyBorder="1" applyAlignment="1">
      <alignment horizontal="right"/>
    </xf>
    <xf numFmtId="0" fontId="1" fillId="11" borderId="21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11" borderId="18" xfId="0" applyFont="1" applyFill="1" applyBorder="1" applyAlignment="1">
      <alignment horizontal="right"/>
    </xf>
    <xf numFmtId="0" fontId="5" fillId="11" borderId="21" xfId="0" applyFont="1" applyFill="1" applyBorder="1" applyAlignment="1">
      <alignment horizontal="right"/>
    </xf>
    <xf numFmtId="0" fontId="5" fillId="11" borderId="20" xfId="0" applyFont="1" applyFill="1" applyBorder="1"/>
    <xf numFmtId="0" fontId="1" fillId="11" borderId="18" xfId="0" applyFont="1" applyFill="1" applyBorder="1"/>
    <xf numFmtId="0" fontId="1" fillId="11" borderId="21" xfId="0" applyFont="1" applyFill="1" applyBorder="1"/>
    <xf numFmtId="0" fontId="1" fillId="0" borderId="0" xfId="0" applyFont="1" applyAlignment="1">
      <alignment horizontal="center" vertical="center" wrapText="1"/>
    </xf>
    <xf numFmtId="0" fontId="6" fillId="13" borderId="20" xfId="0" applyFont="1" applyFill="1" applyBorder="1" applyAlignment="1">
      <alignment vertical="center" wrapText="1"/>
    </xf>
    <xf numFmtId="0" fontId="8" fillId="14" borderId="18" xfId="0" applyFont="1" applyFill="1" applyBorder="1" applyAlignment="1">
      <alignment horizontal="right" wrapText="1"/>
    </xf>
    <xf numFmtId="0" fontId="8" fillId="14" borderId="21" xfId="0" applyFont="1" applyFill="1" applyBorder="1" applyAlignment="1">
      <alignment horizontal="right" wrapText="1"/>
    </xf>
    <xf numFmtId="0" fontId="6" fillId="15" borderId="20" xfId="0" applyFont="1" applyFill="1" applyBorder="1" applyAlignment="1">
      <alignment vertical="center" wrapText="1"/>
    </xf>
    <xf numFmtId="0" fontId="6" fillId="16" borderId="20" xfId="0" applyFont="1" applyFill="1" applyBorder="1" applyAlignment="1">
      <alignment vertical="center" wrapText="1"/>
    </xf>
    <xf numFmtId="164" fontId="1" fillId="2" borderId="20" xfId="0" applyNumberFormat="1" applyFont="1" applyFill="1" applyBorder="1"/>
    <xf numFmtId="164" fontId="1" fillId="11" borderId="20" xfId="0" applyNumberFormat="1" applyFont="1" applyFill="1" applyBorder="1"/>
    <xf numFmtId="0" fontId="5" fillId="12" borderId="20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166" fontId="1" fillId="0" borderId="28" xfId="0" applyNumberFormat="1" applyFont="1" applyBorder="1"/>
    <xf numFmtId="0" fontId="6" fillId="16" borderId="29" xfId="0" applyFont="1" applyFill="1" applyBorder="1" applyAlignment="1">
      <alignment vertical="center" wrapText="1"/>
    </xf>
    <xf numFmtId="0" fontId="1" fillId="0" borderId="28" xfId="0" applyFont="1" applyBorder="1"/>
    <xf numFmtId="0" fontId="5" fillId="4" borderId="19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165" fontId="1" fillId="11" borderId="20" xfId="0" applyNumberFormat="1" applyFont="1" applyFill="1" applyBorder="1"/>
    <xf numFmtId="164" fontId="6" fillId="16" borderId="20" xfId="0" applyNumberFormat="1" applyFont="1" applyFill="1" applyBorder="1" applyAlignment="1">
      <alignment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2" fontId="5" fillId="12" borderId="20" xfId="0" applyNumberFormat="1" applyFont="1" applyFill="1" applyBorder="1" applyAlignment="1">
      <alignment vertical="center" wrapText="1"/>
    </xf>
    <xf numFmtId="0" fontId="5" fillId="17" borderId="28" xfId="0" applyFont="1" applyFill="1" applyBorder="1" applyAlignment="1">
      <alignment horizontal="left"/>
    </xf>
    <xf numFmtId="0" fontId="5" fillId="17" borderId="28" xfId="0" applyFont="1" applyFill="1" applyBorder="1" applyAlignment="1">
      <alignment vertical="center"/>
    </xf>
    <xf numFmtId="0" fontId="5" fillId="17" borderId="28" xfId="0" applyFont="1" applyFill="1" applyBorder="1" applyAlignment="1">
      <alignment wrapText="1"/>
    </xf>
    <xf numFmtId="0" fontId="1" fillId="0" borderId="28" xfId="0" applyFont="1" applyBorder="1" applyAlignment="1">
      <alignment vertical="center" wrapText="1"/>
    </xf>
    <xf numFmtId="2" fontId="1" fillId="0" borderId="0" xfId="0" applyNumberFormat="1" applyFont="1"/>
    <xf numFmtId="0" fontId="5" fillId="17" borderId="28" xfId="0" applyFont="1" applyFill="1" applyBorder="1"/>
    <xf numFmtId="0" fontId="10" fillId="17" borderId="28" xfId="0" applyFont="1" applyFill="1" applyBorder="1" applyAlignment="1">
      <alignment vertical="center"/>
    </xf>
    <xf numFmtId="0" fontId="10" fillId="17" borderId="28" xfId="0" applyFont="1" applyFill="1" applyBorder="1" applyAlignment="1">
      <alignment vertical="center" wrapText="1"/>
    </xf>
    <xf numFmtId="0" fontId="5" fillId="17" borderId="28" xfId="0" applyFont="1" applyFill="1" applyBorder="1" applyAlignment="1">
      <alignment vertical="center" wrapText="1"/>
    </xf>
    <xf numFmtId="0" fontId="9" fillId="17" borderId="28" xfId="0" applyFont="1" applyFill="1" applyBorder="1" applyAlignment="1">
      <alignment vertical="center" wrapText="1"/>
    </xf>
    <xf numFmtId="0" fontId="1" fillId="0" borderId="28" xfId="0" applyFont="1" applyBorder="1" applyAlignment="1">
      <alignment horizontal="left"/>
    </xf>
    <xf numFmtId="2" fontId="1" fillId="0" borderId="28" xfId="0" applyNumberFormat="1" applyFont="1" applyBorder="1"/>
    <xf numFmtId="0" fontId="1" fillId="0" borderId="0" xfId="0" applyFont="1" applyAlignment="1">
      <alignment horizontal="left"/>
    </xf>
    <xf numFmtId="1" fontId="1" fillId="0" borderId="28" xfId="0" applyNumberFormat="1" applyFont="1" applyBorder="1" applyAlignment="1">
      <alignment horizontal="right"/>
    </xf>
    <xf numFmtId="165" fontId="5" fillId="0" borderId="0" xfId="0" applyNumberFormat="1" applyFont="1"/>
    <xf numFmtId="165" fontId="1" fillId="0" borderId="0" xfId="0" applyNumberFormat="1" applyFont="1"/>
    <xf numFmtId="167" fontId="1" fillId="0" borderId="0" xfId="0" applyNumberFormat="1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4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5" fillId="5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1" fillId="5" borderId="24" xfId="0" applyFont="1" applyFill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1" fillId="11" borderId="24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9" fillId="17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1000"/>
  <sheetViews>
    <sheetView showGridLines="0" topLeftCell="A2" workbookViewId="0"/>
  </sheetViews>
  <sheetFormatPr baseColWidth="10" defaultColWidth="14.5" defaultRowHeight="15" customHeight="1" x14ac:dyDescent="0.2"/>
  <cols>
    <col min="1" max="1" width="4.83203125" customWidth="1"/>
    <col min="2" max="14" width="10.6640625" customWidth="1"/>
    <col min="15" max="15" width="11.5" customWidth="1"/>
    <col min="16" max="26" width="10.6640625" customWidth="1"/>
  </cols>
  <sheetData>
    <row r="3" spans="2:16" ht="15" customHeight="1" x14ac:dyDescent="0.2">
      <c r="K3" s="101" t="s">
        <v>0</v>
      </c>
      <c r="L3" s="102"/>
      <c r="M3" s="102"/>
      <c r="N3" s="102"/>
      <c r="O3" s="102"/>
      <c r="P3" s="102"/>
    </row>
    <row r="4" spans="2:16" x14ac:dyDescent="0.2">
      <c r="K4" s="103"/>
      <c r="L4" s="104"/>
      <c r="M4" s="104"/>
      <c r="N4" s="104"/>
      <c r="O4" s="104"/>
      <c r="P4" s="104"/>
    </row>
    <row r="5" spans="2:16" x14ac:dyDescent="0.2">
      <c r="K5" s="103"/>
      <c r="L5" s="104"/>
      <c r="M5" s="104"/>
      <c r="N5" s="104"/>
      <c r="O5" s="104"/>
      <c r="P5" s="104"/>
    </row>
    <row r="7" spans="2:16" ht="15" customHeight="1" x14ac:dyDescent="0.2">
      <c r="B7" s="105" t="s">
        <v>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2:16" ht="15" customHeight="1" x14ac:dyDescent="0.2">
      <c r="B8" s="103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</row>
    <row r="9" spans="2:16" ht="15" customHeight="1" x14ac:dyDescent="0.2"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</row>
    <row r="11" spans="2:16" ht="15" customHeight="1" x14ac:dyDescent="0.2">
      <c r="B11" s="106" t="s">
        <v>2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">
      <c r="B12" s="109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10"/>
    </row>
    <row r="13" spans="2:16" ht="15" customHeight="1" x14ac:dyDescent="0.2">
      <c r="B13" s="109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10"/>
    </row>
    <row r="14" spans="2:16" ht="15" customHeight="1" x14ac:dyDescent="0.2">
      <c r="B14" s="109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10"/>
    </row>
    <row r="15" spans="2:16" ht="15" customHeight="1" x14ac:dyDescent="0.2">
      <c r="B15" s="109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10"/>
    </row>
    <row r="16" spans="2:16" ht="15" customHeight="1" x14ac:dyDescent="0.2">
      <c r="B16" s="109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10"/>
    </row>
    <row r="17" spans="2:16" ht="15" customHeight="1" x14ac:dyDescent="0.2">
      <c r="B17" s="109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10"/>
    </row>
    <row r="18" spans="2:16" ht="15" customHeight="1" x14ac:dyDescent="0.2">
      <c r="B18" s="10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10"/>
    </row>
    <row r="19" spans="2:16" ht="15" customHeight="1" x14ac:dyDescent="0.2">
      <c r="B19" s="109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10"/>
    </row>
    <row r="20" spans="2:16" ht="15" customHeight="1" x14ac:dyDescent="0.2">
      <c r="B20" s="109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10"/>
    </row>
    <row r="21" spans="2:16" ht="15" customHeight="1" x14ac:dyDescent="0.2">
      <c r="B21" s="109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10"/>
    </row>
    <row r="22" spans="2:16" ht="15" customHeight="1" x14ac:dyDescent="0.2">
      <c r="B22" s="109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10"/>
    </row>
    <row r="23" spans="2:16" ht="15" customHeight="1" x14ac:dyDescent="0.2">
      <c r="B23" s="109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10"/>
    </row>
    <row r="24" spans="2:16" ht="15" customHeight="1" x14ac:dyDescent="0.2">
      <c r="B24" s="109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10"/>
    </row>
    <row r="25" spans="2:16" ht="15.75" customHeight="1" x14ac:dyDescent="0.2"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10"/>
    </row>
    <row r="26" spans="2:16" ht="15.75" customHeight="1" x14ac:dyDescent="0.2">
      <c r="B26" s="109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10"/>
    </row>
    <row r="27" spans="2:16" ht="15.75" customHeight="1" x14ac:dyDescent="0.2">
      <c r="B27" s="109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10"/>
    </row>
    <row r="28" spans="2:16" ht="15.75" customHeight="1" x14ac:dyDescent="0.2">
      <c r="B28" s="109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10"/>
    </row>
    <row r="29" spans="2:16" ht="15.75" customHeight="1" x14ac:dyDescent="0.2">
      <c r="B29" s="109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10"/>
    </row>
    <row r="30" spans="2:16" ht="15.75" customHeight="1" x14ac:dyDescent="0.2"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3"/>
    </row>
    <row r="31" spans="2:16" ht="15.75" customHeight="1" x14ac:dyDescent="0.2"/>
    <row r="32" spans="2:16" ht="22.5" customHeight="1" x14ac:dyDescent="0.2">
      <c r="B32" s="105" t="s">
        <v>3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</row>
    <row r="33" spans="2:16" ht="15.75" customHeight="1" x14ac:dyDescent="0.2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</row>
    <row r="34" spans="2:16" ht="15.75" customHeight="1" x14ac:dyDescent="0.2"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</row>
    <row r="35" spans="2:16" ht="15.75" customHeight="1" x14ac:dyDescent="0.2"/>
    <row r="36" spans="2:16" ht="15.75" customHeight="1" x14ac:dyDescent="0.2"/>
    <row r="37" spans="2:16" ht="15.75" customHeight="1" x14ac:dyDescent="0.2"/>
    <row r="38" spans="2:16" ht="15.75" customHeight="1" x14ac:dyDescent="0.2"/>
    <row r="39" spans="2:16" ht="15.75" customHeight="1" x14ac:dyDescent="0.2"/>
    <row r="40" spans="2:16" ht="15.75" customHeight="1" x14ac:dyDescent="0.2"/>
    <row r="41" spans="2:16" ht="15.75" customHeight="1" x14ac:dyDescent="0.2"/>
    <row r="42" spans="2:16" ht="15.75" customHeight="1" x14ac:dyDescent="0.2"/>
    <row r="43" spans="2:16" ht="15.75" customHeight="1" x14ac:dyDescent="0.2"/>
    <row r="44" spans="2:16" ht="15.75" customHeight="1" x14ac:dyDescent="0.2"/>
    <row r="45" spans="2:16" ht="15.75" customHeight="1" x14ac:dyDescent="0.2"/>
    <row r="46" spans="2:16" ht="15.75" customHeight="1" x14ac:dyDescent="0.2"/>
    <row r="47" spans="2:16" ht="15.75" customHeight="1" x14ac:dyDescent="0.2"/>
    <row r="48" spans="2:1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K3:P5"/>
    <mergeCell ref="B7:P9"/>
    <mergeCell ref="B11:P30"/>
    <mergeCell ref="B32:P34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4.5" defaultRowHeight="15" customHeight="1" x14ac:dyDescent="0.2"/>
  <cols>
    <col min="1" max="1" width="25" customWidth="1"/>
    <col min="2" max="2" width="20.1640625" customWidth="1"/>
    <col min="3" max="3" width="15.5" customWidth="1"/>
    <col min="4" max="26" width="11.5" customWidth="1"/>
  </cols>
  <sheetData>
    <row r="1" spans="1:26" x14ac:dyDescent="0.2">
      <c r="A1" s="7" t="s">
        <v>348</v>
      </c>
      <c r="B1" s="7" t="s">
        <v>32</v>
      </c>
      <c r="C1" s="7" t="s">
        <v>203</v>
      </c>
      <c r="D1" s="7" t="s">
        <v>25</v>
      </c>
      <c r="E1" s="7" t="s">
        <v>349</v>
      </c>
      <c r="F1" s="2" t="s">
        <v>237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 t="s">
        <v>29</v>
      </c>
      <c r="B2" s="2" t="s">
        <v>33</v>
      </c>
      <c r="C2" s="2" t="s">
        <v>206</v>
      </c>
      <c r="D2" s="2" t="s">
        <v>26</v>
      </c>
      <c r="E2" s="92">
        <v>10</v>
      </c>
      <c r="F2" s="2" t="s">
        <v>239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 t="s">
        <v>200</v>
      </c>
      <c r="B3" s="2" t="s">
        <v>350</v>
      </c>
      <c r="C3" s="2" t="s">
        <v>208</v>
      </c>
      <c r="D3" s="2" t="s">
        <v>207</v>
      </c>
      <c r="E3" s="92">
        <v>11</v>
      </c>
      <c r="F3" s="2" t="s">
        <v>240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 t="s">
        <v>198</v>
      </c>
      <c r="C4" s="2" t="s">
        <v>209</v>
      </c>
      <c r="D4" s="2" t="s">
        <v>222</v>
      </c>
      <c r="E4" s="92">
        <v>12</v>
      </c>
      <c r="F4" s="2" t="s">
        <v>241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 t="s">
        <v>210</v>
      </c>
      <c r="D5" s="2" t="s">
        <v>212</v>
      </c>
      <c r="E5" s="92">
        <v>13</v>
      </c>
      <c r="F5" s="2" t="s">
        <v>242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 t="s">
        <v>211</v>
      </c>
      <c r="D6" s="2" t="s">
        <v>217</v>
      </c>
      <c r="E6" s="92">
        <v>14</v>
      </c>
      <c r="F6" s="2" t="s">
        <v>243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 t="s">
        <v>213</v>
      </c>
      <c r="D7" s="2" t="s">
        <v>221</v>
      </c>
      <c r="E7" s="92">
        <v>15</v>
      </c>
      <c r="F7" s="2" t="s">
        <v>39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 t="s">
        <v>214</v>
      </c>
      <c r="D8" s="2"/>
      <c r="E8" s="92">
        <v>16</v>
      </c>
      <c r="F8" s="2" t="s">
        <v>244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 t="s">
        <v>215</v>
      </c>
      <c r="D9" s="2"/>
      <c r="E9" s="92">
        <v>17</v>
      </c>
      <c r="F9" s="2" t="s">
        <v>245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 t="s">
        <v>216</v>
      </c>
      <c r="D10" s="2"/>
      <c r="E10" s="92">
        <v>18</v>
      </c>
      <c r="F10" s="2" t="s">
        <v>246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 t="s">
        <v>218</v>
      </c>
      <c r="D11" s="2"/>
      <c r="E11" s="92">
        <v>19</v>
      </c>
      <c r="F11" s="2" t="s">
        <v>37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 t="s">
        <v>219</v>
      </c>
      <c r="D12" s="2"/>
      <c r="E12" s="92">
        <v>20</v>
      </c>
      <c r="F12" s="2" t="s">
        <v>247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 t="s">
        <v>220</v>
      </c>
      <c r="D13" s="2"/>
      <c r="E13" s="2"/>
      <c r="F13" s="2" t="s">
        <v>248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 t="s">
        <v>223</v>
      </c>
      <c r="D14" s="2"/>
      <c r="E14" s="2"/>
      <c r="F14" s="2" t="s">
        <v>249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 t="s">
        <v>22</v>
      </c>
      <c r="D15" s="2"/>
      <c r="E15" s="2"/>
      <c r="F15" s="2" t="s">
        <v>250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 t="s">
        <v>224</v>
      </c>
      <c r="D16" s="2"/>
      <c r="E16" s="2"/>
      <c r="F16" s="2" t="s">
        <v>251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 t="s">
        <v>252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 t="s">
        <v>253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 t="s">
        <v>254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 t="s">
        <v>255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 t="s">
        <v>256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 t="s">
        <v>257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 t="s">
        <v>258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 t="s">
        <v>259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 t="s">
        <v>260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 t="s">
        <v>261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 t="s">
        <v>262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 t="s">
        <v>263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 t="s">
        <v>264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 t="s">
        <v>265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 t="s">
        <v>266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 t="s">
        <v>267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 t="s">
        <v>268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 t="s">
        <v>269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 t="s">
        <v>35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 t="s">
        <v>270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 t="s">
        <v>271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 t="s">
        <v>272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 t="s">
        <v>273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 t="s">
        <v>274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 t="s">
        <v>275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 t="s">
        <v>276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 t="s">
        <v>277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 t="s">
        <v>278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 t="s">
        <v>279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 t="s">
        <v>280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 t="s">
        <v>281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 t="s">
        <v>282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 t="s">
        <v>283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 t="s">
        <v>284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 t="s">
        <v>285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 t="s">
        <v>286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 t="s">
        <v>287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 t="s">
        <v>288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 t="s">
        <v>289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 t="s">
        <v>290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000"/>
  <sheetViews>
    <sheetView tabSelected="1" topLeftCell="A2" workbookViewId="0">
      <selection activeCell="B13" sqref="B13"/>
    </sheetView>
  </sheetViews>
  <sheetFormatPr baseColWidth="10" defaultColWidth="14.5" defaultRowHeight="15" customHeight="1" x14ac:dyDescent="0.2"/>
  <cols>
    <col min="1" max="1" width="71.33203125" customWidth="1"/>
    <col min="2" max="2" width="16.5" customWidth="1"/>
    <col min="3" max="3" width="14.6640625" customWidth="1"/>
    <col min="4" max="4" width="17" customWidth="1"/>
    <col min="5" max="5" width="15" customWidth="1"/>
    <col min="6" max="6" width="16.1640625" customWidth="1"/>
    <col min="7" max="7" width="16.33203125" customWidth="1"/>
    <col min="8" max="8" width="18" customWidth="1"/>
    <col min="9" max="10" width="15.6640625" customWidth="1"/>
    <col min="11" max="11" width="16" customWidth="1"/>
    <col min="12" max="52" width="11.5" customWidth="1"/>
  </cols>
  <sheetData>
    <row r="1" spans="1:52" ht="1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14.75" customHeight="1" x14ac:dyDescent="0.2">
      <c r="A2" s="114" t="s">
        <v>4</v>
      </c>
      <c r="B2" s="115"/>
      <c r="C2" s="3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 t="s">
        <v>6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 t="s">
        <v>5</v>
      </c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22.5" customHeight="1" x14ac:dyDescent="0.2">
      <c r="A5" s="116" t="s">
        <v>7</v>
      </c>
      <c r="B5" s="117"/>
      <c r="C5" s="117"/>
      <c r="D5" s="117"/>
      <c r="E5" s="117"/>
      <c r="F5" s="117"/>
      <c r="G5" s="117"/>
      <c r="H5" s="117"/>
      <c r="I5" s="117"/>
      <c r="J5" s="117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16" x14ac:dyDescent="0.2">
      <c r="A6" s="4"/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5" t="s">
        <v>16</v>
      </c>
      <c r="K6" s="5" t="s">
        <v>17</v>
      </c>
      <c r="L6" s="6" t="s">
        <v>18</v>
      </c>
      <c r="M6" s="7"/>
      <c r="N6" s="7"/>
      <c r="O6" s="7"/>
      <c r="P6" s="7"/>
      <c r="Q6" s="7"/>
      <c r="R6" s="7"/>
      <c r="S6" s="7"/>
      <c r="T6" s="7"/>
      <c r="U6" s="7"/>
      <c r="V6" s="7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6" x14ac:dyDescent="0.2">
      <c r="A7" s="8" t="s">
        <v>19</v>
      </c>
      <c r="B7" s="9" t="s">
        <v>351</v>
      </c>
      <c r="C7" s="9"/>
      <c r="D7" s="9"/>
      <c r="E7" s="9"/>
      <c r="F7" s="9"/>
      <c r="G7" s="9"/>
      <c r="H7" s="9"/>
      <c r="I7" s="9"/>
      <c r="J7" s="9"/>
      <c r="K7" s="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8" t="s">
        <v>20</v>
      </c>
      <c r="B8" s="9">
        <v>1.4</v>
      </c>
      <c r="C8" s="9"/>
      <c r="D8" s="9"/>
      <c r="E8" s="9"/>
      <c r="F8" s="9"/>
      <c r="G8" s="9"/>
      <c r="H8" s="9"/>
      <c r="I8" s="10"/>
      <c r="J8" s="10"/>
      <c r="K8" s="10"/>
      <c r="L8" s="11">
        <f>SUM(B8:K8)</f>
        <v>1.4</v>
      </c>
      <c r="M8" s="7"/>
      <c r="N8" s="7"/>
      <c r="O8" s="7"/>
      <c r="P8" s="7"/>
      <c r="Q8" s="7"/>
      <c r="R8" s="7"/>
      <c r="S8" s="7"/>
      <c r="T8" s="7"/>
      <c r="U8" s="7"/>
      <c r="V8" s="7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16" x14ac:dyDescent="0.2">
      <c r="A9" s="8" t="s">
        <v>21</v>
      </c>
      <c r="B9" s="12" t="s">
        <v>22</v>
      </c>
      <c r="C9" s="13"/>
      <c r="D9" s="13"/>
      <c r="E9" s="9"/>
      <c r="F9" s="9"/>
      <c r="G9" s="9"/>
      <c r="H9" s="9"/>
      <c r="I9" s="9"/>
      <c r="J9" s="9"/>
      <c r="K9" s="9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2" x14ac:dyDescent="0.2">
      <c r="A10" s="8" t="s">
        <v>23</v>
      </c>
      <c r="B10" s="14" t="s">
        <v>24</v>
      </c>
      <c r="C10" s="15"/>
      <c r="D10" s="15"/>
      <c r="E10" s="16"/>
      <c r="F10" s="16"/>
      <c r="G10" s="16"/>
      <c r="H10" s="16"/>
      <c r="I10" s="16"/>
      <c r="J10" s="16"/>
      <c r="K10" s="16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6" x14ac:dyDescent="0.2">
      <c r="A11" s="8" t="s">
        <v>25</v>
      </c>
      <c r="B11" s="12" t="s">
        <v>26</v>
      </c>
      <c r="C11" s="13"/>
      <c r="D11" s="13"/>
      <c r="E11" s="9"/>
      <c r="F11" s="9"/>
      <c r="G11" s="9"/>
      <c r="H11" s="9"/>
      <c r="I11" s="9"/>
      <c r="J11" s="9"/>
      <c r="K11" s="9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6" x14ac:dyDescent="0.2">
      <c r="A12" s="8" t="s">
        <v>27</v>
      </c>
      <c r="B12" s="12">
        <v>2100</v>
      </c>
      <c r="C12" s="13"/>
      <c r="D12" s="13"/>
      <c r="E12" s="9"/>
      <c r="F12" s="9"/>
      <c r="G12" s="9"/>
      <c r="H12" s="9"/>
      <c r="I12" s="9"/>
      <c r="J12" s="9"/>
      <c r="K12" s="9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30.75" customHeight="1" x14ac:dyDescent="0.2">
      <c r="A13" s="8" t="s">
        <v>28</v>
      </c>
      <c r="B13" s="17" t="s">
        <v>29</v>
      </c>
      <c r="C13" s="18"/>
      <c r="D13" s="18"/>
      <c r="E13" s="19"/>
      <c r="F13" s="19"/>
      <c r="G13" s="19"/>
      <c r="H13" s="19"/>
      <c r="I13" s="19"/>
      <c r="J13" s="19"/>
      <c r="K13" s="19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6" x14ac:dyDescent="0.2">
      <c r="A14" s="8" t="s">
        <v>30</v>
      </c>
      <c r="B14" s="12">
        <v>20</v>
      </c>
      <c r="C14" s="13"/>
      <c r="D14" s="13"/>
      <c r="E14" s="9"/>
      <c r="F14" s="9"/>
      <c r="G14" s="9"/>
      <c r="H14" s="9"/>
      <c r="I14" s="9"/>
      <c r="J14" s="9"/>
      <c r="K14" s="9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6" x14ac:dyDescent="0.2">
      <c r="A15" s="8" t="s">
        <v>31</v>
      </c>
      <c r="B15" s="21">
        <v>0.75</v>
      </c>
      <c r="C15" s="22"/>
      <c r="D15" s="22"/>
      <c r="E15" s="23"/>
      <c r="F15" s="23"/>
      <c r="G15" s="23"/>
      <c r="H15" s="23"/>
      <c r="I15" s="23"/>
      <c r="J15" s="23"/>
      <c r="K15" s="2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6" x14ac:dyDescent="0.2">
      <c r="A16" s="8" t="s">
        <v>32</v>
      </c>
      <c r="B16" s="12" t="s">
        <v>33</v>
      </c>
      <c r="C16" s="13"/>
      <c r="D16" s="13"/>
      <c r="E16" s="9"/>
      <c r="F16" s="9"/>
      <c r="G16" s="9"/>
      <c r="H16" s="9"/>
      <c r="I16" s="9"/>
      <c r="J16" s="9"/>
      <c r="K16" s="9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30" x14ac:dyDescent="0.2">
      <c r="A17" s="24" t="s">
        <v>34</v>
      </c>
      <c r="B17" s="14" t="s">
        <v>272</v>
      </c>
      <c r="C17" s="15"/>
      <c r="D17" s="15"/>
      <c r="E17" s="9"/>
      <c r="F17" s="9"/>
      <c r="G17" s="9"/>
      <c r="H17" s="9"/>
      <c r="I17" s="9"/>
      <c r="J17" s="9"/>
      <c r="K17" s="9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30" x14ac:dyDescent="0.2">
      <c r="A18" s="24" t="s">
        <v>36</v>
      </c>
      <c r="B18" s="14" t="s">
        <v>240</v>
      </c>
      <c r="C18" s="15"/>
      <c r="D18" s="15"/>
      <c r="E18" s="9"/>
      <c r="F18" s="9"/>
      <c r="G18" s="9"/>
      <c r="H18" s="9"/>
      <c r="I18" s="9"/>
      <c r="J18" s="9"/>
      <c r="K18" s="9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30" x14ac:dyDescent="0.2">
      <c r="A19" s="24" t="s">
        <v>38</v>
      </c>
      <c r="B19" s="14" t="s">
        <v>37</v>
      </c>
      <c r="C19" s="15"/>
      <c r="D19" s="15"/>
      <c r="E19" s="9"/>
      <c r="F19" s="9"/>
      <c r="G19" s="9"/>
      <c r="H19" s="9"/>
      <c r="I19" s="9"/>
      <c r="J19" s="9"/>
      <c r="K19" s="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6" x14ac:dyDescent="0.2">
      <c r="A20" s="8" t="s">
        <v>40</v>
      </c>
      <c r="B20" s="25">
        <v>69.209999999999994</v>
      </c>
      <c r="C20" s="2"/>
      <c r="D20" s="2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5.75" customHeight="1" x14ac:dyDescent="0.2">
      <c r="A21" s="8" t="s">
        <v>41</v>
      </c>
      <c r="B21" s="25">
        <f>B20+B8+C8+D8</f>
        <v>70.61</v>
      </c>
      <c r="C21" s="2"/>
      <c r="D21" s="2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5.75" customHeight="1" x14ac:dyDescent="0.2">
      <c r="A22" s="7"/>
      <c r="B22" s="2"/>
      <c r="C22" s="2"/>
      <c r="D22" s="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5.75" customHeight="1" x14ac:dyDescent="0.2">
      <c r="A24" s="116" t="s">
        <v>42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8"/>
      <c r="L24" s="2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5.75" customHeight="1" x14ac:dyDescent="0.2">
      <c r="A25" s="27" t="s">
        <v>43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5.75" hidden="1" customHeight="1" x14ac:dyDescent="0.2">
      <c r="A26" s="27" t="s">
        <v>44</v>
      </c>
      <c r="B26" s="29" t="str">
        <f t="shared" ref="B26:K26" si="0">CONCATENATE(B9," - ",B11)</f>
        <v>Pommier - Axe</v>
      </c>
      <c r="C26" s="29" t="str">
        <f t="shared" si="0"/>
        <v xml:space="preserve"> - </v>
      </c>
      <c r="D26" s="29" t="str">
        <f t="shared" si="0"/>
        <v xml:space="preserve"> - </v>
      </c>
      <c r="E26" s="29" t="str">
        <f t="shared" si="0"/>
        <v xml:space="preserve"> - </v>
      </c>
      <c r="F26" s="29" t="str">
        <f t="shared" si="0"/>
        <v xml:space="preserve"> - </v>
      </c>
      <c r="G26" s="29" t="str">
        <f t="shared" si="0"/>
        <v xml:space="preserve"> - </v>
      </c>
      <c r="H26" s="29" t="str">
        <f t="shared" si="0"/>
        <v xml:space="preserve"> - </v>
      </c>
      <c r="I26" s="29" t="str">
        <f t="shared" si="0"/>
        <v xml:space="preserve"> - </v>
      </c>
      <c r="J26" s="29" t="str">
        <f t="shared" si="0"/>
        <v xml:space="preserve"> - </v>
      </c>
      <c r="K26" s="29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5.75" customHeight="1" x14ac:dyDescent="0.2">
      <c r="A27" s="30" t="s">
        <v>45</v>
      </c>
      <c r="B27" s="31">
        <f>IF(B12="","",VLOOKUP(B26,'(ne pas modifier) BDD_REF'!$C$21:$D$42,2,FALSE))</f>
        <v>1000</v>
      </c>
      <c r="C27" s="31" t="str">
        <f>IF(C12="","",VLOOKUP(C26,'(ne pas modifier) BDD_REF'!$C$21:$D$42,2,FALSE))</f>
        <v/>
      </c>
      <c r="D27" s="31" t="str">
        <f>IF(D12="","",VLOOKUP(D26,'(ne pas modifier) BDD_REF'!$C$21:$D$42,2,FALSE))</f>
        <v/>
      </c>
      <c r="E27" s="31" t="str">
        <f>IF(E12="","",VLOOKUP(E26,'(ne pas modifier) BDD_REF'!$C$21:$D$42,2,FALSE))</f>
        <v/>
      </c>
      <c r="F27" s="31" t="str">
        <f>IF(F12="","",VLOOKUP(F26,'(ne pas modifier) BDD_REF'!$C$21:$D$42,2,FALSE))</f>
        <v/>
      </c>
      <c r="G27" s="31" t="str">
        <f>IF(G12="","",VLOOKUP(G26,'(ne pas modifier) BDD_REF'!$C$21:$D$42,2,FALSE))</f>
        <v/>
      </c>
      <c r="H27" s="31" t="str">
        <f>IF(H12="","",VLOOKUP(H26,'(ne pas modifier) BDD_REF'!$C$21:$D$42,2,FALSE))</f>
        <v/>
      </c>
      <c r="I27" s="31" t="str">
        <f>IF(I12="","",VLOOKUP(I26,'(ne pas modifier) BDD_REF'!$C$21:$D$42,2,FALSE))</f>
        <v/>
      </c>
      <c r="J27" s="31" t="str">
        <f>IF(J12="","",VLOOKUP(J26,'(ne pas modifier) BDD_REF'!$C$21:$D$42,2,FALSE))</f>
        <v/>
      </c>
      <c r="K27" s="3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5.75" customHeight="1" x14ac:dyDescent="0.2">
      <c r="A28" s="30" t="s">
        <v>46</v>
      </c>
      <c r="B28" s="32" t="str">
        <f t="shared" ref="B28:K28" si="1">IF(B12="","",IF(B12&gt;=B27,"OUI","NON"))</f>
        <v>OUI</v>
      </c>
      <c r="C28" s="32" t="str">
        <f t="shared" si="1"/>
        <v/>
      </c>
      <c r="D28" s="32" t="str">
        <f t="shared" si="1"/>
        <v/>
      </c>
      <c r="E28" s="32" t="str">
        <f t="shared" si="1"/>
        <v/>
      </c>
      <c r="F28" s="32" t="str">
        <f t="shared" si="1"/>
        <v/>
      </c>
      <c r="G28" s="32" t="str">
        <f t="shared" si="1"/>
        <v/>
      </c>
      <c r="H28" s="32" t="str">
        <f t="shared" si="1"/>
        <v/>
      </c>
      <c r="I28" s="32" t="str">
        <f t="shared" si="1"/>
        <v/>
      </c>
      <c r="J28" s="32" t="str">
        <f t="shared" si="1"/>
        <v/>
      </c>
      <c r="K28" s="3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5.75" customHeight="1" x14ac:dyDescent="0.2">
      <c r="A29" s="33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5.75" customHeight="1" x14ac:dyDescent="0.2">
      <c r="A30" s="27" t="s">
        <v>47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5" customHeight="1" x14ac:dyDescent="0.2">
      <c r="A31" s="30" t="s">
        <v>48</v>
      </c>
      <c r="B31" s="32" t="str">
        <f t="shared" ref="B31:K31" si="2">IF(B21="","",IF(B21&gt;=B20,"OUI","NON"))</f>
        <v>OUI</v>
      </c>
      <c r="C31" s="34" t="str">
        <f t="shared" si="2"/>
        <v/>
      </c>
      <c r="D31" s="34" t="str">
        <f t="shared" si="2"/>
        <v/>
      </c>
      <c r="E31" s="34" t="str">
        <f t="shared" si="2"/>
        <v/>
      </c>
      <c r="F31" s="34" t="str">
        <f t="shared" si="2"/>
        <v/>
      </c>
      <c r="G31" s="34" t="str">
        <f t="shared" si="2"/>
        <v/>
      </c>
      <c r="H31" s="34" t="str">
        <f t="shared" si="2"/>
        <v/>
      </c>
      <c r="I31" s="34" t="str">
        <f t="shared" si="2"/>
        <v/>
      </c>
      <c r="J31" s="34" t="str">
        <f t="shared" si="2"/>
        <v/>
      </c>
      <c r="K31" s="34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5.75" customHeight="1" x14ac:dyDescent="0.2">
      <c r="A33" s="27" t="s">
        <v>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6" t="s">
        <v>18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5.75" hidden="1" customHeight="1" x14ac:dyDescent="0.2">
      <c r="A34" s="30" t="s">
        <v>50</v>
      </c>
      <c r="B34" s="35" t="str">
        <f>CONCATENATE(Eligibilité_projet!B13," - ",Eligibilité_projet!B16)</f>
        <v>Hors climat Mediterranéen - Grandes cultures</v>
      </c>
      <c r="C34" s="35" t="str">
        <f>CONCATENATE(Eligibilité_projet!C13," - ",Eligibilité_projet!C16)</f>
        <v xml:space="preserve"> - </v>
      </c>
      <c r="D34" s="35" t="str">
        <f>CONCATENATE(Eligibilité_projet!D13," - ",Eligibilité_projet!D16)</f>
        <v xml:space="preserve"> - </v>
      </c>
      <c r="E34" s="35" t="str">
        <f>CONCATENATE(Eligibilité_projet!E13," - ",Eligibilité_projet!E16)</f>
        <v xml:space="preserve"> - </v>
      </c>
      <c r="F34" s="35" t="str">
        <f>CONCATENATE(Eligibilité_projet!F13," - ",Eligibilité_projet!F16)</f>
        <v xml:space="preserve"> - </v>
      </c>
      <c r="G34" s="35" t="str">
        <f>CONCATENATE(Eligibilité_projet!G13," - ",Eligibilité_projet!G16)</f>
        <v xml:space="preserve"> - </v>
      </c>
      <c r="H34" s="35" t="str">
        <f>CONCATENATE(Eligibilité_projet!H13," - ",Eligibilité_projet!H16)</f>
        <v xml:space="preserve"> - </v>
      </c>
      <c r="I34" s="35" t="str">
        <f>CONCATENATE(Eligibilité_projet!I13," - ",Eligibilité_projet!I16)</f>
        <v xml:space="preserve"> - </v>
      </c>
      <c r="J34" s="35" t="str">
        <f>CONCATENATE(Eligibilité_projet!J13," - ",Eligibilité_projet!J16)</f>
        <v xml:space="preserve"> - </v>
      </c>
      <c r="K34" s="35" t="str">
        <f>CONCATENATE(Eligibilité_projet!K13," - ",Eligibilité_projet!K16)</f>
        <v xml:space="preserve"> - 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5.75" hidden="1" customHeight="1" x14ac:dyDescent="0.2">
      <c r="A35" s="30" t="s">
        <v>51</v>
      </c>
      <c r="B35" s="35" t="str">
        <f>CONCATENATE(Eligibilité_projet!B14," - ",Eligibilité_projet!B16,"-",Eligibilité_projet!B13)</f>
        <v>20 - Grandes cultures-Hors climat Mediterranéen</v>
      </c>
      <c r="C35" s="35" t="str">
        <f>CONCATENATE(Eligibilité_projet!C14," - ",Eligibilité_projet!C16,"-",Eligibilité_projet!C13)</f>
        <v xml:space="preserve"> - -</v>
      </c>
      <c r="D35" s="35" t="str">
        <f>CONCATENATE(Eligibilité_projet!D14," - ",Eligibilité_projet!D16,"-",Eligibilité_projet!D13)</f>
        <v xml:space="preserve"> - -</v>
      </c>
      <c r="E35" s="35" t="str">
        <f>CONCATENATE(Eligibilité_projet!E14," - ",Eligibilité_projet!E16,"-",Eligibilité_projet!E13)</f>
        <v xml:space="preserve"> - -</v>
      </c>
      <c r="F35" s="35" t="str">
        <f>CONCATENATE(Eligibilité_projet!F14," - ",Eligibilité_projet!F16,"-",Eligibilité_projet!F13)</f>
        <v xml:space="preserve"> - -</v>
      </c>
      <c r="G35" s="35" t="str">
        <f>CONCATENATE(Eligibilité_projet!G14," - ",Eligibilité_projet!G16,"-",Eligibilité_projet!G13)</f>
        <v xml:space="preserve"> - -</v>
      </c>
      <c r="H35" s="35" t="str">
        <f>CONCATENATE(Eligibilité_projet!H14," - ",Eligibilité_projet!H16,"-",Eligibilité_projet!H13)</f>
        <v xml:space="preserve"> - -</v>
      </c>
      <c r="I35" s="35" t="str">
        <f>CONCATENATE(Eligibilité_projet!I14," - ",Eligibilité_projet!I16,"-",Eligibilité_projet!I13)</f>
        <v xml:space="preserve"> - -</v>
      </c>
      <c r="J35" s="35" t="str">
        <f>CONCATENATE(Eligibilité_projet!J14," - ",Eligibilité_projet!J16,"-",Eligibilité_projet!J13)</f>
        <v xml:space="preserve"> - -</v>
      </c>
      <c r="K35" s="35" t="str">
        <f>CONCATENATE(Eligibilité_projet!K14," - ",Eligibilité_projet!K16,"-",Eligibilité_projet!K13)</f>
        <v xml:space="preserve"> - -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5.75" customHeight="1" x14ac:dyDescent="0.2">
      <c r="A36" s="30" t="s">
        <v>52</v>
      </c>
      <c r="B36" s="36">
        <f>RECant_sol!C9</f>
        <v>12.063333333333331</v>
      </c>
      <c r="C36" s="36">
        <f>RECant_sol!D9</f>
        <v>0</v>
      </c>
      <c r="D36" s="36">
        <f>RECant_sol!E9</f>
        <v>0</v>
      </c>
      <c r="E36" s="36">
        <f>RECant_sol!F9</f>
        <v>0</v>
      </c>
      <c r="F36" s="36">
        <f>RECant_sol!G9</f>
        <v>0</v>
      </c>
      <c r="G36" s="36">
        <f>RECant_sol!H9</f>
        <v>0</v>
      </c>
      <c r="H36" s="36">
        <f>RECant_sol!I9</f>
        <v>0</v>
      </c>
      <c r="I36" s="36">
        <f>RECant_sol!J9</f>
        <v>0</v>
      </c>
      <c r="J36" s="36">
        <f>RECant_sol!K9</f>
        <v>0</v>
      </c>
      <c r="K36" s="36">
        <f>RECant_sol!L9</f>
        <v>0</v>
      </c>
      <c r="L36" s="37">
        <f t="shared" ref="L36:L38" si="3">SUM(B36:K36)</f>
        <v>12.063333333333331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5.75" customHeight="1" x14ac:dyDescent="0.2">
      <c r="A37" s="30" t="s">
        <v>53</v>
      </c>
      <c r="B37" s="38">
        <f>RECant_biom!C28</f>
        <v>57.419999999999995</v>
      </c>
      <c r="C37" s="38">
        <f>RECant_biom!D28</f>
        <v>0</v>
      </c>
      <c r="D37" s="39">
        <f>RECant_biom!E28</f>
        <v>0</v>
      </c>
      <c r="E37" s="39">
        <f>RECant_biom!F28</f>
        <v>0</v>
      </c>
      <c r="F37" s="39">
        <f>RECant_biom!G28</f>
        <v>0</v>
      </c>
      <c r="G37" s="39">
        <f>RECant_biom!H28</f>
        <v>0</v>
      </c>
      <c r="H37" s="39">
        <f>RECant_biom!I28</f>
        <v>0</v>
      </c>
      <c r="I37" s="39">
        <f>RECant_biom!J28</f>
        <v>0</v>
      </c>
      <c r="J37" s="39">
        <f>RECant_biom!K28</f>
        <v>0</v>
      </c>
      <c r="K37" s="39">
        <f>RECant_biom!L28</f>
        <v>0</v>
      </c>
      <c r="L37" s="40">
        <f t="shared" si="3"/>
        <v>57.419999999999995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5.75" customHeight="1" x14ac:dyDescent="0.2">
      <c r="A38" s="41" t="s">
        <v>54</v>
      </c>
      <c r="B38" s="38">
        <f t="shared" ref="B38:K38" si="4">IF(B36="","",B36+B37)</f>
        <v>69.48333333333332</v>
      </c>
      <c r="C38" s="38">
        <f t="shared" si="4"/>
        <v>0</v>
      </c>
      <c r="D38" s="39">
        <f t="shared" si="4"/>
        <v>0</v>
      </c>
      <c r="E38" s="39">
        <f t="shared" si="4"/>
        <v>0</v>
      </c>
      <c r="F38" s="39">
        <f t="shared" si="4"/>
        <v>0</v>
      </c>
      <c r="G38" s="39">
        <f t="shared" si="4"/>
        <v>0</v>
      </c>
      <c r="H38" s="39">
        <f t="shared" si="4"/>
        <v>0</v>
      </c>
      <c r="I38" s="39">
        <f t="shared" si="4"/>
        <v>0</v>
      </c>
      <c r="J38" s="39">
        <f t="shared" si="4"/>
        <v>0</v>
      </c>
      <c r="K38" s="39">
        <f t="shared" si="4"/>
        <v>0</v>
      </c>
      <c r="L38" s="40">
        <f t="shared" si="3"/>
        <v>69.48333333333332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5.75" customHeight="1" x14ac:dyDescent="0.2">
      <c r="A39" s="30" t="s">
        <v>48</v>
      </c>
      <c r="B39" s="32" t="str">
        <f t="shared" ref="B39:K39" si="5">IF(AND(B36=0,B37=0),"",IF(B38&gt;0,"OUI","NON"))</f>
        <v>OUI</v>
      </c>
      <c r="C39" s="32" t="str">
        <f t="shared" si="5"/>
        <v/>
      </c>
      <c r="D39" s="32" t="str">
        <f t="shared" si="5"/>
        <v/>
      </c>
      <c r="E39" s="32" t="str">
        <f t="shared" si="5"/>
        <v/>
      </c>
      <c r="F39" s="32" t="str">
        <f t="shared" si="5"/>
        <v/>
      </c>
      <c r="G39" s="32" t="str">
        <f t="shared" si="5"/>
        <v/>
      </c>
      <c r="H39" s="32" t="str">
        <f t="shared" si="5"/>
        <v/>
      </c>
      <c r="I39" s="32" t="str">
        <f t="shared" si="5"/>
        <v/>
      </c>
      <c r="J39" s="32" t="str">
        <f t="shared" si="5"/>
        <v/>
      </c>
      <c r="K39" s="32" t="str">
        <f t="shared" si="5"/>
        <v/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5.75" customHeight="1" x14ac:dyDescent="0.2">
      <c r="A40" s="4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5.75" customHeight="1" x14ac:dyDescent="0.2">
      <c r="A42" s="27" t="s">
        <v>55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5.75" customHeight="1" x14ac:dyDescent="0.2">
      <c r="A43" s="30" t="s">
        <v>48</v>
      </c>
      <c r="B43" s="32" t="str">
        <f t="shared" ref="B43:K43" si="6">IF(B15="","",IF(B15&gt;=0.5,"OUI","NON"))</f>
        <v>OUI</v>
      </c>
      <c r="C43" s="32" t="str">
        <f t="shared" si="6"/>
        <v/>
      </c>
      <c r="D43" s="32" t="str">
        <f t="shared" si="6"/>
        <v/>
      </c>
      <c r="E43" s="32" t="str">
        <f t="shared" si="6"/>
        <v/>
      </c>
      <c r="F43" s="32" t="str">
        <f t="shared" si="6"/>
        <v/>
      </c>
      <c r="G43" s="32" t="str">
        <f t="shared" si="6"/>
        <v/>
      </c>
      <c r="H43" s="32" t="str">
        <f t="shared" si="6"/>
        <v/>
      </c>
      <c r="I43" s="32" t="str">
        <f t="shared" si="6"/>
        <v/>
      </c>
      <c r="J43" s="32" t="str">
        <f t="shared" si="6"/>
        <v/>
      </c>
      <c r="K43" s="32" t="str">
        <f t="shared" si="6"/>
        <v/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</sheetData>
  <mergeCells count="3">
    <mergeCell ref="A2:B2"/>
    <mergeCell ref="A5:K5"/>
    <mergeCell ref="A24:K24"/>
  </mergeCells>
  <dataValidations count="1">
    <dataValidation type="list" allowBlank="1" showErrorMessage="1" sqref="C2" xr:uid="{00000000-0002-0000-0100-000000000000}">
      <formula1>$AG$2:$AG$3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1000000}">
          <x14:formula1>
            <xm:f>'(ne pas modifier) LISTES'!$C$2:$C$17</xm:f>
          </x14:formula1>
          <xm:sqref>B9:K9</xm:sqref>
        </x14:dataValidation>
        <x14:dataValidation type="list" allowBlank="1" showErrorMessage="1" xr:uid="{00000000-0002-0000-0100-000002000000}">
          <x14:formula1>
            <xm:f>'(ne pas modifier) LISTES'!$F$2:$F$57</xm:f>
          </x14:formula1>
          <xm:sqref>B17:K19</xm:sqref>
        </x14:dataValidation>
        <x14:dataValidation type="list" allowBlank="1" showErrorMessage="1" xr:uid="{00000000-0002-0000-0100-000003000000}">
          <x14:formula1>
            <xm:f>'(ne pas modifier) LISTES'!$D$2:$D$7</xm:f>
          </x14:formula1>
          <xm:sqref>E8:K8 B11:K11 B13:K13</xm:sqref>
        </x14:dataValidation>
        <x14:dataValidation type="list" allowBlank="1" showErrorMessage="1" xr:uid="{00000000-0002-0000-0100-000004000000}">
          <x14:formula1>
            <xm:f>'(ne pas modifier) BDD_REF'!$A$194:$A$203</xm:f>
          </x14:formula1>
          <xm:sqref>B10:K10</xm:sqref>
        </x14:dataValidation>
        <x14:dataValidation type="list" allowBlank="1" showErrorMessage="1" xr:uid="{00000000-0002-0000-0100-000005000000}">
          <x14:formula1>
            <xm:f>'(ne pas modifier) LISTES'!$B$2:$B$5</xm:f>
          </x14:formula1>
          <xm:sqref>B16:K16</xm:sqref>
        </x14:dataValidation>
        <x14:dataValidation type="list" allowBlank="1" showErrorMessage="1" xr:uid="{00000000-0002-0000-0100-000006000000}">
          <x14:formula1>
            <xm:f>'(ne pas modifier) LISTES'!$E$2:$E$12</xm:f>
          </x14:formula1>
          <xm:sqref>B14:K14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1" width="46.6640625" customWidth="1"/>
    <col min="2" max="26" width="11.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">
      <c r="A2" s="119" t="s">
        <v>56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/>
      <c r="B4" s="43" t="s">
        <v>8</v>
      </c>
      <c r="C4" s="43" t="s">
        <v>9</v>
      </c>
      <c r="D4" s="43" t="s">
        <v>10</v>
      </c>
      <c r="E4" s="43" t="s">
        <v>11</v>
      </c>
      <c r="F4" s="43" t="s">
        <v>12</v>
      </c>
      <c r="G4" s="43" t="s">
        <v>13</v>
      </c>
      <c r="H4" s="43" t="s">
        <v>14</v>
      </c>
      <c r="I4" s="43" t="s">
        <v>15</v>
      </c>
      <c r="J4" s="43" t="s">
        <v>16</v>
      </c>
      <c r="K4" s="43" t="s">
        <v>17</v>
      </c>
      <c r="L4" s="43" t="s">
        <v>57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8" t="s">
        <v>58</v>
      </c>
      <c r="B5" s="44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3.0626453365151334</v>
      </c>
      <c r="C5" s="44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44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44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44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44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44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44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44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44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44">
        <f t="shared" ref="L5:L7" si="0">SUM(B5:K5)</f>
        <v>3.0626453365151334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8" t="s">
        <v>59</v>
      </c>
      <c r="B6" s="44">
        <f>IF(Eligibilité_projet!B10="",0,VLOOKUP(Eligibilité_projet!B10,'(ne pas modifier) BDD_REF'!$A$194:$B$203,2,FALSE)/1000)</f>
        <v>3.3667024762240003</v>
      </c>
      <c r="C6" s="44">
        <f>IF(Eligibilité_projet!C10="",0,VLOOKUP(Eligibilité_projet!C10,'(ne pas modifier) BDD_REF'!$A$194:$B$203,2,FALSE)/1000)</f>
        <v>0</v>
      </c>
      <c r="D6" s="44">
        <f>IF(Eligibilité_projet!D10="",0,VLOOKUP(Eligibilité_projet!D10,'(ne pas modifier) BDD_REF'!$A$194:$B$203,2,FALSE)/1000)</f>
        <v>0</v>
      </c>
      <c r="E6" s="44">
        <f>IF(Eligibilité_projet!E10="",0,VLOOKUP(Eligibilité_projet!E10,'(ne pas modifier) BDD_REF'!$A$194:$B$203,2,FALSE)/1000)</f>
        <v>0</v>
      </c>
      <c r="F6" s="44">
        <f>IF(Eligibilité_projet!F10="",0,VLOOKUP(Eligibilité_projet!F10,'(ne pas modifier) BDD_REF'!$A$194:$B$203,2,FALSE)/1000)</f>
        <v>0</v>
      </c>
      <c r="G6" s="44">
        <f>IF(Eligibilité_projet!G10="",0,VLOOKUP(Eligibilité_projet!G10,'(ne pas modifier) BDD_REF'!$A$194:$B$203,2,FALSE)/1000)</f>
        <v>0</v>
      </c>
      <c r="H6" s="44">
        <f>IF(Eligibilité_projet!H10="",0,VLOOKUP(Eligibilité_projet!H10,'(ne pas modifier) BDD_REF'!$A$194:$B$203,2,FALSE)/1000)</f>
        <v>0</v>
      </c>
      <c r="I6" s="44">
        <f>IF(Eligibilité_projet!I10="",0,VLOOKUP(Eligibilité_projet!I10,'(ne pas modifier) BDD_REF'!$A$194:$B$203,2,FALSE)/1000)</f>
        <v>0</v>
      </c>
      <c r="J6" s="44">
        <f>IF(Eligibilité_projet!J10="",0,VLOOKUP(Eligibilité_projet!J10,'(ne pas modifier) BDD_REF'!$A$194:$B$203,2,FALSE)/1000)</f>
        <v>0</v>
      </c>
      <c r="K6" s="44">
        <f>IF(Eligibilité_projet!K10="",0,VLOOKUP(Eligibilité_projet!K10,'(ne pas modifier) BDD_REF'!$A$194:$B$203,2,FALSE)/1000)</f>
        <v>0</v>
      </c>
      <c r="L6" s="44">
        <f t="shared" si="0"/>
        <v>3.3667024762240003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8" t="s">
        <v>60</v>
      </c>
      <c r="B7" s="44">
        <f>IF(OR('RECeff + REIamont (1)'!B5="pas de calcul possible",'RECeff + REIamont (1)'!B6="pas de calcul possible"),"pas de calcul possible",('RECeff + REIamont (1)'!B6-'RECeff + REIamont (1)'!B5)*5*Eligibilité_projet!B8)</f>
        <v>2.1283999779620686</v>
      </c>
      <c r="C7" s="44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44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44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44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44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44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44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44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44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44">
        <f t="shared" si="0"/>
        <v>2.1283999779620686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L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000"/>
  <sheetViews>
    <sheetView workbookViewId="0">
      <selection activeCell="D131" sqref="D131:E132"/>
    </sheetView>
  </sheetViews>
  <sheetFormatPr baseColWidth="10" defaultColWidth="14.5" defaultRowHeight="15" customHeight="1" x14ac:dyDescent="0.2"/>
  <cols>
    <col min="1" max="1" width="12.5" customWidth="1"/>
    <col min="2" max="2" width="53.83203125" customWidth="1"/>
    <col min="3" max="33" width="11.5" customWidth="1"/>
  </cols>
  <sheetData>
    <row r="1" spans="1:3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6" customHeight="1" x14ac:dyDescent="0.2">
      <c r="A2" s="1"/>
      <c r="B2" s="122" t="s">
        <v>61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8.5" customHeight="1" x14ac:dyDescent="0.2">
      <c r="A4" s="2"/>
      <c r="B4" s="2"/>
      <c r="C4" s="43" t="s">
        <v>8</v>
      </c>
      <c r="D4" s="43" t="s">
        <v>9</v>
      </c>
      <c r="E4" s="43" t="s">
        <v>10</v>
      </c>
      <c r="F4" s="43" t="s">
        <v>11</v>
      </c>
      <c r="G4" s="43" t="s">
        <v>12</v>
      </c>
      <c r="H4" s="43" t="s">
        <v>13</v>
      </c>
      <c r="I4" s="43" t="s">
        <v>14</v>
      </c>
      <c r="J4" s="43" t="s">
        <v>15</v>
      </c>
      <c r="K4" s="43" t="s">
        <v>16</v>
      </c>
      <c r="L4" s="43" t="s">
        <v>17</v>
      </c>
      <c r="M4" s="45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x14ac:dyDescent="0.2">
      <c r="A5" s="1"/>
      <c r="B5" s="8" t="s">
        <v>62</v>
      </c>
      <c r="C5" s="4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3.0626453365151334</v>
      </c>
      <c r="D5" s="4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6">
        <f>SUM(C5:L5)</f>
        <v>3.0626453365151334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6" x14ac:dyDescent="0.2">
      <c r="A7" s="43" t="s">
        <v>63</v>
      </c>
      <c r="B7" s="30" t="s">
        <v>64</v>
      </c>
      <c r="C7" s="47">
        <v>51</v>
      </c>
      <c r="D7" s="48"/>
      <c r="E7" s="48"/>
      <c r="F7" s="9"/>
      <c r="G7" s="9"/>
      <c r="H7" s="9"/>
      <c r="I7" s="9"/>
      <c r="J7" s="9"/>
      <c r="K7" s="9"/>
      <c r="L7" s="9"/>
      <c r="M7" s="46">
        <f t="shared" ref="M7:M144" si="0">SUM(C7:L7)</f>
        <v>51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6" x14ac:dyDescent="0.2">
      <c r="A8" s="1"/>
      <c r="B8" s="30" t="s">
        <v>65</v>
      </c>
      <c r="C8" s="12">
        <v>0</v>
      </c>
      <c r="D8" s="13"/>
      <c r="E8" s="13"/>
      <c r="F8" s="9"/>
      <c r="G8" s="9"/>
      <c r="H8" s="9"/>
      <c r="I8" s="9"/>
      <c r="J8" s="9"/>
      <c r="K8" s="9"/>
      <c r="L8" s="9"/>
      <c r="M8" s="46">
        <f t="shared" si="0"/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6" x14ac:dyDescent="0.2">
      <c r="A9" s="1"/>
      <c r="B9" s="30" t="s">
        <v>66</v>
      </c>
      <c r="C9" s="12">
        <v>30</v>
      </c>
      <c r="D9" s="13"/>
      <c r="E9" s="13"/>
      <c r="F9" s="9"/>
      <c r="G9" s="9"/>
      <c r="H9" s="9"/>
      <c r="I9" s="9"/>
      <c r="J9" s="9"/>
      <c r="K9" s="9"/>
      <c r="L9" s="9"/>
      <c r="M9" s="46">
        <f t="shared" si="0"/>
        <v>30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6" x14ac:dyDescent="0.2">
      <c r="A10" s="1"/>
      <c r="B10" s="49" t="s">
        <v>67</v>
      </c>
      <c r="C10" s="50">
        <f>C7*'(ne pas modifier) BDD_REF'!$B$206 + (C8+C9)*'(ne pas modifier) BDD_REF'!$B$207</f>
        <v>0.996</v>
      </c>
      <c r="D10" s="51">
        <f>D7*'(ne pas modifier) BDD_REF'!$B$206 + (D8+D9)*'(ne pas modifier) BDD_REF'!$B$207</f>
        <v>0</v>
      </c>
      <c r="E10" s="51">
        <f>E7*'(ne pas modifier) BDD_REF'!$B$206 + (E8+E9)*'(ne pas modifier) BDD_REF'!$B$207</f>
        <v>0</v>
      </c>
      <c r="F10" s="46">
        <f>F7*'(ne pas modifier) BDD_REF'!$B$206 + (F8+F9)*'(ne pas modifier) BDD_REF'!$B$207</f>
        <v>0</v>
      </c>
      <c r="G10" s="46">
        <f>G7*'(ne pas modifier) BDD_REF'!$B$206 + (G8+G9)*'(ne pas modifier) BDD_REF'!$B$207</f>
        <v>0</v>
      </c>
      <c r="H10" s="46">
        <f>H7*'(ne pas modifier) BDD_REF'!$B$206 + (H8+H9)*'(ne pas modifier) BDD_REF'!$B$207</f>
        <v>0</v>
      </c>
      <c r="I10" s="46">
        <f>I7*'(ne pas modifier) BDD_REF'!$B$206 + (I8+I9)*'(ne pas modifier) BDD_REF'!$B$207</f>
        <v>0</v>
      </c>
      <c r="J10" s="46">
        <f>J7*'(ne pas modifier) BDD_REF'!$B$206 + (J8+J9)*'(ne pas modifier) BDD_REF'!$B$207</f>
        <v>0</v>
      </c>
      <c r="K10" s="46">
        <f>K7*'(ne pas modifier) BDD_REF'!$B$206 + (K8+K9)*'(ne pas modifier) BDD_REF'!$B$207</f>
        <v>0</v>
      </c>
      <c r="L10" s="46">
        <f>L7*'(ne pas modifier) BDD_REF'!$B$206 + (L8+L9)*'(ne pas modifier) BDD_REF'!$B$207</f>
        <v>0</v>
      </c>
      <c r="M10" s="46">
        <f t="shared" si="0"/>
        <v>0.996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6" x14ac:dyDescent="0.2">
      <c r="A11" s="1"/>
      <c r="B11" s="49" t="s">
        <v>68</v>
      </c>
      <c r="C11" s="50">
        <f>((C7*'(ne pas modifier) BDD_REF'!$B$219)+('RECeff + REIamont (2)'!C8+'RECeff + REIamont (2)'!C9)*'(ne pas modifier) BDD_REF'!$B$220)*'(ne pas modifier) BDD_REF'!$B$208</f>
        <v>0.1191</v>
      </c>
      <c r="D11" s="51">
        <f>((D7*'(ne pas modifier) BDD_REF'!$B$219)+('RECeff + REIamont (2)'!D8+'RECeff + REIamont (2)'!D9)*'(ne pas modifier) BDD_REF'!$B$220)*'(ne pas modifier) BDD_REF'!$B$208</f>
        <v>0</v>
      </c>
      <c r="E11" s="51">
        <f>((E7*'(ne pas modifier) BDD_REF'!$B$219)+('RECeff + REIamont (2)'!E8+'RECeff + REIamont (2)'!E9)*'(ne pas modifier) BDD_REF'!$B$220)*'(ne pas modifier) BDD_REF'!$B$208</f>
        <v>0</v>
      </c>
      <c r="F11" s="46">
        <f>((F7*'(ne pas modifier) BDD_REF'!$B$219)+('RECeff + REIamont (2)'!F8+'RECeff + REIamont (2)'!F9)*'(ne pas modifier) BDD_REF'!$B$220)*'(ne pas modifier) BDD_REF'!$B$208</f>
        <v>0</v>
      </c>
      <c r="G11" s="46">
        <f>((G7*'(ne pas modifier) BDD_REF'!$B$219)+('RECeff + REIamont (2)'!G8+'RECeff + REIamont (2)'!G9)*'(ne pas modifier) BDD_REF'!$B$220)*'(ne pas modifier) BDD_REF'!$B$208</f>
        <v>0</v>
      </c>
      <c r="H11" s="46">
        <f>((H7*'(ne pas modifier) BDD_REF'!$B$219)+('RECeff + REIamont (2)'!H8+'RECeff + REIamont (2)'!H9)*'(ne pas modifier) BDD_REF'!$B$220)*'(ne pas modifier) BDD_REF'!$B$208</f>
        <v>0</v>
      </c>
      <c r="I11" s="46">
        <f>((I7*'(ne pas modifier) BDD_REF'!$B$219)+('RECeff + REIamont (2)'!I8+'RECeff + REIamont (2)'!I9)*'(ne pas modifier) BDD_REF'!$B$220)*'(ne pas modifier) BDD_REF'!$B$208</f>
        <v>0</v>
      </c>
      <c r="J11" s="46">
        <f>((J7*'(ne pas modifier) BDD_REF'!$B$219)+('RECeff + REIamont (2)'!J8+'RECeff + REIamont (2)'!J9)*'(ne pas modifier) BDD_REF'!$B$220)*'(ne pas modifier) BDD_REF'!$B$208</f>
        <v>0</v>
      </c>
      <c r="K11" s="46">
        <f>((K7*'(ne pas modifier) BDD_REF'!$B$219)+('RECeff + REIamont (2)'!K8+'RECeff + REIamont (2)'!K9)*'(ne pas modifier) BDD_REF'!$B$220)*'(ne pas modifier) BDD_REF'!$B$208</f>
        <v>0</v>
      </c>
      <c r="L11" s="46">
        <f>((L7*'(ne pas modifier) BDD_REF'!$B$219)+('RECeff + REIamont (2)'!L8+'RECeff + REIamont (2)'!L9)*'(ne pas modifier) BDD_REF'!$B$220)*'(ne pas modifier) BDD_REF'!$B$208</f>
        <v>0</v>
      </c>
      <c r="M11" s="46">
        <f t="shared" si="0"/>
        <v>0.1191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6" x14ac:dyDescent="0.2">
      <c r="A12" s="1"/>
      <c r="B12" s="49" t="s">
        <v>69</v>
      </c>
      <c r="C12" s="50">
        <f>(C7+C8+C9)*'(ne pas modifier) BDD_REF'!$B$221*'(ne pas modifier) BDD_REF'!$B$209</f>
        <v>0.21383999999999997</v>
      </c>
      <c r="D12" s="51">
        <f>(D7+D8+D9)*'(ne pas modifier) BDD_REF'!$B$221*'(ne pas modifier) BDD_REF'!$B$209</f>
        <v>0</v>
      </c>
      <c r="E12" s="51">
        <f>(E7+E8+E9)*'(ne pas modifier) BDD_REF'!$B$221*'(ne pas modifier) BDD_REF'!$B$209</f>
        <v>0</v>
      </c>
      <c r="F12" s="46">
        <f>(F7+F8+F9)*'(ne pas modifier) BDD_REF'!$B$221*'(ne pas modifier) BDD_REF'!$B$209</f>
        <v>0</v>
      </c>
      <c r="G12" s="46">
        <f>(G7+G8+G9)*'(ne pas modifier) BDD_REF'!$B$221*'(ne pas modifier) BDD_REF'!$B$209</f>
        <v>0</v>
      </c>
      <c r="H12" s="46">
        <f>(H7+H8+H9)*'(ne pas modifier) BDD_REF'!$B$221*'(ne pas modifier) BDD_REF'!$B$209</f>
        <v>0</v>
      </c>
      <c r="I12" s="46">
        <f>(I7+I8+I9)*'(ne pas modifier) BDD_REF'!$B$221*'(ne pas modifier) BDD_REF'!$B$209</f>
        <v>0</v>
      </c>
      <c r="J12" s="46">
        <f>(J7+J8+J9)*'(ne pas modifier) BDD_REF'!$B$221*'(ne pas modifier) BDD_REF'!$B$209</f>
        <v>0</v>
      </c>
      <c r="K12" s="46">
        <f>(K7+K8+K9)*'(ne pas modifier) BDD_REF'!$B$221*'(ne pas modifier) BDD_REF'!$B$209</f>
        <v>0</v>
      </c>
      <c r="L12" s="46">
        <f>(L7+L8+L9)*'(ne pas modifier) BDD_REF'!$B$221*'(ne pas modifier) BDD_REF'!$B$209</f>
        <v>0</v>
      </c>
      <c r="M12" s="46">
        <f t="shared" si="0"/>
        <v>0.21383999999999997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6" x14ac:dyDescent="0.2">
      <c r="A13" s="1"/>
      <c r="B13" s="30" t="s">
        <v>70</v>
      </c>
      <c r="C13" s="12">
        <v>0</v>
      </c>
      <c r="D13" s="13"/>
      <c r="E13" s="13"/>
      <c r="F13" s="9"/>
      <c r="G13" s="9"/>
      <c r="H13" s="9"/>
      <c r="I13" s="9"/>
      <c r="J13" s="9"/>
      <c r="K13" s="9"/>
      <c r="L13" s="9"/>
      <c r="M13" s="46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6" x14ac:dyDescent="0.2">
      <c r="A14" s="1"/>
      <c r="B14" s="30" t="s">
        <v>71</v>
      </c>
      <c r="C14" s="12">
        <v>193.5</v>
      </c>
      <c r="D14" s="13"/>
      <c r="E14" s="13"/>
      <c r="F14" s="9"/>
      <c r="G14" s="9"/>
      <c r="H14" s="9"/>
      <c r="I14" s="9"/>
      <c r="J14" s="9"/>
      <c r="K14" s="9"/>
      <c r="L14" s="9"/>
      <c r="M14" s="46">
        <f t="shared" si="0"/>
        <v>193.5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6" x14ac:dyDescent="0.2">
      <c r="A15" s="1"/>
      <c r="B15" s="30" t="s">
        <v>72</v>
      </c>
      <c r="C15" s="12">
        <v>0</v>
      </c>
      <c r="D15" s="13"/>
      <c r="E15" s="13"/>
      <c r="F15" s="9"/>
      <c r="G15" s="9"/>
      <c r="H15" s="9"/>
      <c r="I15" s="9"/>
      <c r="J15" s="9"/>
      <c r="K15" s="9"/>
      <c r="L15" s="9"/>
      <c r="M15" s="46">
        <f t="shared" si="0"/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6" x14ac:dyDescent="0.2">
      <c r="A16" s="1"/>
      <c r="B16" s="30" t="s">
        <v>73</v>
      </c>
      <c r="C16" s="12">
        <v>0</v>
      </c>
      <c r="D16" s="13"/>
      <c r="E16" s="13"/>
      <c r="F16" s="9"/>
      <c r="G16" s="9"/>
      <c r="H16" s="9"/>
      <c r="I16" s="9"/>
      <c r="J16" s="9"/>
      <c r="K16" s="9"/>
      <c r="L16" s="9"/>
      <c r="M16" s="46">
        <f t="shared" si="0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6" x14ac:dyDescent="0.2">
      <c r="A17" s="1"/>
      <c r="B17" s="30" t="s">
        <v>74</v>
      </c>
      <c r="C17" s="12">
        <v>0</v>
      </c>
      <c r="D17" s="13"/>
      <c r="E17" s="13"/>
      <c r="F17" s="9"/>
      <c r="G17" s="9"/>
      <c r="H17" s="9"/>
      <c r="I17" s="9"/>
      <c r="J17" s="9"/>
      <c r="K17" s="9"/>
      <c r="L17" s="9"/>
      <c r="M17" s="46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6" x14ac:dyDescent="0.2">
      <c r="A18" s="1"/>
      <c r="B18" s="30" t="s">
        <v>75</v>
      </c>
      <c r="C18" s="12">
        <v>0</v>
      </c>
      <c r="D18" s="13"/>
      <c r="E18" s="13"/>
      <c r="F18" s="9"/>
      <c r="G18" s="9"/>
      <c r="H18" s="9"/>
      <c r="I18" s="9"/>
      <c r="J18" s="9"/>
      <c r="K18" s="9"/>
      <c r="L18" s="9"/>
      <c r="M18" s="46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6" x14ac:dyDescent="0.2">
      <c r="A19" s="1"/>
      <c r="B19" s="8" t="s">
        <v>76</v>
      </c>
      <c r="C19" s="50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0.59423849999999989</v>
      </c>
      <c r="D19" s="51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51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6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6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6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6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6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6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6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6">
        <f t="shared" si="0"/>
        <v>0.59423849999999989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6" x14ac:dyDescent="0.2">
      <c r="A20" s="1"/>
      <c r="B20" s="30" t="s">
        <v>77</v>
      </c>
      <c r="C20" s="12">
        <v>2000</v>
      </c>
      <c r="D20" s="13"/>
      <c r="E20" s="13"/>
      <c r="F20" s="9"/>
      <c r="G20" s="9"/>
      <c r="H20" s="9"/>
      <c r="I20" s="9"/>
      <c r="J20" s="9"/>
      <c r="K20" s="9"/>
      <c r="L20" s="9"/>
      <c r="M20" s="46">
        <f t="shared" si="0"/>
        <v>2000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.75" customHeight="1" x14ac:dyDescent="0.2">
      <c r="A21" s="1"/>
      <c r="B21" s="8" t="s">
        <v>78</v>
      </c>
      <c r="C21" s="50">
        <f>(C20*'(ne pas modifier) BDD_REF'!$B$210)/1000</f>
        <v>0.114</v>
      </c>
      <c r="D21" s="51">
        <f>(D20*'(ne pas modifier) BDD_REF'!$B$210)/1000</f>
        <v>0</v>
      </c>
      <c r="E21" s="51">
        <f>(E20*'(ne pas modifier) BDD_REF'!$B$210)/1000</f>
        <v>0</v>
      </c>
      <c r="F21" s="46">
        <f>(F20*'(ne pas modifier) BDD_REF'!$B$210)/1000</f>
        <v>0</v>
      </c>
      <c r="G21" s="46">
        <f>(G20*'(ne pas modifier) BDD_REF'!$B$210)/1000</f>
        <v>0</v>
      </c>
      <c r="H21" s="46">
        <f>(H20*'(ne pas modifier) BDD_REF'!$B$210)/1000</f>
        <v>0</v>
      </c>
      <c r="I21" s="46">
        <f>(I20*'(ne pas modifier) BDD_REF'!$B$210)/1000</f>
        <v>0</v>
      </c>
      <c r="J21" s="46">
        <f>(J20*'(ne pas modifier) BDD_REF'!$B$210)/1000</f>
        <v>0</v>
      </c>
      <c r="K21" s="46">
        <f>(K20*'(ne pas modifier) BDD_REF'!$B$210)/1000</f>
        <v>0</v>
      </c>
      <c r="L21" s="46">
        <f>(L20*'(ne pas modifier) BDD_REF'!$B$210)/1000</f>
        <v>0</v>
      </c>
      <c r="M21" s="46">
        <f t="shared" si="0"/>
        <v>0.114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.75" customHeight="1" x14ac:dyDescent="0.2">
      <c r="A22" s="52"/>
      <c r="B22" s="49" t="s">
        <v>79</v>
      </c>
      <c r="C22" s="53">
        <f t="shared" ref="C22:L22" si="1">C19+C21</f>
        <v>0.70823849999999988</v>
      </c>
      <c r="D22" s="54">
        <f t="shared" si="1"/>
        <v>0</v>
      </c>
      <c r="E22" s="54">
        <f t="shared" si="1"/>
        <v>0</v>
      </c>
      <c r="F22" s="55">
        <f t="shared" si="1"/>
        <v>0</v>
      </c>
      <c r="G22" s="55">
        <f t="shared" si="1"/>
        <v>0</v>
      </c>
      <c r="H22" s="55">
        <f t="shared" si="1"/>
        <v>0</v>
      </c>
      <c r="I22" s="55">
        <f t="shared" si="1"/>
        <v>0</v>
      </c>
      <c r="J22" s="55">
        <f t="shared" si="1"/>
        <v>0</v>
      </c>
      <c r="K22" s="55">
        <f t="shared" si="1"/>
        <v>0</v>
      </c>
      <c r="L22" s="55">
        <f t="shared" si="1"/>
        <v>0</v>
      </c>
      <c r="M22" s="46">
        <f t="shared" si="0"/>
        <v>0.70823849999999988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5.75" customHeight="1" x14ac:dyDescent="0.2">
      <c r="A23" s="1"/>
      <c r="B23" s="30" t="s">
        <v>80</v>
      </c>
      <c r="C23" s="12">
        <v>46</v>
      </c>
      <c r="D23" s="13"/>
      <c r="E23" s="13"/>
      <c r="F23" s="9"/>
      <c r="G23" s="9"/>
      <c r="H23" s="9"/>
      <c r="I23" s="9"/>
      <c r="J23" s="9"/>
      <c r="K23" s="9"/>
      <c r="L23" s="9"/>
      <c r="M23" s="46">
        <f t="shared" si="0"/>
        <v>46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5.75" customHeight="1" x14ac:dyDescent="0.2">
      <c r="A24" s="1"/>
      <c r="B24" s="30" t="s">
        <v>81</v>
      </c>
      <c r="C24" s="12">
        <v>75</v>
      </c>
      <c r="D24" s="13"/>
      <c r="E24" s="13"/>
      <c r="F24" s="9"/>
      <c r="G24" s="9"/>
      <c r="H24" s="9"/>
      <c r="I24" s="9"/>
      <c r="J24" s="9"/>
      <c r="K24" s="9"/>
      <c r="L24" s="9"/>
      <c r="M24" s="46">
        <f t="shared" si="0"/>
        <v>75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 x14ac:dyDescent="0.2">
      <c r="A25" s="1"/>
      <c r="B25" s="8" t="s">
        <v>82</v>
      </c>
      <c r="C25" s="50">
        <f>(C7*'(ne pas modifier) BDD_REF'!$B$211+'RECeff + REIamont (2)'!C23*'(ne pas modifier) BDD_REF'!$B$212+'RECeff + REIamont (2)'!C24*'(ne pas modifier) BDD_REF'!$B$213)/1000</f>
        <v>0.34995999999999999</v>
      </c>
      <c r="D25" s="51">
        <f>(D7*'(ne pas modifier) BDD_REF'!$B$211+'RECeff + REIamont (2)'!D23*'(ne pas modifier) BDD_REF'!$B$212+'RECeff + REIamont (2)'!D24*'(ne pas modifier) BDD_REF'!$B$213)/1000</f>
        <v>0</v>
      </c>
      <c r="E25" s="51">
        <f>(E7*'(ne pas modifier) BDD_REF'!$B$211+'RECeff + REIamont (2)'!E23*'(ne pas modifier) BDD_REF'!$B$212+'RECeff + REIamont (2)'!E24*'(ne pas modifier) BDD_REF'!$B$213)/1000</f>
        <v>0</v>
      </c>
      <c r="F25" s="46">
        <f>(F7*'(ne pas modifier) BDD_REF'!$B$211+'RECeff + REIamont (2)'!F23*'(ne pas modifier) BDD_REF'!$B$212+'RECeff + REIamont (2)'!F24*'(ne pas modifier) BDD_REF'!$B$213)/1000</f>
        <v>0</v>
      </c>
      <c r="G25" s="46">
        <f>(G7*'(ne pas modifier) BDD_REF'!$B$211+'RECeff + REIamont (2)'!G23*'(ne pas modifier) BDD_REF'!$B$212+'RECeff + REIamont (2)'!G24*'(ne pas modifier) BDD_REF'!$B$213)/1000</f>
        <v>0</v>
      </c>
      <c r="H25" s="46">
        <f>(H7*'(ne pas modifier) BDD_REF'!$B$211+'RECeff + REIamont (2)'!H23*'(ne pas modifier) BDD_REF'!$B$212+'RECeff + REIamont (2)'!H24*'(ne pas modifier) BDD_REF'!$B$213)/1000</f>
        <v>0</v>
      </c>
      <c r="I25" s="46">
        <f>(I7*'(ne pas modifier) BDD_REF'!$B$211+'RECeff + REIamont (2)'!I23*'(ne pas modifier) BDD_REF'!$B$212+'RECeff + REIamont (2)'!I24*'(ne pas modifier) BDD_REF'!$B$213)/1000</f>
        <v>0</v>
      </c>
      <c r="J25" s="46">
        <f>(J7*'(ne pas modifier) BDD_REF'!$B$211+'RECeff + REIamont (2)'!J23*'(ne pas modifier) BDD_REF'!$B$212+'RECeff + REIamont (2)'!J24*'(ne pas modifier) BDD_REF'!$B$213)/1000</f>
        <v>0</v>
      </c>
      <c r="K25" s="46">
        <f>(K7*'(ne pas modifier) BDD_REF'!$B$211+'RECeff + REIamont (2)'!K23*'(ne pas modifier) BDD_REF'!$B$212+'RECeff + REIamont (2)'!K24*'(ne pas modifier) BDD_REF'!$B$213)/1000</f>
        <v>0</v>
      </c>
      <c r="L25" s="46">
        <f>(L7*'(ne pas modifier) BDD_REF'!$B$211+'RECeff + REIamont (2)'!L23*'(ne pas modifier) BDD_REF'!$B$212+'RECeff + REIamont (2)'!L24*'(ne pas modifier) BDD_REF'!$B$213)/1000</f>
        <v>0</v>
      </c>
      <c r="M25" s="46">
        <f t="shared" si="0"/>
        <v>0.34995999999999999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hidden="1" customHeight="1" x14ac:dyDescent="0.2">
      <c r="A26" s="1"/>
      <c r="B26" s="8" t="s">
        <v>83</v>
      </c>
      <c r="C26" s="56"/>
      <c r="D26" s="57"/>
      <c r="E26" s="57"/>
      <c r="F26" s="46"/>
      <c r="G26" s="46"/>
      <c r="H26" s="46"/>
      <c r="I26" s="46"/>
      <c r="J26" s="46"/>
      <c r="K26" s="46"/>
      <c r="L26" s="46"/>
      <c r="M26" s="46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">
      <c r="A27" s="58" t="s">
        <v>84</v>
      </c>
      <c r="B27" s="30" t="s">
        <v>85</v>
      </c>
      <c r="C27" s="14"/>
      <c r="D27" s="15"/>
      <c r="E27" s="15"/>
      <c r="F27" s="9"/>
      <c r="G27" s="9"/>
      <c r="H27" s="9"/>
      <c r="I27" s="9"/>
      <c r="J27" s="9"/>
      <c r="K27" s="9"/>
      <c r="L27" s="9"/>
      <c r="M27" s="46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">
      <c r="A28" s="1"/>
      <c r="B28" s="30" t="s">
        <v>86</v>
      </c>
      <c r="C28" s="14"/>
      <c r="D28" s="15"/>
      <c r="E28" s="15"/>
      <c r="F28" s="9"/>
      <c r="G28" s="9"/>
      <c r="H28" s="9"/>
      <c r="I28" s="9"/>
      <c r="J28" s="9"/>
      <c r="K28" s="9"/>
      <c r="L28" s="9"/>
      <c r="M28" s="46">
        <f t="shared" si="0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">
      <c r="A29" s="1"/>
      <c r="B29" s="30" t="s">
        <v>87</v>
      </c>
      <c r="C29" s="14"/>
      <c r="D29" s="15"/>
      <c r="E29" s="15"/>
      <c r="F29" s="9"/>
      <c r="G29" s="9"/>
      <c r="H29" s="9"/>
      <c r="I29" s="9"/>
      <c r="J29" s="9"/>
      <c r="K29" s="9"/>
      <c r="L29" s="9"/>
      <c r="M29" s="46">
        <f t="shared" si="0"/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2">
      <c r="A30" s="1"/>
      <c r="B30" s="30" t="s">
        <v>88</v>
      </c>
      <c r="C30" s="14"/>
      <c r="D30" s="15"/>
      <c r="E30" s="15"/>
      <c r="F30" s="9"/>
      <c r="G30" s="9"/>
      <c r="H30" s="9"/>
      <c r="I30" s="9"/>
      <c r="J30" s="9"/>
      <c r="K30" s="9"/>
      <c r="L30" s="9"/>
      <c r="M30" s="46">
        <f t="shared" si="0"/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">
      <c r="A31" s="1"/>
      <c r="B31" s="8" t="s">
        <v>89</v>
      </c>
      <c r="C31" s="50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51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51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6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6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6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6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6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6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6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6">
        <f t="shared" si="0"/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">
      <c r="A32" s="52"/>
      <c r="B32" s="49" t="s">
        <v>90</v>
      </c>
      <c r="C32" s="53">
        <f t="shared" ref="C32:L32" si="2">C25+C26+C31</f>
        <v>0.34995999999999999</v>
      </c>
      <c r="D32" s="54">
        <f t="shared" si="2"/>
        <v>0</v>
      </c>
      <c r="E32" s="54">
        <f t="shared" si="2"/>
        <v>0</v>
      </c>
      <c r="F32" s="55">
        <f t="shared" si="2"/>
        <v>0</v>
      </c>
      <c r="G32" s="55">
        <f t="shared" si="2"/>
        <v>0</v>
      </c>
      <c r="H32" s="55">
        <f t="shared" si="2"/>
        <v>0</v>
      </c>
      <c r="I32" s="55">
        <f t="shared" si="2"/>
        <v>0</v>
      </c>
      <c r="J32" s="55">
        <f t="shared" si="2"/>
        <v>0</v>
      </c>
      <c r="K32" s="55">
        <f t="shared" si="2"/>
        <v>0</v>
      </c>
      <c r="L32" s="55">
        <f t="shared" si="2"/>
        <v>0</v>
      </c>
      <c r="M32" s="46">
        <f t="shared" si="0"/>
        <v>0.34995999999999999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5.75" customHeight="1" x14ac:dyDescent="0.2">
      <c r="A33" s="52"/>
      <c r="B33" s="59" t="s">
        <v>91</v>
      </c>
      <c r="C33" s="60">
        <f>((C10+C11+C12)/1000*44/28*'(ne pas modifier) BDD_REF'!$B$231)+'RECeff + REIamont (2)'!C22+'RECeff + REIamont (2)'!C32</f>
        <v>1.6116070857142857</v>
      </c>
      <c r="D33" s="61">
        <f>((D10+D11+D12)/1000*44/28*'(ne pas modifier) BDD_REF'!$B$231)+'RECeff + REIamont (2)'!D22+'RECeff + REIamont (2)'!D32</f>
        <v>0</v>
      </c>
      <c r="E33" s="61">
        <f>((E10+E11+E12)/1000*44/28*'(ne pas modifier) BDD_REF'!$B$231)+'RECeff + REIamont (2)'!E22+'RECeff + REIamont (2)'!E32</f>
        <v>0</v>
      </c>
      <c r="F33" s="59">
        <f>((F10+F11+F12)/1000*44/28*'(ne pas modifier) BDD_REF'!$B$231)+'RECeff + REIamont (2)'!F22+'RECeff + REIamont (2)'!F32</f>
        <v>0</v>
      </c>
      <c r="G33" s="59">
        <f>((G10+G11+G12)/1000*44/28*'(ne pas modifier) BDD_REF'!$B$231)+'RECeff + REIamont (2)'!G22+'RECeff + REIamont (2)'!G32</f>
        <v>0</v>
      </c>
      <c r="H33" s="59">
        <f>((H10+H11+H12)/1000*44/28*'(ne pas modifier) BDD_REF'!$B$231)+'RECeff + REIamont (2)'!H22+'RECeff + REIamont (2)'!H32</f>
        <v>0</v>
      </c>
      <c r="I33" s="59">
        <f>((I10+I11+I12)/1000*44/28*'(ne pas modifier) BDD_REF'!$B$231)+'RECeff + REIamont (2)'!I22+'RECeff + REIamont (2)'!I32</f>
        <v>0</v>
      </c>
      <c r="J33" s="59">
        <f>((J10+J11+J12)/1000*44/28*'(ne pas modifier) BDD_REF'!$B$231)+'RECeff + REIamont (2)'!J22+'RECeff + REIamont (2)'!J32</f>
        <v>0</v>
      </c>
      <c r="K33" s="59">
        <f>((K10+K11+K12)/1000*44/28*'(ne pas modifier) BDD_REF'!$B$231)+'RECeff + REIamont (2)'!K22+'RECeff + REIamont (2)'!K32</f>
        <v>0</v>
      </c>
      <c r="L33" s="59">
        <f>((L10+L11+L12)/1000*44/28*'(ne pas modifier) BDD_REF'!$B$231)+'RECeff + REIamont (2)'!L22+'RECeff + REIamont (2)'!L32</f>
        <v>0</v>
      </c>
      <c r="M33" s="59">
        <f t="shared" si="0"/>
        <v>1.6116070857142857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5.75" customHeight="1" x14ac:dyDescent="0.2">
      <c r="A34" s="43" t="s">
        <v>92</v>
      </c>
      <c r="B34" s="30" t="s">
        <v>64</v>
      </c>
      <c r="C34" s="12">
        <v>51</v>
      </c>
      <c r="D34" s="13"/>
      <c r="E34" s="13"/>
      <c r="F34" s="9"/>
      <c r="G34" s="9"/>
      <c r="H34" s="9"/>
      <c r="I34" s="9"/>
      <c r="J34" s="9"/>
      <c r="K34" s="9"/>
      <c r="L34" s="9"/>
      <c r="M34" s="46">
        <f t="shared" si="0"/>
        <v>51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">
      <c r="A35" s="1"/>
      <c r="B35" s="30" t="s">
        <v>65</v>
      </c>
      <c r="C35" s="12">
        <v>0</v>
      </c>
      <c r="D35" s="13"/>
      <c r="E35" s="13"/>
      <c r="F35" s="9"/>
      <c r="G35" s="9"/>
      <c r="H35" s="9"/>
      <c r="I35" s="9"/>
      <c r="J35" s="9"/>
      <c r="K35" s="9"/>
      <c r="L35" s="9"/>
      <c r="M35" s="46">
        <f t="shared" si="0"/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">
      <c r="A36" s="1"/>
      <c r="B36" s="30" t="s">
        <v>66</v>
      </c>
      <c r="C36" s="12">
        <v>30</v>
      </c>
      <c r="D36" s="13"/>
      <c r="E36" s="13"/>
      <c r="F36" s="9"/>
      <c r="G36" s="9"/>
      <c r="H36" s="9"/>
      <c r="I36" s="9"/>
      <c r="J36" s="9"/>
      <c r="K36" s="9"/>
      <c r="L36" s="9"/>
      <c r="M36" s="46">
        <f t="shared" si="0"/>
        <v>30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">
      <c r="A37" s="1"/>
      <c r="B37" s="49" t="s">
        <v>67</v>
      </c>
      <c r="C37" s="50">
        <f>C34*'(ne pas modifier) BDD_REF'!$B$206 + (C35+C36)*'(ne pas modifier) BDD_REF'!$B$207</f>
        <v>0.996</v>
      </c>
      <c r="D37" s="51">
        <f>D34*'(ne pas modifier) BDD_REF'!$B$206 + (D35+D36)*'(ne pas modifier) BDD_REF'!$B$207</f>
        <v>0</v>
      </c>
      <c r="E37" s="51">
        <f>E34*'(ne pas modifier) BDD_REF'!$B$206 + (E35+E36)*'(ne pas modifier) BDD_REF'!$B$207</f>
        <v>0</v>
      </c>
      <c r="F37" s="46">
        <f>F34*'(ne pas modifier) BDD_REF'!$B$206 + (F35+F36)*'(ne pas modifier) BDD_REF'!$B$207</f>
        <v>0</v>
      </c>
      <c r="G37" s="46">
        <f>G34*'(ne pas modifier) BDD_REF'!$B$206 + (G35+G36)*'(ne pas modifier) BDD_REF'!$B$207</f>
        <v>0</v>
      </c>
      <c r="H37" s="46">
        <f>H34*'(ne pas modifier) BDD_REF'!$B$206 + (H35+H36)*'(ne pas modifier) BDD_REF'!$B$207</f>
        <v>0</v>
      </c>
      <c r="I37" s="46">
        <f>I34*'(ne pas modifier) BDD_REF'!$B$206 + (I35+I36)*'(ne pas modifier) BDD_REF'!$B$207</f>
        <v>0</v>
      </c>
      <c r="J37" s="46">
        <f>J34*'(ne pas modifier) BDD_REF'!$B$206 + (J35+J36)*'(ne pas modifier) BDD_REF'!$B$207</f>
        <v>0</v>
      </c>
      <c r="K37" s="46">
        <f>K34*'(ne pas modifier) BDD_REF'!$B$206 + (K35+K36)*'(ne pas modifier) BDD_REF'!$B$207</f>
        <v>0</v>
      </c>
      <c r="L37" s="46">
        <f>L34*'(ne pas modifier) BDD_REF'!$B$206 + (L35+L36)*'(ne pas modifier) BDD_REF'!$B$207</f>
        <v>0</v>
      </c>
      <c r="M37" s="46">
        <f t="shared" si="0"/>
        <v>0.996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">
      <c r="A38" s="1"/>
      <c r="B38" s="49" t="s">
        <v>68</v>
      </c>
      <c r="C38" s="50">
        <f>((C34*'(ne pas modifier) BDD_REF'!$B$219)+('RECeff + REIamont (2)'!C35+'RECeff + REIamont (2)'!C36)*'(ne pas modifier) BDD_REF'!$B$220)*'(ne pas modifier) BDD_REF'!$B$208</f>
        <v>0.1191</v>
      </c>
      <c r="D38" s="51">
        <f>((D34*'(ne pas modifier) BDD_REF'!$B$219)+('RECeff + REIamont (2)'!D35+'RECeff + REIamont (2)'!D36)*'(ne pas modifier) BDD_REF'!$B$220)*'(ne pas modifier) BDD_REF'!$B$208</f>
        <v>0</v>
      </c>
      <c r="E38" s="51">
        <f>((E34*'(ne pas modifier) BDD_REF'!$B$219)+('RECeff + REIamont (2)'!E35+'RECeff + REIamont (2)'!E36)*'(ne pas modifier) BDD_REF'!$B$220)*'(ne pas modifier) BDD_REF'!$B$208</f>
        <v>0</v>
      </c>
      <c r="F38" s="46">
        <f>((F34*'(ne pas modifier) BDD_REF'!$B$219)+('RECeff + REIamont (2)'!F35+'RECeff + REIamont (2)'!F36)*'(ne pas modifier) BDD_REF'!$B$220)*'(ne pas modifier) BDD_REF'!$B$208</f>
        <v>0</v>
      </c>
      <c r="G38" s="46">
        <f>((G34*'(ne pas modifier) BDD_REF'!$B$219)+('RECeff + REIamont (2)'!G35+'RECeff + REIamont (2)'!G36)*'(ne pas modifier) BDD_REF'!$B$220)*'(ne pas modifier) BDD_REF'!$B$208</f>
        <v>0</v>
      </c>
      <c r="H38" s="46">
        <f>((H34*'(ne pas modifier) BDD_REF'!$B$219)+('RECeff + REIamont (2)'!H35+'RECeff + REIamont (2)'!H36)*'(ne pas modifier) BDD_REF'!$B$220)*'(ne pas modifier) BDD_REF'!$B$208</f>
        <v>0</v>
      </c>
      <c r="I38" s="46">
        <f>((I34*'(ne pas modifier) BDD_REF'!$B$219)+('RECeff + REIamont (2)'!I35+'RECeff + REIamont (2)'!I36)*'(ne pas modifier) BDD_REF'!$B$220)*'(ne pas modifier) BDD_REF'!$B$208</f>
        <v>0</v>
      </c>
      <c r="J38" s="46">
        <f>((J34*'(ne pas modifier) BDD_REF'!$B$219)+('RECeff + REIamont (2)'!J35+'RECeff + REIamont (2)'!J36)*'(ne pas modifier) BDD_REF'!$B$220)*'(ne pas modifier) BDD_REF'!$B$208</f>
        <v>0</v>
      </c>
      <c r="K38" s="46">
        <f>((K34*'(ne pas modifier) BDD_REF'!$B$219)+('RECeff + REIamont (2)'!K35+'RECeff + REIamont (2)'!K36)*'(ne pas modifier) BDD_REF'!$B$220)*'(ne pas modifier) BDD_REF'!$B$208</f>
        <v>0</v>
      </c>
      <c r="L38" s="46">
        <f>((L34*'(ne pas modifier) BDD_REF'!$B$219)+('RECeff + REIamont (2)'!L35+'RECeff + REIamont (2)'!L36)*'(ne pas modifier) BDD_REF'!$B$220)*'(ne pas modifier) BDD_REF'!$B$208</f>
        <v>0</v>
      </c>
      <c r="M38" s="46">
        <f t="shared" si="0"/>
        <v>0.1191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">
      <c r="A39" s="1"/>
      <c r="B39" s="49" t="s">
        <v>69</v>
      </c>
      <c r="C39" s="50">
        <f>(C34+C35+C36)*'(ne pas modifier) BDD_REF'!$B$221*'(ne pas modifier) BDD_REF'!$B$209</f>
        <v>0.21383999999999997</v>
      </c>
      <c r="D39" s="51">
        <f>(D34+D35+D36)*'(ne pas modifier) BDD_REF'!$B$221*'(ne pas modifier) BDD_REF'!$B$209</f>
        <v>0</v>
      </c>
      <c r="E39" s="51">
        <f>(E34+E35+E36)*'(ne pas modifier) BDD_REF'!$B$221*'(ne pas modifier) BDD_REF'!$B$209</f>
        <v>0</v>
      </c>
      <c r="F39" s="46">
        <f>(F34+F35+F36)*'(ne pas modifier) BDD_REF'!$B$221*'(ne pas modifier) BDD_REF'!$B$209</f>
        <v>0</v>
      </c>
      <c r="G39" s="46">
        <f>(G34+G35+G36)*'(ne pas modifier) BDD_REF'!$B$221*'(ne pas modifier) BDD_REF'!$B$209</f>
        <v>0</v>
      </c>
      <c r="H39" s="46">
        <f>(H34+H35+H36)*'(ne pas modifier) BDD_REF'!$B$221*'(ne pas modifier) BDD_REF'!$B$209</f>
        <v>0</v>
      </c>
      <c r="I39" s="46">
        <f>(I34+I35+I36)*'(ne pas modifier) BDD_REF'!$B$221*'(ne pas modifier) BDD_REF'!$B$209</f>
        <v>0</v>
      </c>
      <c r="J39" s="46">
        <f>(J34+J35+J36)*'(ne pas modifier) BDD_REF'!$B$221*'(ne pas modifier) BDD_REF'!$B$209</f>
        <v>0</v>
      </c>
      <c r="K39" s="46">
        <f>(K34+K35+K36)*'(ne pas modifier) BDD_REF'!$B$221*'(ne pas modifier) BDD_REF'!$B$209</f>
        <v>0</v>
      </c>
      <c r="L39" s="46">
        <f>(L34+L35+L36)*'(ne pas modifier) BDD_REF'!$B$221*'(ne pas modifier) BDD_REF'!$B$209</f>
        <v>0</v>
      </c>
      <c r="M39" s="46">
        <f t="shared" si="0"/>
        <v>0.21383999999999997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">
      <c r="A40" s="1"/>
      <c r="B40" s="30" t="s">
        <v>70</v>
      </c>
      <c r="C40" s="12">
        <v>0</v>
      </c>
      <c r="D40" s="13"/>
      <c r="E40" s="13"/>
      <c r="F40" s="9"/>
      <c r="G40" s="9"/>
      <c r="H40" s="9"/>
      <c r="I40" s="9"/>
      <c r="J40" s="9"/>
      <c r="K40" s="9"/>
      <c r="L40" s="9"/>
      <c r="M40" s="46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">
      <c r="A41" s="1"/>
      <c r="B41" s="30" t="s">
        <v>71</v>
      </c>
      <c r="C41" s="12">
        <v>193.5</v>
      </c>
      <c r="D41" s="13"/>
      <c r="E41" s="13"/>
      <c r="F41" s="9"/>
      <c r="G41" s="9"/>
      <c r="H41" s="9"/>
      <c r="I41" s="9"/>
      <c r="J41" s="9"/>
      <c r="K41" s="9"/>
      <c r="L41" s="9"/>
      <c r="M41" s="46">
        <f t="shared" si="0"/>
        <v>193.5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">
      <c r="A42" s="1"/>
      <c r="B42" s="30" t="s">
        <v>72</v>
      </c>
      <c r="C42" s="12">
        <v>0</v>
      </c>
      <c r="D42" s="13"/>
      <c r="E42" s="13"/>
      <c r="F42" s="9"/>
      <c r="G42" s="9"/>
      <c r="H42" s="9"/>
      <c r="I42" s="9"/>
      <c r="J42" s="9"/>
      <c r="K42" s="9"/>
      <c r="L42" s="9"/>
      <c r="M42" s="46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">
      <c r="A43" s="1"/>
      <c r="B43" s="30" t="s">
        <v>73</v>
      </c>
      <c r="C43" s="12">
        <v>0</v>
      </c>
      <c r="D43" s="13"/>
      <c r="E43" s="13"/>
      <c r="F43" s="9"/>
      <c r="G43" s="9"/>
      <c r="H43" s="9"/>
      <c r="I43" s="9"/>
      <c r="J43" s="9"/>
      <c r="K43" s="9"/>
      <c r="L43" s="9"/>
      <c r="M43" s="46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">
      <c r="A44" s="1"/>
      <c r="B44" s="30" t="s">
        <v>74</v>
      </c>
      <c r="C44" s="12">
        <v>0</v>
      </c>
      <c r="D44" s="13"/>
      <c r="E44" s="13"/>
      <c r="F44" s="9"/>
      <c r="G44" s="9"/>
      <c r="H44" s="9"/>
      <c r="I44" s="9"/>
      <c r="J44" s="9"/>
      <c r="K44" s="9"/>
      <c r="L44" s="9"/>
      <c r="M44" s="46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">
      <c r="A45" s="1"/>
      <c r="B45" s="30" t="s">
        <v>75</v>
      </c>
      <c r="C45" s="12">
        <v>0</v>
      </c>
      <c r="D45" s="13"/>
      <c r="E45" s="13"/>
      <c r="F45" s="9"/>
      <c r="G45" s="9"/>
      <c r="H45" s="9"/>
      <c r="I45" s="9"/>
      <c r="J45" s="9"/>
      <c r="K45" s="9"/>
      <c r="L45" s="9"/>
      <c r="M45" s="46">
        <f t="shared" si="0"/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">
      <c r="A46" s="1"/>
      <c r="B46" s="8" t="s">
        <v>76</v>
      </c>
      <c r="C46" s="50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0.59423849999999989</v>
      </c>
      <c r="D46" s="51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51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6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6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6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6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6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6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6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6">
        <f t="shared" si="0"/>
        <v>0.59423849999999989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">
      <c r="A47" s="1"/>
      <c r="B47" s="30" t="s">
        <v>77</v>
      </c>
      <c r="C47" s="12">
        <v>2000</v>
      </c>
      <c r="D47" s="13"/>
      <c r="E47" s="13"/>
      <c r="F47" s="9"/>
      <c r="G47" s="9"/>
      <c r="H47" s="9"/>
      <c r="I47" s="9"/>
      <c r="J47" s="9"/>
      <c r="K47" s="9"/>
      <c r="L47" s="9"/>
      <c r="M47" s="46">
        <f t="shared" si="0"/>
        <v>2000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">
      <c r="A48" s="1"/>
      <c r="B48" s="8" t="s">
        <v>78</v>
      </c>
      <c r="C48" s="50">
        <f>(C47*'(ne pas modifier) BDD_REF'!$B$210)/1000</f>
        <v>0.114</v>
      </c>
      <c r="D48" s="51">
        <f>(D47*'(ne pas modifier) BDD_REF'!$B$210)/1000</f>
        <v>0</v>
      </c>
      <c r="E48" s="51">
        <f>(E47*'(ne pas modifier) BDD_REF'!$B$210)/1000</f>
        <v>0</v>
      </c>
      <c r="F48" s="46">
        <f>(F47*'(ne pas modifier) BDD_REF'!$B$210)/1000</f>
        <v>0</v>
      </c>
      <c r="G48" s="46">
        <f>(G47*'(ne pas modifier) BDD_REF'!$B$210)/1000</f>
        <v>0</v>
      </c>
      <c r="H48" s="46">
        <f>(H47*'(ne pas modifier) BDD_REF'!$B$210)/1000</f>
        <v>0</v>
      </c>
      <c r="I48" s="46">
        <f>(I47*'(ne pas modifier) BDD_REF'!$B$210)/1000</f>
        <v>0</v>
      </c>
      <c r="J48" s="46">
        <f>(J47*'(ne pas modifier) BDD_REF'!$B$210)/1000</f>
        <v>0</v>
      </c>
      <c r="K48" s="46">
        <f>(K47*'(ne pas modifier) BDD_REF'!$B$210)/1000</f>
        <v>0</v>
      </c>
      <c r="L48" s="46">
        <f>(L47*'(ne pas modifier) BDD_REF'!$B$210)/1000</f>
        <v>0</v>
      </c>
      <c r="M48" s="46">
        <f t="shared" si="0"/>
        <v>0.114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">
      <c r="A49" s="52"/>
      <c r="B49" s="49" t="s">
        <v>79</v>
      </c>
      <c r="C49" s="53">
        <f t="shared" ref="C49:L49" si="3">C46+C48</f>
        <v>0.70823849999999988</v>
      </c>
      <c r="D49" s="54">
        <f t="shared" si="3"/>
        <v>0</v>
      </c>
      <c r="E49" s="54">
        <f t="shared" si="3"/>
        <v>0</v>
      </c>
      <c r="F49" s="55">
        <f t="shared" si="3"/>
        <v>0</v>
      </c>
      <c r="G49" s="55">
        <f t="shared" si="3"/>
        <v>0</v>
      </c>
      <c r="H49" s="55">
        <f t="shared" si="3"/>
        <v>0</v>
      </c>
      <c r="I49" s="55">
        <f t="shared" si="3"/>
        <v>0</v>
      </c>
      <c r="J49" s="55">
        <f t="shared" si="3"/>
        <v>0</v>
      </c>
      <c r="K49" s="55">
        <f t="shared" si="3"/>
        <v>0</v>
      </c>
      <c r="L49" s="55">
        <f t="shared" si="3"/>
        <v>0</v>
      </c>
      <c r="M49" s="46">
        <f t="shared" si="0"/>
        <v>0.70823849999999988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5.75" customHeight="1" x14ac:dyDescent="0.2">
      <c r="A50" s="1"/>
      <c r="B50" s="30" t="s">
        <v>80</v>
      </c>
      <c r="C50" s="12">
        <v>46</v>
      </c>
      <c r="D50" s="13"/>
      <c r="E50" s="13"/>
      <c r="F50" s="9"/>
      <c r="G50" s="9"/>
      <c r="H50" s="9"/>
      <c r="I50" s="9"/>
      <c r="J50" s="9"/>
      <c r="K50" s="9"/>
      <c r="L50" s="9"/>
      <c r="M50" s="46">
        <f t="shared" si="0"/>
        <v>46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">
      <c r="A51" s="1"/>
      <c r="B51" s="30" t="s">
        <v>81</v>
      </c>
      <c r="C51" s="12">
        <v>75</v>
      </c>
      <c r="D51" s="13"/>
      <c r="E51" s="13"/>
      <c r="F51" s="9"/>
      <c r="G51" s="9"/>
      <c r="H51" s="9"/>
      <c r="I51" s="9"/>
      <c r="J51" s="9"/>
      <c r="K51" s="9"/>
      <c r="L51" s="9"/>
      <c r="M51" s="46">
        <f t="shared" si="0"/>
        <v>75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">
      <c r="A52" s="1"/>
      <c r="B52" s="8" t="s">
        <v>82</v>
      </c>
      <c r="C52" s="50">
        <f>(C34*'(ne pas modifier) BDD_REF'!$B$211+'RECeff + REIamont (2)'!C50*'(ne pas modifier) BDD_REF'!$B$212+'RECeff + REIamont (2)'!C51*'(ne pas modifier) BDD_REF'!$B$213)/1000</f>
        <v>0.34995999999999999</v>
      </c>
      <c r="D52" s="51">
        <f>(D34*'(ne pas modifier) BDD_REF'!$B$211+'RECeff + REIamont (2)'!D50*'(ne pas modifier) BDD_REF'!$B$212+'RECeff + REIamont (2)'!D51*'(ne pas modifier) BDD_REF'!$B$213)/1000</f>
        <v>0</v>
      </c>
      <c r="E52" s="51">
        <f>(E34*'(ne pas modifier) BDD_REF'!$B$211+'RECeff + REIamont (2)'!E50*'(ne pas modifier) BDD_REF'!$B$212+'RECeff + REIamont (2)'!E51*'(ne pas modifier) BDD_REF'!$B$213)/1000</f>
        <v>0</v>
      </c>
      <c r="F52" s="46">
        <f>(F34*'(ne pas modifier) BDD_REF'!$B$211+'RECeff + REIamont (2)'!F50*'(ne pas modifier) BDD_REF'!$B$212+'RECeff + REIamont (2)'!F51*'(ne pas modifier) BDD_REF'!$B$213)/1000</f>
        <v>0</v>
      </c>
      <c r="G52" s="46">
        <f>(G34*'(ne pas modifier) BDD_REF'!$B$211+'RECeff + REIamont (2)'!G50*'(ne pas modifier) BDD_REF'!$B$212+'RECeff + REIamont (2)'!G51*'(ne pas modifier) BDD_REF'!$B$213)/1000</f>
        <v>0</v>
      </c>
      <c r="H52" s="46">
        <f>(H34*'(ne pas modifier) BDD_REF'!$B$211+'RECeff + REIamont (2)'!H50*'(ne pas modifier) BDD_REF'!$B$212+'RECeff + REIamont (2)'!H51*'(ne pas modifier) BDD_REF'!$B$213)/1000</f>
        <v>0</v>
      </c>
      <c r="I52" s="46">
        <f>(I34*'(ne pas modifier) BDD_REF'!$B$211+'RECeff + REIamont (2)'!I50*'(ne pas modifier) BDD_REF'!$B$212+'RECeff + REIamont (2)'!I51*'(ne pas modifier) BDD_REF'!$B$213)/1000</f>
        <v>0</v>
      </c>
      <c r="J52" s="46">
        <f>(J34*'(ne pas modifier) BDD_REF'!$B$211+'RECeff + REIamont (2)'!J50*'(ne pas modifier) BDD_REF'!$B$212+'RECeff + REIamont (2)'!J51*'(ne pas modifier) BDD_REF'!$B$213)/1000</f>
        <v>0</v>
      </c>
      <c r="K52" s="46">
        <f>(K34*'(ne pas modifier) BDD_REF'!$B$211+'RECeff + REIamont (2)'!K50*'(ne pas modifier) BDD_REF'!$B$212+'RECeff + REIamont (2)'!K51*'(ne pas modifier) BDD_REF'!$B$213)/1000</f>
        <v>0</v>
      </c>
      <c r="L52" s="46">
        <f>(L34*'(ne pas modifier) BDD_REF'!$B$211+'RECeff + REIamont (2)'!L50*'(ne pas modifier) BDD_REF'!$B$212+'RECeff + REIamont (2)'!L51*'(ne pas modifier) BDD_REF'!$B$213)/1000</f>
        <v>0</v>
      </c>
      <c r="M52" s="46">
        <f t="shared" si="0"/>
        <v>0.34995999999999999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hidden="1" customHeight="1" x14ac:dyDescent="0.2">
      <c r="A53" s="1" t="s">
        <v>93</v>
      </c>
      <c r="B53" s="8" t="s">
        <v>83</v>
      </c>
      <c r="C53" s="56"/>
      <c r="D53" s="57"/>
      <c r="E53" s="57"/>
      <c r="F53" s="46"/>
      <c r="G53" s="46"/>
      <c r="H53" s="46"/>
      <c r="I53" s="46"/>
      <c r="J53" s="46"/>
      <c r="K53" s="46"/>
      <c r="L53" s="46"/>
      <c r="M53" s="46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">
      <c r="A54" s="1"/>
      <c r="B54" s="30" t="s">
        <v>85</v>
      </c>
      <c r="C54" s="14"/>
      <c r="D54" s="15"/>
      <c r="E54" s="15"/>
      <c r="F54" s="9"/>
      <c r="G54" s="9"/>
      <c r="H54" s="9"/>
      <c r="I54" s="9"/>
      <c r="J54" s="9"/>
      <c r="K54" s="9"/>
      <c r="L54" s="9"/>
      <c r="M54" s="46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">
      <c r="A55" s="1"/>
      <c r="B55" s="30" t="s">
        <v>86</v>
      </c>
      <c r="C55" s="14"/>
      <c r="D55" s="15"/>
      <c r="E55" s="15"/>
      <c r="F55" s="9"/>
      <c r="G55" s="9"/>
      <c r="H55" s="9"/>
      <c r="I55" s="9"/>
      <c r="J55" s="9"/>
      <c r="K55" s="9"/>
      <c r="L55" s="9"/>
      <c r="M55" s="46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">
      <c r="A56" s="1"/>
      <c r="B56" s="30" t="s">
        <v>87</v>
      </c>
      <c r="C56" s="14"/>
      <c r="D56" s="15"/>
      <c r="E56" s="15"/>
      <c r="F56" s="9"/>
      <c r="G56" s="9"/>
      <c r="H56" s="9"/>
      <c r="I56" s="9"/>
      <c r="J56" s="9"/>
      <c r="K56" s="9"/>
      <c r="L56" s="9"/>
      <c r="M56" s="46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">
      <c r="A57" s="1"/>
      <c r="B57" s="30" t="s">
        <v>88</v>
      </c>
      <c r="C57" s="14"/>
      <c r="D57" s="15"/>
      <c r="E57" s="15"/>
      <c r="F57" s="9"/>
      <c r="G57" s="9"/>
      <c r="H57" s="9"/>
      <c r="I57" s="9"/>
      <c r="J57" s="9"/>
      <c r="K57" s="9"/>
      <c r="L57" s="9"/>
      <c r="M57" s="46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">
      <c r="A58" s="1"/>
      <c r="B58" s="8" t="s">
        <v>89</v>
      </c>
      <c r="C58" s="50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51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51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6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6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6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6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6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6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6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6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">
      <c r="A59" s="52"/>
      <c r="B59" s="49" t="s">
        <v>90</v>
      </c>
      <c r="C59" s="53">
        <f t="shared" ref="C59:L59" si="4">C52+C53+C58</f>
        <v>0.34995999999999999</v>
      </c>
      <c r="D59" s="54">
        <f t="shared" si="4"/>
        <v>0</v>
      </c>
      <c r="E59" s="54">
        <f t="shared" si="4"/>
        <v>0</v>
      </c>
      <c r="F59" s="55">
        <f t="shared" si="4"/>
        <v>0</v>
      </c>
      <c r="G59" s="55">
        <f t="shared" si="4"/>
        <v>0</v>
      </c>
      <c r="H59" s="55">
        <f t="shared" si="4"/>
        <v>0</v>
      </c>
      <c r="I59" s="55">
        <f t="shared" si="4"/>
        <v>0</v>
      </c>
      <c r="J59" s="55">
        <f t="shared" si="4"/>
        <v>0</v>
      </c>
      <c r="K59" s="55">
        <f t="shared" si="4"/>
        <v>0</v>
      </c>
      <c r="L59" s="55">
        <f t="shared" si="4"/>
        <v>0</v>
      </c>
      <c r="M59" s="46">
        <f t="shared" si="0"/>
        <v>0.34995999999999999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5.75" customHeight="1" x14ac:dyDescent="0.2">
      <c r="A60" s="52"/>
      <c r="B60" s="59" t="s">
        <v>91</v>
      </c>
      <c r="C60" s="60">
        <f>((C37+C38+C39)/1000*44/28*'(ne pas modifier) BDD_REF'!$B$231)+'RECeff + REIamont (2)'!C49+'RECeff + REIamont (2)'!C59</f>
        <v>1.6116070857142857</v>
      </c>
      <c r="D60" s="61">
        <f>((D37+D38+D39)/1000*44/28*'(ne pas modifier) BDD_REF'!$B$231)+'RECeff + REIamont (2)'!D49+'RECeff + REIamont (2)'!D59</f>
        <v>0</v>
      </c>
      <c r="E60" s="61">
        <f>((E37+E38+E39)/1000*44/28*'(ne pas modifier) BDD_REF'!$B$231)+'RECeff + REIamont (2)'!E49+'RECeff + REIamont (2)'!E59</f>
        <v>0</v>
      </c>
      <c r="F60" s="59">
        <f>((F37+F38+F39)/1000*44/28*'(ne pas modifier) BDD_REF'!$B$231)+'RECeff + REIamont (2)'!F49+'RECeff + REIamont (2)'!F59</f>
        <v>0</v>
      </c>
      <c r="G60" s="59">
        <f>((G37+G38+G39)/1000*44/28*'(ne pas modifier) BDD_REF'!$B$231)+'RECeff + REIamont (2)'!G49+'RECeff + REIamont (2)'!G59</f>
        <v>0</v>
      </c>
      <c r="H60" s="59">
        <f>((H37+H38+H39)/1000*44/28*'(ne pas modifier) BDD_REF'!$B$231)+'RECeff + REIamont (2)'!H49+'RECeff + REIamont (2)'!H59</f>
        <v>0</v>
      </c>
      <c r="I60" s="59">
        <f>((I37+I38+I39)/1000*44/28*'(ne pas modifier) BDD_REF'!$B$231)+'RECeff + REIamont (2)'!I49+'RECeff + REIamont (2)'!I59</f>
        <v>0</v>
      </c>
      <c r="J60" s="59">
        <f>((J37+J38+J39)/1000*44/28*'(ne pas modifier) BDD_REF'!$B$231)+'RECeff + REIamont (2)'!J49+'RECeff + REIamont (2)'!J59</f>
        <v>0</v>
      </c>
      <c r="K60" s="59">
        <f>((K37+K38+K39)/1000*44/28*'(ne pas modifier) BDD_REF'!$B$231)+'RECeff + REIamont (2)'!K49+'RECeff + REIamont (2)'!K59</f>
        <v>0</v>
      </c>
      <c r="L60" s="59">
        <f>((L37+L38+L39)/1000*44/28*'(ne pas modifier) BDD_REF'!$B$231)+'RECeff + REIamont (2)'!L49+'RECeff + REIamont (2)'!L59</f>
        <v>0</v>
      </c>
      <c r="M60" s="59">
        <f t="shared" si="0"/>
        <v>1.6116070857142857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ht="15.75" customHeight="1" x14ac:dyDescent="0.2">
      <c r="A61" s="43" t="s">
        <v>94</v>
      </c>
      <c r="B61" s="30" t="s">
        <v>64</v>
      </c>
      <c r="C61" s="12">
        <v>51</v>
      </c>
      <c r="D61" s="13"/>
      <c r="E61" s="13"/>
      <c r="F61" s="9"/>
      <c r="G61" s="9"/>
      <c r="H61" s="9"/>
      <c r="I61" s="9"/>
      <c r="J61" s="9"/>
      <c r="K61" s="9"/>
      <c r="L61" s="9"/>
      <c r="M61" s="46">
        <f t="shared" si="0"/>
        <v>51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">
      <c r="A62" s="1"/>
      <c r="B62" s="30" t="s">
        <v>65</v>
      </c>
      <c r="C62" s="12">
        <v>0</v>
      </c>
      <c r="D62" s="13"/>
      <c r="E62" s="13"/>
      <c r="F62" s="9"/>
      <c r="G62" s="9"/>
      <c r="H62" s="9"/>
      <c r="I62" s="9"/>
      <c r="J62" s="9"/>
      <c r="K62" s="9"/>
      <c r="L62" s="9"/>
      <c r="M62" s="46">
        <f t="shared" si="0"/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">
      <c r="A63" s="1"/>
      <c r="B63" s="30" t="s">
        <v>66</v>
      </c>
      <c r="C63" s="12">
        <v>30</v>
      </c>
      <c r="D63" s="13"/>
      <c r="E63" s="13"/>
      <c r="F63" s="9"/>
      <c r="G63" s="9"/>
      <c r="H63" s="9"/>
      <c r="I63" s="9"/>
      <c r="J63" s="9"/>
      <c r="K63" s="9"/>
      <c r="L63" s="9"/>
      <c r="M63" s="46">
        <f t="shared" si="0"/>
        <v>30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">
      <c r="A64" s="1"/>
      <c r="B64" s="49" t="s">
        <v>67</v>
      </c>
      <c r="C64" s="50">
        <f>C61*'(ne pas modifier) BDD_REF'!$B$206 + (C62+C63)*'(ne pas modifier) BDD_REF'!$B$207</f>
        <v>0.996</v>
      </c>
      <c r="D64" s="51">
        <f>D61*'(ne pas modifier) BDD_REF'!$B$206 + (D62+D63)*'(ne pas modifier) BDD_REF'!$B$207</f>
        <v>0</v>
      </c>
      <c r="E64" s="51">
        <f>E61*'(ne pas modifier) BDD_REF'!$B$206 + (E62+E63)*'(ne pas modifier) BDD_REF'!$B$207</f>
        <v>0</v>
      </c>
      <c r="F64" s="46">
        <f>F61*'(ne pas modifier) BDD_REF'!$B$206 + (F62+F63)*'(ne pas modifier) BDD_REF'!$B$207</f>
        <v>0</v>
      </c>
      <c r="G64" s="46">
        <f>G61*'(ne pas modifier) BDD_REF'!$B$206 + (G62+G63)*'(ne pas modifier) BDD_REF'!$B$207</f>
        <v>0</v>
      </c>
      <c r="H64" s="46">
        <f>H61*'(ne pas modifier) BDD_REF'!$B$206 + (H62+H63)*'(ne pas modifier) BDD_REF'!$B$207</f>
        <v>0</v>
      </c>
      <c r="I64" s="46">
        <f>I61*'(ne pas modifier) BDD_REF'!$B$206 + (I62+I63)*'(ne pas modifier) BDD_REF'!$B$207</f>
        <v>0</v>
      </c>
      <c r="J64" s="46">
        <f>J61*'(ne pas modifier) BDD_REF'!$B$206 + (J62+J63)*'(ne pas modifier) BDD_REF'!$B$207</f>
        <v>0</v>
      </c>
      <c r="K64" s="46">
        <f>K61*'(ne pas modifier) BDD_REF'!$B$206 + (K62+K63)*'(ne pas modifier) BDD_REF'!$B$207</f>
        <v>0</v>
      </c>
      <c r="L64" s="46">
        <f>L61*'(ne pas modifier) BDD_REF'!$B$206 + (L62+L63)*'(ne pas modifier) BDD_REF'!$B$207</f>
        <v>0</v>
      </c>
      <c r="M64" s="46">
        <f t="shared" si="0"/>
        <v>0.996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">
      <c r="A65" s="1"/>
      <c r="B65" s="49" t="s">
        <v>68</v>
      </c>
      <c r="C65" s="50">
        <f>((C61*'(ne pas modifier) BDD_REF'!$B$219)+('RECeff + REIamont (2)'!C62+'RECeff + REIamont (2)'!C63)*'(ne pas modifier) BDD_REF'!$B$220)*'(ne pas modifier) BDD_REF'!$B$208</f>
        <v>0.1191</v>
      </c>
      <c r="D65" s="51">
        <f>((D61*'(ne pas modifier) BDD_REF'!$B$219)+('RECeff + REIamont (2)'!D62+'RECeff + REIamont (2)'!D63)*'(ne pas modifier) BDD_REF'!$B$220)*'(ne pas modifier) BDD_REF'!$B$208</f>
        <v>0</v>
      </c>
      <c r="E65" s="51">
        <f>((E61*'(ne pas modifier) BDD_REF'!$B$219)+('RECeff + REIamont (2)'!E62+'RECeff + REIamont (2)'!E63)*'(ne pas modifier) BDD_REF'!$B$220)*'(ne pas modifier) BDD_REF'!$B$208</f>
        <v>0</v>
      </c>
      <c r="F65" s="46">
        <f>((F61*'(ne pas modifier) BDD_REF'!$B$219)+('RECeff + REIamont (2)'!F62+'RECeff + REIamont (2)'!F63)*'(ne pas modifier) BDD_REF'!$B$220)*'(ne pas modifier) BDD_REF'!$B$208</f>
        <v>0</v>
      </c>
      <c r="G65" s="46">
        <f>((G61*'(ne pas modifier) BDD_REF'!$B$219)+('RECeff + REIamont (2)'!G62+'RECeff + REIamont (2)'!G63)*'(ne pas modifier) BDD_REF'!$B$220)*'(ne pas modifier) BDD_REF'!$B$208</f>
        <v>0</v>
      </c>
      <c r="H65" s="46">
        <f>((H61*'(ne pas modifier) BDD_REF'!$B$219)+('RECeff + REIamont (2)'!H62+'RECeff + REIamont (2)'!H63)*'(ne pas modifier) BDD_REF'!$B$220)*'(ne pas modifier) BDD_REF'!$B$208</f>
        <v>0</v>
      </c>
      <c r="I65" s="46">
        <f>((I61*'(ne pas modifier) BDD_REF'!$B$219)+('RECeff + REIamont (2)'!I62+'RECeff + REIamont (2)'!I63)*'(ne pas modifier) BDD_REF'!$B$220)*'(ne pas modifier) BDD_REF'!$B$208</f>
        <v>0</v>
      </c>
      <c r="J65" s="46">
        <f>((J61*'(ne pas modifier) BDD_REF'!$B$219)+('RECeff + REIamont (2)'!J62+'RECeff + REIamont (2)'!J63)*'(ne pas modifier) BDD_REF'!$B$220)*'(ne pas modifier) BDD_REF'!$B$208</f>
        <v>0</v>
      </c>
      <c r="K65" s="46">
        <f>((K61*'(ne pas modifier) BDD_REF'!$B$219)+('RECeff + REIamont (2)'!K62+'RECeff + REIamont (2)'!K63)*'(ne pas modifier) BDD_REF'!$B$220)*'(ne pas modifier) BDD_REF'!$B$208</f>
        <v>0</v>
      </c>
      <c r="L65" s="46">
        <f>((L61*'(ne pas modifier) BDD_REF'!$B$219)+('RECeff + REIamont (2)'!L62+'RECeff + REIamont (2)'!L63)*'(ne pas modifier) BDD_REF'!$B$220)*'(ne pas modifier) BDD_REF'!$B$208</f>
        <v>0</v>
      </c>
      <c r="M65" s="46">
        <f t="shared" si="0"/>
        <v>0.1191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">
      <c r="A66" s="1"/>
      <c r="B66" s="49" t="s">
        <v>69</v>
      </c>
      <c r="C66" s="50">
        <f>(C61+C62+C63)*'(ne pas modifier) BDD_REF'!$B$221*'(ne pas modifier) BDD_REF'!$B$209</f>
        <v>0.21383999999999997</v>
      </c>
      <c r="D66" s="51">
        <f>(D61+D62+D63)*'(ne pas modifier) BDD_REF'!$B$221*'(ne pas modifier) BDD_REF'!$B$209</f>
        <v>0</v>
      </c>
      <c r="E66" s="51">
        <f>(E61+E62+E63)*'(ne pas modifier) BDD_REF'!$B$221*'(ne pas modifier) BDD_REF'!$B$209</f>
        <v>0</v>
      </c>
      <c r="F66" s="46">
        <f>(F61+F62+F63)*'(ne pas modifier) BDD_REF'!$B$221*'(ne pas modifier) BDD_REF'!$B$209</f>
        <v>0</v>
      </c>
      <c r="G66" s="46">
        <f>(G61+G62+G63)*'(ne pas modifier) BDD_REF'!$B$221*'(ne pas modifier) BDD_REF'!$B$209</f>
        <v>0</v>
      </c>
      <c r="H66" s="46">
        <f>(H61+H62+H63)*'(ne pas modifier) BDD_REF'!$B$221*'(ne pas modifier) BDD_REF'!$B$209</f>
        <v>0</v>
      </c>
      <c r="I66" s="46">
        <f>(I61+I62+I63)*'(ne pas modifier) BDD_REF'!$B$221*'(ne pas modifier) BDD_REF'!$B$209</f>
        <v>0</v>
      </c>
      <c r="J66" s="46">
        <f>(J61+J62+J63)*'(ne pas modifier) BDD_REF'!$B$221*'(ne pas modifier) BDD_REF'!$B$209</f>
        <v>0</v>
      </c>
      <c r="K66" s="46">
        <f>(K61+K62+K63)*'(ne pas modifier) BDD_REF'!$B$221*'(ne pas modifier) BDD_REF'!$B$209</f>
        <v>0</v>
      </c>
      <c r="L66" s="46">
        <f>(L61+L62+L63)*'(ne pas modifier) BDD_REF'!$B$221*'(ne pas modifier) BDD_REF'!$B$209</f>
        <v>0</v>
      </c>
      <c r="M66" s="46">
        <f t="shared" si="0"/>
        <v>0.21383999999999997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">
      <c r="A67" s="1"/>
      <c r="B67" s="30" t="s">
        <v>70</v>
      </c>
      <c r="C67" s="12">
        <v>0</v>
      </c>
      <c r="D67" s="13"/>
      <c r="E67" s="13"/>
      <c r="F67" s="9"/>
      <c r="G67" s="9"/>
      <c r="H67" s="9"/>
      <c r="I67" s="9"/>
      <c r="J67" s="9"/>
      <c r="K67" s="9"/>
      <c r="L67" s="9"/>
      <c r="M67" s="46">
        <f t="shared" si="0"/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">
      <c r="A68" s="1"/>
      <c r="B68" s="30" t="s">
        <v>71</v>
      </c>
      <c r="C68" s="12">
        <v>193.5</v>
      </c>
      <c r="D68" s="13"/>
      <c r="E68" s="13"/>
      <c r="F68" s="9"/>
      <c r="G68" s="9"/>
      <c r="H68" s="9"/>
      <c r="I68" s="9"/>
      <c r="J68" s="9"/>
      <c r="K68" s="9"/>
      <c r="L68" s="9"/>
      <c r="M68" s="46">
        <f t="shared" si="0"/>
        <v>193.5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">
      <c r="A69" s="1"/>
      <c r="B69" s="30" t="s">
        <v>72</v>
      </c>
      <c r="C69" s="12">
        <v>0</v>
      </c>
      <c r="D69" s="13"/>
      <c r="E69" s="13"/>
      <c r="F69" s="9"/>
      <c r="G69" s="9"/>
      <c r="H69" s="9"/>
      <c r="I69" s="9"/>
      <c r="J69" s="9"/>
      <c r="K69" s="9"/>
      <c r="L69" s="9"/>
      <c r="M69" s="46">
        <f t="shared" si="0"/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">
      <c r="A70" s="1"/>
      <c r="B70" s="30" t="s">
        <v>73</v>
      </c>
      <c r="C70" s="12">
        <v>0</v>
      </c>
      <c r="D70" s="13"/>
      <c r="E70" s="13"/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46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">
      <c r="A71" s="1"/>
      <c r="B71" s="30" t="s">
        <v>74</v>
      </c>
      <c r="C71" s="12">
        <v>0</v>
      </c>
      <c r="D71" s="13"/>
      <c r="E71" s="13"/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46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">
      <c r="A72" s="1"/>
      <c r="B72" s="30" t="s">
        <v>75</v>
      </c>
      <c r="C72" s="12">
        <v>0</v>
      </c>
      <c r="D72" s="13"/>
      <c r="E72" s="13"/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46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">
      <c r="A73" s="1"/>
      <c r="B73" s="8" t="s">
        <v>76</v>
      </c>
      <c r="C73" s="50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0.59423849999999989</v>
      </c>
      <c r="D73" s="51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51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6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6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6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6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6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6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6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6">
        <f t="shared" si="0"/>
        <v>0.59423849999999989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">
      <c r="A74" s="1"/>
      <c r="B74" s="30" t="s">
        <v>77</v>
      </c>
      <c r="C74" s="12">
        <v>2000</v>
      </c>
      <c r="D74" s="13"/>
      <c r="E74" s="13"/>
      <c r="F74" s="9"/>
      <c r="G74" s="9"/>
      <c r="H74" s="9"/>
      <c r="I74" s="9"/>
      <c r="J74" s="9"/>
      <c r="K74" s="9"/>
      <c r="L74" s="9"/>
      <c r="M74" s="46">
        <f t="shared" si="0"/>
        <v>2000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">
      <c r="A75" s="1"/>
      <c r="B75" s="8" t="s">
        <v>78</v>
      </c>
      <c r="C75" s="50">
        <f>(C74*'(ne pas modifier) BDD_REF'!$B$210)/1000</f>
        <v>0.114</v>
      </c>
      <c r="D75" s="51">
        <f>(D74*'(ne pas modifier) BDD_REF'!$B$210)/1000</f>
        <v>0</v>
      </c>
      <c r="E75" s="51">
        <f>(E74*'(ne pas modifier) BDD_REF'!$B$210)/1000</f>
        <v>0</v>
      </c>
      <c r="F75" s="46">
        <f>(F74*'(ne pas modifier) BDD_REF'!$B$210)/1000</f>
        <v>0</v>
      </c>
      <c r="G75" s="46">
        <f>(G74*'(ne pas modifier) BDD_REF'!$B$210)/1000</f>
        <v>0</v>
      </c>
      <c r="H75" s="46">
        <f>(H74*'(ne pas modifier) BDD_REF'!$B$210)/1000</f>
        <v>0</v>
      </c>
      <c r="I75" s="46">
        <f>(I74*'(ne pas modifier) BDD_REF'!$B$210)/1000</f>
        <v>0</v>
      </c>
      <c r="J75" s="46">
        <f>(J74*'(ne pas modifier) BDD_REF'!$B$210)/1000</f>
        <v>0</v>
      </c>
      <c r="K75" s="46">
        <f>(K74*'(ne pas modifier) BDD_REF'!$B$210)/1000</f>
        <v>0</v>
      </c>
      <c r="L75" s="46">
        <f>(L74*'(ne pas modifier) BDD_REF'!$B$210)/1000</f>
        <v>0</v>
      </c>
      <c r="M75" s="46">
        <f t="shared" si="0"/>
        <v>0.114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">
      <c r="A76" s="52"/>
      <c r="B76" s="49" t="s">
        <v>79</v>
      </c>
      <c r="C76" s="53">
        <f t="shared" ref="C76:L76" si="5">C73+C75</f>
        <v>0.70823849999999988</v>
      </c>
      <c r="D76" s="54">
        <f t="shared" si="5"/>
        <v>0</v>
      </c>
      <c r="E76" s="54">
        <f t="shared" si="5"/>
        <v>0</v>
      </c>
      <c r="F76" s="55">
        <f t="shared" si="5"/>
        <v>0</v>
      </c>
      <c r="G76" s="55">
        <f t="shared" si="5"/>
        <v>0</v>
      </c>
      <c r="H76" s="55">
        <f t="shared" si="5"/>
        <v>0</v>
      </c>
      <c r="I76" s="55">
        <f t="shared" si="5"/>
        <v>0</v>
      </c>
      <c r="J76" s="55">
        <f t="shared" si="5"/>
        <v>0</v>
      </c>
      <c r="K76" s="55">
        <f t="shared" si="5"/>
        <v>0</v>
      </c>
      <c r="L76" s="55">
        <f t="shared" si="5"/>
        <v>0</v>
      </c>
      <c r="M76" s="46">
        <f t="shared" si="0"/>
        <v>0.70823849999999988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ht="15.75" customHeight="1" x14ac:dyDescent="0.2">
      <c r="A77" s="1"/>
      <c r="B77" s="30" t="s">
        <v>80</v>
      </c>
      <c r="C77" s="12">
        <v>46</v>
      </c>
      <c r="D77" s="13"/>
      <c r="E77" s="15"/>
      <c r="F77" s="9"/>
      <c r="G77" s="9"/>
      <c r="H77" s="9"/>
      <c r="I77" s="9"/>
      <c r="J77" s="9"/>
      <c r="K77" s="9"/>
      <c r="L77" s="9"/>
      <c r="M77" s="46">
        <f t="shared" si="0"/>
        <v>46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">
      <c r="A78" s="1"/>
      <c r="B78" s="30" t="s">
        <v>81</v>
      </c>
      <c r="C78" s="12">
        <v>75</v>
      </c>
      <c r="D78" s="13"/>
      <c r="E78" s="15"/>
      <c r="F78" s="9"/>
      <c r="G78" s="9"/>
      <c r="H78" s="9"/>
      <c r="I78" s="9"/>
      <c r="J78" s="9"/>
      <c r="K78" s="9"/>
      <c r="L78" s="9"/>
      <c r="M78" s="46">
        <f t="shared" si="0"/>
        <v>75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">
      <c r="A79" s="1"/>
      <c r="B79" s="8" t="s">
        <v>82</v>
      </c>
      <c r="C79" s="50">
        <f>(C61*'(ne pas modifier) BDD_REF'!$B$211+'RECeff + REIamont (2)'!C77*'(ne pas modifier) BDD_REF'!$B$212+'RECeff + REIamont (2)'!C78*'(ne pas modifier) BDD_REF'!$B$213)/1000</f>
        <v>0.34995999999999999</v>
      </c>
      <c r="D79" s="51">
        <f>(D61*'(ne pas modifier) BDD_REF'!$B$211+'RECeff + REIamont (2)'!D77*'(ne pas modifier) BDD_REF'!$B$212+'RECeff + REIamont (2)'!D78*'(ne pas modifier) BDD_REF'!$B$213)/1000</f>
        <v>0</v>
      </c>
      <c r="E79" s="51">
        <f>(E61*'(ne pas modifier) BDD_REF'!$B$211+'RECeff + REIamont (2)'!E77*'(ne pas modifier) BDD_REF'!$B$212+'RECeff + REIamont (2)'!E78*'(ne pas modifier) BDD_REF'!$B$213)/1000</f>
        <v>0</v>
      </c>
      <c r="F79" s="46">
        <f>(F61*'(ne pas modifier) BDD_REF'!$B$211+'RECeff + REIamont (2)'!F77*'(ne pas modifier) BDD_REF'!$B$212+'RECeff + REIamont (2)'!F78*'(ne pas modifier) BDD_REF'!$B$213)/1000</f>
        <v>0</v>
      </c>
      <c r="G79" s="46">
        <f>(G61*'(ne pas modifier) BDD_REF'!$B$211+'RECeff + REIamont (2)'!G77*'(ne pas modifier) BDD_REF'!$B$212+'RECeff + REIamont (2)'!G78*'(ne pas modifier) BDD_REF'!$B$213)/1000</f>
        <v>0</v>
      </c>
      <c r="H79" s="46">
        <f>(H61*'(ne pas modifier) BDD_REF'!$B$211+'RECeff + REIamont (2)'!H77*'(ne pas modifier) BDD_REF'!$B$212+'RECeff + REIamont (2)'!H78*'(ne pas modifier) BDD_REF'!$B$213)/1000</f>
        <v>0</v>
      </c>
      <c r="I79" s="46">
        <f>(I61*'(ne pas modifier) BDD_REF'!$B$211+'RECeff + REIamont (2)'!I77*'(ne pas modifier) BDD_REF'!$B$212+'RECeff + REIamont (2)'!I78*'(ne pas modifier) BDD_REF'!$B$213)/1000</f>
        <v>0</v>
      </c>
      <c r="J79" s="46">
        <f>(J61*'(ne pas modifier) BDD_REF'!$B$211+'RECeff + REIamont (2)'!J77*'(ne pas modifier) BDD_REF'!$B$212+'RECeff + REIamont (2)'!J78*'(ne pas modifier) BDD_REF'!$B$213)/1000</f>
        <v>0</v>
      </c>
      <c r="K79" s="46">
        <f>(K61*'(ne pas modifier) BDD_REF'!$B$211+'RECeff + REIamont (2)'!K77*'(ne pas modifier) BDD_REF'!$B$212+'RECeff + REIamont (2)'!K78*'(ne pas modifier) BDD_REF'!$B$213)/1000</f>
        <v>0</v>
      </c>
      <c r="L79" s="46">
        <f>(L61*'(ne pas modifier) BDD_REF'!$B$211+'RECeff + REIamont (2)'!L77*'(ne pas modifier) BDD_REF'!$B$212+'RECeff + REIamont (2)'!L78*'(ne pas modifier) BDD_REF'!$B$213)/1000</f>
        <v>0</v>
      </c>
      <c r="M79" s="46">
        <f t="shared" si="0"/>
        <v>0.34995999999999999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hidden="1" customHeight="1" x14ac:dyDescent="0.2">
      <c r="A80" s="1" t="s">
        <v>93</v>
      </c>
      <c r="B80" s="8" t="s">
        <v>83</v>
      </c>
      <c r="C80" s="56"/>
      <c r="D80" s="57"/>
      <c r="E80" s="57"/>
      <c r="F80" s="46"/>
      <c r="G80" s="46"/>
      <c r="H80" s="46"/>
      <c r="I80" s="46"/>
      <c r="J80" s="46"/>
      <c r="K80" s="46"/>
      <c r="L80" s="46"/>
      <c r="M80" s="46">
        <f t="shared" si="0"/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">
      <c r="A81" s="1"/>
      <c r="B81" s="30" t="s">
        <v>85</v>
      </c>
      <c r="C81" s="14"/>
      <c r="D81" s="15"/>
      <c r="E81" s="15"/>
      <c r="F81" s="9"/>
      <c r="G81" s="9"/>
      <c r="H81" s="9"/>
      <c r="I81" s="9"/>
      <c r="J81" s="9"/>
      <c r="K81" s="9"/>
      <c r="L81" s="9"/>
      <c r="M81" s="46">
        <f t="shared" si="0"/>
        <v>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">
      <c r="A82" s="1"/>
      <c r="B82" s="30" t="s">
        <v>86</v>
      </c>
      <c r="C82" s="14"/>
      <c r="D82" s="15"/>
      <c r="E82" s="15"/>
      <c r="F82" s="9"/>
      <c r="G82" s="9"/>
      <c r="H82" s="9"/>
      <c r="I82" s="9"/>
      <c r="J82" s="9"/>
      <c r="K82" s="9"/>
      <c r="L82" s="9"/>
      <c r="M82" s="46">
        <f t="shared" si="0"/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">
      <c r="A83" s="1"/>
      <c r="B83" s="30" t="s">
        <v>87</v>
      </c>
      <c r="C83" s="14"/>
      <c r="D83" s="15"/>
      <c r="E83" s="15"/>
      <c r="F83" s="9"/>
      <c r="G83" s="9"/>
      <c r="H83" s="9"/>
      <c r="I83" s="9"/>
      <c r="J83" s="9"/>
      <c r="K83" s="9"/>
      <c r="L83" s="9"/>
      <c r="M83" s="46">
        <f t="shared" si="0"/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">
      <c r="A84" s="1"/>
      <c r="B84" s="30" t="s">
        <v>88</v>
      </c>
      <c r="C84" s="14"/>
      <c r="D84" s="15"/>
      <c r="E84" s="15"/>
      <c r="F84" s="9"/>
      <c r="G84" s="9"/>
      <c r="H84" s="9"/>
      <c r="I84" s="9"/>
      <c r="J84" s="9"/>
      <c r="K84" s="9"/>
      <c r="L84" s="9"/>
      <c r="M84" s="46">
        <f t="shared" si="0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">
      <c r="A85" s="1"/>
      <c r="B85" s="8" t="s">
        <v>89</v>
      </c>
      <c r="C85" s="50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51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51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6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6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6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6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6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6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6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6">
        <f t="shared" si="0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">
      <c r="A86" s="52"/>
      <c r="B86" s="49" t="s">
        <v>90</v>
      </c>
      <c r="C86" s="53">
        <f t="shared" ref="C86:L86" si="6">C79+C80+C85</f>
        <v>0.34995999999999999</v>
      </c>
      <c r="D86" s="54">
        <f t="shared" si="6"/>
        <v>0</v>
      </c>
      <c r="E86" s="54">
        <f t="shared" si="6"/>
        <v>0</v>
      </c>
      <c r="F86" s="55">
        <f t="shared" si="6"/>
        <v>0</v>
      </c>
      <c r="G86" s="55">
        <f t="shared" si="6"/>
        <v>0</v>
      </c>
      <c r="H86" s="55">
        <f t="shared" si="6"/>
        <v>0</v>
      </c>
      <c r="I86" s="55">
        <f t="shared" si="6"/>
        <v>0</v>
      </c>
      <c r="J86" s="55">
        <f t="shared" si="6"/>
        <v>0</v>
      </c>
      <c r="K86" s="55">
        <f t="shared" si="6"/>
        <v>0</v>
      </c>
      <c r="L86" s="55">
        <f t="shared" si="6"/>
        <v>0</v>
      </c>
      <c r="M86" s="46">
        <f t="shared" si="0"/>
        <v>0.34995999999999999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5.75" customHeight="1" x14ac:dyDescent="0.2">
      <c r="A87" s="52"/>
      <c r="B87" s="59" t="s">
        <v>91</v>
      </c>
      <c r="C87" s="60">
        <f>((C64+C65+C66)/1000*44/28*'(ne pas modifier) BDD_REF'!$B$231)+'RECeff + REIamont (2)'!C76+'RECeff + REIamont (2)'!C86</f>
        <v>1.6116070857142857</v>
      </c>
      <c r="D87" s="61">
        <f>((D64+D65+D66)/1000*44/28*'(ne pas modifier) BDD_REF'!$B$231)+'RECeff + REIamont (2)'!D76+'RECeff + REIamont (2)'!D86</f>
        <v>0</v>
      </c>
      <c r="E87" s="61">
        <f>((E64+E65+E66)/1000*44/28*'(ne pas modifier) BDD_REF'!$B$231)+'RECeff + REIamont (2)'!E76+'RECeff + REIamont (2)'!E86</f>
        <v>0</v>
      </c>
      <c r="F87" s="59">
        <f>((F64+F65+F66)/1000*44/28*'(ne pas modifier) BDD_REF'!$B$231)+'RECeff + REIamont (2)'!F76+'RECeff + REIamont (2)'!F86</f>
        <v>0</v>
      </c>
      <c r="G87" s="59">
        <f>((G64+G65+G66)/1000*44/28*'(ne pas modifier) BDD_REF'!$B$231)+'RECeff + REIamont (2)'!G76+'RECeff + REIamont (2)'!G86</f>
        <v>0</v>
      </c>
      <c r="H87" s="59">
        <f>((H64+H65+H66)/1000*44/28*'(ne pas modifier) BDD_REF'!$B$231)+'RECeff + REIamont (2)'!H76+'RECeff + REIamont (2)'!H86</f>
        <v>0</v>
      </c>
      <c r="I87" s="59">
        <f>((I64+I65+I66)/1000*44/28*'(ne pas modifier) BDD_REF'!$B$231)+'RECeff + REIamont (2)'!I76+'RECeff + REIamont (2)'!I86</f>
        <v>0</v>
      </c>
      <c r="J87" s="59">
        <f>((J64+J65+J66)/1000*44/28*'(ne pas modifier) BDD_REF'!$B$231)+'RECeff + REIamont (2)'!J76+'RECeff + REIamont (2)'!J86</f>
        <v>0</v>
      </c>
      <c r="K87" s="59">
        <f>((K64+K65+K66)/1000*44/28*'(ne pas modifier) BDD_REF'!$B$231)+'RECeff + REIamont (2)'!K76+'RECeff + REIamont (2)'!K86</f>
        <v>0</v>
      </c>
      <c r="L87" s="59">
        <f>((L64+L65+L66)/1000*44/28*'(ne pas modifier) BDD_REF'!$B$231)+'RECeff + REIamont (2)'!L76+'RECeff + REIamont (2)'!L86</f>
        <v>0</v>
      </c>
      <c r="M87" s="59">
        <f t="shared" si="0"/>
        <v>1.6116070857142857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5.75" customHeight="1" x14ac:dyDescent="0.2">
      <c r="A88" s="43" t="s">
        <v>95</v>
      </c>
      <c r="B88" s="30" t="s">
        <v>64</v>
      </c>
      <c r="C88" s="12">
        <v>51</v>
      </c>
      <c r="D88" s="13"/>
      <c r="E88" s="13"/>
      <c r="F88" s="9"/>
      <c r="G88" s="9"/>
      <c r="H88" s="9"/>
      <c r="I88" s="9"/>
      <c r="J88" s="9"/>
      <c r="K88" s="9"/>
      <c r="L88" s="9"/>
      <c r="M88" s="46">
        <f t="shared" si="0"/>
        <v>51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">
      <c r="A89" s="1"/>
      <c r="B89" s="30" t="s">
        <v>65</v>
      </c>
      <c r="C89" s="12">
        <v>0</v>
      </c>
      <c r="D89" s="13"/>
      <c r="E89" s="13"/>
      <c r="F89" s="9"/>
      <c r="G89" s="9"/>
      <c r="H89" s="9"/>
      <c r="I89" s="9"/>
      <c r="J89" s="9"/>
      <c r="K89" s="9"/>
      <c r="L89" s="9"/>
      <c r="M89" s="46">
        <f t="shared" si="0"/>
        <v>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">
      <c r="A90" s="1"/>
      <c r="B90" s="30" t="s">
        <v>66</v>
      </c>
      <c r="C90" s="12">
        <v>30</v>
      </c>
      <c r="D90" s="13"/>
      <c r="E90" s="13"/>
      <c r="F90" s="9"/>
      <c r="G90" s="9"/>
      <c r="H90" s="9"/>
      <c r="I90" s="9"/>
      <c r="J90" s="9"/>
      <c r="K90" s="9"/>
      <c r="L90" s="9"/>
      <c r="M90" s="46">
        <f t="shared" si="0"/>
        <v>30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">
      <c r="A91" s="1"/>
      <c r="B91" s="49" t="s">
        <v>67</v>
      </c>
      <c r="C91" s="50">
        <f>C88*'(ne pas modifier) BDD_REF'!$B$206 + (C89+C90)*'(ne pas modifier) BDD_REF'!$B$207</f>
        <v>0.996</v>
      </c>
      <c r="D91" s="51">
        <f>D88*'(ne pas modifier) BDD_REF'!$B$206 + (D89+D90)*'(ne pas modifier) BDD_REF'!$B$207</f>
        <v>0</v>
      </c>
      <c r="E91" s="51">
        <f>E88*'(ne pas modifier) BDD_REF'!$B$206 + (E89+E90)*'(ne pas modifier) BDD_REF'!$B$207</f>
        <v>0</v>
      </c>
      <c r="F91" s="46">
        <f>F88*'(ne pas modifier) BDD_REF'!$B$206 + (F89+F90)*'(ne pas modifier) BDD_REF'!$B$207</f>
        <v>0</v>
      </c>
      <c r="G91" s="46">
        <f>G88*'(ne pas modifier) BDD_REF'!$B$206 + (G89+G90)*'(ne pas modifier) BDD_REF'!$B$207</f>
        <v>0</v>
      </c>
      <c r="H91" s="46">
        <f>H88*'(ne pas modifier) BDD_REF'!$B$206 + (H89+H90)*'(ne pas modifier) BDD_REF'!$B$207</f>
        <v>0</v>
      </c>
      <c r="I91" s="46">
        <f>I88*'(ne pas modifier) BDD_REF'!$B$206 + (I89+I90)*'(ne pas modifier) BDD_REF'!$B$207</f>
        <v>0</v>
      </c>
      <c r="J91" s="46">
        <f>J88*'(ne pas modifier) BDD_REF'!$B$206 + (J89+J90)*'(ne pas modifier) BDD_REF'!$B$207</f>
        <v>0</v>
      </c>
      <c r="K91" s="46">
        <f>K88*'(ne pas modifier) BDD_REF'!$B$206 + (K89+K90)*'(ne pas modifier) BDD_REF'!$B$207</f>
        <v>0</v>
      </c>
      <c r="L91" s="46">
        <f>L88*'(ne pas modifier) BDD_REF'!$B$206 + (L89+L90)*'(ne pas modifier) BDD_REF'!$B$207</f>
        <v>0</v>
      </c>
      <c r="M91" s="46">
        <f t="shared" si="0"/>
        <v>0.996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">
      <c r="A92" s="1"/>
      <c r="B92" s="49" t="s">
        <v>68</v>
      </c>
      <c r="C92" s="50">
        <f>((C88*'(ne pas modifier) BDD_REF'!$B$219)+('RECeff + REIamont (2)'!C89+'RECeff + REIamont (2)'!C90)*'(ne pas modifier) BDD_REF'!$B$220)*'(ne pas modifier) BDD_REF'!$B$208</f>
        <v>0.1191</v>
      </c>
      <c r="D92" s="51">
        <f>((D88*'(ne pas modifier) BDD_REF'!$B$219)+('RECeff + REIamont (2)'!D89+'RECeff + REIamont (2)'!D90)*'(ne pas modifier) BDD_REF'!$B$220)*'(ne pas modifier) BDD_REF'!$B$208</f>
        <v>0</v>
      </c>
      <c r="E92" s="51">
        <f>((E88*'(ne pas modifier) BDD_REF'!$B$219)+('RECeff + REIamont (2)'!E89+'RECeff + REIamont (2)'!E90)*'(ne pas modifier) BDD_REF'!$B$220)*'(ne pas modifier) BDD_REF'!$B$208</f>
        <v>0</v>
      </c>
      <c r="F92" s="46">
        <f>((F88*'(ne pas modifier) BDD_REF'!$B$219)+('RECeff + REIamont (2)'!F89+'RECeff + REIamont (2)'!F90)*'(ne pas modifier) BDD_REF'!$B$220)*'(ne pas modifier) BDD_REF'!$B$208</f>
        <v>0</v>
      </c>
      <c r="G92" s="46">
        <f>((G88*'(ne pas modifier) BDD_REF'!$B$219)+('RECeff + REIamont (2)'!G89+'RECeff + REIamont (2)'!G90)*'(ne pas modifier) BDD_REF'!$B$220)*'(ne pas modifier) BDD_REF'!$B$208</f>
        <v>0</v>
      </c>
      <c r="H92" s="46">
        <f>((H88*'(ne pas modifier) BDD_REF'!$B$219)+('RECeff + REIamont (2)'!H89+'RECeff + REIamont (2)'!H90)*'(ne pas modifier) BDD_REF'!$B$220)*'(ne pas modifier) BDD_REF'!$B$208</f>
        <v>0</v>
      </c>
      <c r="I92" s="46">
        <f>((I88*'(ne pas modifier) BDD_REF'!$B$219)+('RECeff + REIamont (2)'!I89+'RECeff + REIamont (2)'!I90)*'(ne pas modifier) BDD_REF'!$B$220)*'(ne pas modifier) BDD_REF'!$B$208</f>
        <v>0</v>
      </c>
      <c r="J92" s="46">
        <f>((J88*'(ne pas modifier) BDD_REF'!$B$219)+('RECeff + REIamont (2)'!J89+'RECeff + REIamont (2)'!J90)*'(ne pas modifier) BDD_REF'!$B$220)*'(ne pas modifier) BDD_REF'!$B$208</f>
        <v>0</v>
      </c>
      <c r="K92" s="46">
        <f>((K88*'(ne pas modifier) BDD_REF'!$B$219)+('RECeff + REIamont (2)'!K89+'RECeff + REIamont (2)'!K90)*'(ne pas modifier) BDD_REF'!$B$220)*'(ne pas modifier) BDD_REF'!$B$208</f>
        <v>0</v>
      </c>
      <c r="L92" s="46">
        <f>((L88*'(ne pas modifier) BDD_REF'!$B$219)+('RECeff + REIamont (2)'!L89+'RECeff + REIamont (2)'!L90)*'(ne pas modifier) BDD_REF'!$B$220)*'(ne pas modifier) BDD_REF'!$B$208</f>
        <v>0</v>
      </c>
      <c r="M92" s="46">
        <f t="shared" si="0"/>
        <v>0.1191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">
      <c r="A93" s="1"/>
      <c r="B93" s="49" t="s">
        <v>69</v>
      </c>
      <c r="C93" s="50">
        <f>(C88+C89+C90)*'(ne pas modifier) BDD_REF'!$B$221*'(ne pas modifier) BDD_REF'!$B$209</f>
        <v>0.21383999999999997</v>
      </c>
      <c r="D93" s="51">
        <f>(D88+D89+D90)*'(ne pas modifier) BDD_REF'!$B$221*'(ne pas modifier) BDD_REF'!$B$209</f>
        <v>0</v>
      </c>
      <c r="E93" s="51">
        <f>(E88+E89+E90)*'(ne pas modifier) BDD_REF'!$B$221*'(ne pas modifier) BDD_REF'!$B$209</f>
        <v>0</v>
      </c>
      <c r="F93" s="46">
        <f>(F88+F89+F90)*'(ne pas modifier) BDD_REF'!$B$221*'(ne pas modifier) BDD_REF'!$B$209</f>
        <v>0</v>
      </c>
      <c r="G93" s="46">
        <f>(G88+G89+G90)*'(ne pas modifier) BDD_REF'!$B$221*'(ne pas modifier) BDD_REF'!$B$209</f>
        <v>0</v>
      </c>
      <c r="H93" s="46">
        <f>(H88+H89+H90)*'(ne pas modifier) BDD_REF'!$B$221*'(ne pas modifier) BDD_REF'!$B$209</f>
        <v>0</v>
      </c>
      <c r="I93" s="46">
        <f>(I88+I89+I90)*'(ne pas modifier) BDD_REF'!$B$221*'(ne pas modifier) BDD_REF'!$B$209</f>
        <v>0</v>
      </c>
      <c r="J93" s="46">
        <f>(J88+J89+J90)*'(ne pas modifier) BDD_REF'!$B$221*'(ne pas modifier) BDD_REF'!$B$209</f>
        <v>0</v>
      </c>
      <c r="K93" s="46">
        <f>(K88+K89+K90)*'(ne pas modifier) BDD_REF'!$B$221*'(ne pas modifier) BDD_REF'!$B$209</f>
        <v>0</v>
      </c>
      <c r="L93" s="46">
        <f>(L88+L89+L90)*'(ne pas modifier) BDD_REF'!$B$221*'(ne pas modifier) BDD_REF'!$B$209</f>
        <v>0</v>
      </c>
      <c r="M93" s="46">
        <f t="shared" si="0"/>
        <v>0.21383999999999997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">
      <c r="A94" s="1"/>
      <c r="B94" s="30" t="s">
        <v>70</v>
      </c>
      <c r="C94" s="12">
        <v>0</v>
      </c>
      <c r="D94" s="13"/>
      <c r="E94" s="13"/>
      <c r="F94" s="9"/>
      <c r="G94" s="9"/>
      <c r="H94" s="9"/>
      <c r="I94" s="9"/>
      <c r="J94" s="9"/>
      <c r="K94" s="9"/>
      <c r="L94" s="9"/>
      <c r="M94" s="46">
        <f t="shared" si="0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">
      <c r="A95" s="1"/>
      <c r="B95" s="30" t="s">
        <v>71</v>
      </c>
      <c r="C95" s="12">
        <v>193.5</v>
      </c>
      <c r="D95" s="13"/>
      <c r="E95" s="13"/>
      <c r="F95" s="9"/>
      <c r="G95" s="9"/>
      <c r="H95" s="9"/>
      <c r="I95" s="9"/>
      <c r="J95" s="9"/>
      <c r="K95" s="9"/>
      <c r="L95" s="9"/>
      <c r="M95" s="46">
        <f t="shared" si="0"/>
        <v>193.5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">
      <c r="A96" s="1"/>
      <c r="B96" s="30" t="s">
        <v>72</v>
      </c>
      <c r="C96" s="12">
        <v>0</v>
      </c>
      <c r="D96" s="13"/>
      <c r="E96" s="13"/>
      <c r="F96" s="9"/>
      <c r="G96" s="9"/>
      <c r="H96" s="9"/>
      <c r="I96" s="9"/>
      <c r="J96" s="9"/>
      <c r="K96" s="9"/>
      <c r="L96" s="9"/>
      <c r="M96" s="46">
        <f t="shared" si="0"/>
        <v>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">
      <c r="A97" s="1"/>
      <c r="B97" s="30" t="s">
        <v>73</v>
      </c>
      <c r="C97" s="12">
        <v>0</v>
      </c>
      <c r="D97" s="13"/>
      <c r="E97" s="13"/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46">
        <f t="shared" si="0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">
      <c r="A98" s="1"/>
      <c r="B98" s="30" t="s">
        <v>74</v>
      </c>
      <c r="C98" s="12">
        <v>0</v>
      </c>
      <c r="D98" s="13"/>
      <c r="E98" s="13"/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46">
        <f t="shared" si="0"/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">
      <c r="A99" s="1"/>
      <c r="B99" s="30" t="s">
        <v>75</v>
      </c>
      <c r="C99" s="12">
        <v>0</v>
      </c>
      <c r="D99" s="13"/>
      <c r="E99" s="13"/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46">
        <f t="shared" si="0"/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">
      <c r="A100" s="1"/>
      <c r="B100" s="8" t="s">
        <v>76</v>
      </c>
      <c r="C100" s="50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0.59423849999999989</v>
      </c>
      <c r="D100" s="51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51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6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6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6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6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6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6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6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6">
        <f t="shared" si="0"/>
        <v>0.59423849999999989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">
      <c r="A101" s="1"/>
      <c r="B101" s="30" t="s">
        <v>77</v>
      </c>
      <c r="C101" s="12">
        <v>2000</v>
      </c>
      <c r="D101" s="13"/>
      <c r="E101" s="13"/>
      <c r="F101" s="9"/>
      <c r="G101" s="9"/>
      <c r="H101" s="9"/>
      <c r="I101" s="9"/>
      <c r="J101" s="9"/>
      <c r="K101" s="9"/>
      <c r="L101" s="9"/>
      <c r="M101" s="46">
        <f t="shared" si="0"/>
        <v>2000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">
      <c r="A102" s="1"/>
      <c r="B102" s="8" t="s">
        <v>78</v>
      </c>
      <c r="C102" s="50">
        <f>(C101*'(ne pas modifier) BDD_REF'!$B$210)/1000</f>
        <v>0.114</v>
      </c>
      <c r="D102" s="51">
        <f>(D101*'(ne pas modifier) BDD_REF'!$B$210)/1000</f>
        <v>0</v>
      </c>
      <c r="E102" s="51">
        <f>(E101*'(ne pas modifier) BDD_REF'!$B$210)/1000</f>
        <v>0</v>
      </c>
      <c r="F102" s="46">
        <f>(F101*'(ne pas modifier) BDD_REF'!$B$210)/1000</f>
        <v>0</v>
      </c>
      <c r="G102" s="46">
        <f>(G101*'(ne pas modifier) BDD_REF'!$B$210)/1000</f>
        <v>0</v>
      </c>
      <c r="H102" s="46">
        <f>(H101*'(ne pas modifier) BDD_REF'!$B$210)/1000</f>
        <v>0</v>
      </c>
      <c r="I102" s="46">
        <f>(I101*'(ne pas modifier) BDD_REF'!$B$210)/1000</f>
        <v>0</v>
      </c>
      <c r="J102" s="46">
        <f>(J101*'(ne pas modifier) BDD_REF'!$B$210)/1000</f>
        <v>0</v>
      </c>
      <c r="K102" s="46">
        <f>(K101*'(ne pas modifier) BDD_REF'!$B$210)/1000</f>
        <v>0</v>
      </c>
      <c r="L102" s="46">
        <f>(L101*'(ne pas modifier) BDD_REF'!$B$210)/1000</f>
        <v>0</v>
      </c>
      <c r="M102" s="46">
        <f t="shared" si="0"/>
        <v>0.114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">
      <c r="A103" s="52"/>
      <c r="B103" s="49" t="s">
        <v>79</v>
      </c>
      <c r="C103" s="53">
        <f t="shared" ref="C103:L103" si="7">C100+C102</f>
        <v>0.70823849999999988</v>
      </c>
      <c r="D103" s="54">
        <f t="shared" si="7"/>
        <v>0</v>
      </c>
      <c r="E103" s="54">
        <f t="shared" si="7"/>
        <v>0</v>
      </c>
      <c r="F103" s="55">
        <f t="shared" si="7"/>
        <v>0</v>
      </c>
      <c r="G103" s="55">
        <f t="shared" si="7"/>
        <v>0</v>
      </c>
      <c r="H103" s="55">
        <f t="shared" si="7"/>
        <v>0</v>
      </c>
      <c r="I103" s="55">
        <f t="shared" si="7"/>
        <v>0</v>
      </c>
      <c r="J103" s="55">
        <f t="shared" si="7"/>
        <v>0</v>
      </c>
      <c r="K103" s="55">
        <f t="shared" si="7"/>
        <v>0</v>
      </c>
      <c r="L103" s="55">
        <f t="shared" si="7"/>
        <v>0</v>
      </c>
      <c r="M103" s="46">
        <f t="shared" si="0"/>
        <v>0.70823849999999988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5.75" customHeight="1" x14ac:dyDescent="0.2">
      <c r="A104" s="1"/>
      <c r="B104" s="30" t="s">
        <v>80</v>
      </c>
      <c r="C104" s="12">
        <v>46</v>
      </c>
      <c r="D104" s="13"/>
      <c r="E104" s="13"/>
      <c r="F104" s="9"/>
      <c r="G104" s="9"/>
      <c r="H104" s="9"/>
      <c r="I104" s="9"/>
      <c r="J104" s="9"/>
      <c r="K104" s="9"/>
      <c r="L104" s="9"/>
      <c r="M104" s="46">
        <f t="shared" si="0"/>
        <v>46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">
      <c r="A105" s="1"/>
      <c r="B105" s="30" t="s">
        <v>81</v>
      </c>
      <c r="C105" s="12">
        <v>75</v>
      </c>
      <c r="D105" s="13"/>
      <c r="E105" s="13"/>
      <c r="F105" s="9"/>
      <c r="G105" s="9"/>
      <c r="H105" s="9"/>
      <c r="I105" s="9"/>
      <c r="J105" s="9"/>
      <c r="K105" s="9"/>
      <c r="L105" s="9"/>
      <c r="M105" s="46">
        <f t="shared" si="0"/>
        <v>75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">
      <c r="A106" s="1"/>
      <c r="B106" s="8" t="s">
        <v>82</v>
      </c>
      <c r="C106" s="50">
        <f>(C88*'(ne pas modifier) BDD_REF'!$B$211+'RECeff + REIamont (2)'!C104*'(ne pas modifier) BDD_REF'!$B$212+'RECeff + REIamont (2)'!C105*'(ne pas modifier) BDD_REF'!$B$213)/1000</f>
        <v>0.34995999999999999</v>
      </c>
      <c r="D106" s="51">
        <f>(D88*'(ne pas modifier) BDD_REF'!$B$211+'RECeff + REIamont (2)'!D104*'(ne pas modifier) BDD_REF'!$B$212+'RECeff + REIamont (2)'!D105*'(ne pas modifier) BDD_REF'!$B$213)/1000</f>
        <v>0</v>
      </c>
      <c r="E106" s="51">
        <f>(E88*'(ne pas modifier) BDD_REF'!$B$211+'RECeff + REIamont (2)'!E104*'(ne pas modifier) BDD_REF'!$B$212+'RECeff + REIamont (2)'!E105*'(ne pas modifier) BDD_REF'!$B$213)/1000</f>
        <v>0</v>
      </c>
      <c r="F106" s="46">
        <f>(F88*'(ne pas modifier) BDD_REF'!$B$211+'RECeff + REIamont (2)'!F104*'(ne pas modifier) BDD_REF'!$B$212+'RECeff + REIamont (2)'!F105*'(ne pas modifier) BDD_REF'!$B$213)/1000</f>
        <v>0</v>
      </c>
      <c r="G106" s="46">
        <f>(G88*'(ne pas modifier) BDD_REF'!$B$211+'RECeff + REIamont (2)'!G104*'(ne pas modifier) BDD_REF'!$B$212+'RECeff + REIamont (2)'!G105*'(ne pas modifier) BDD_REF'!$B$213)/1000</f>
        <v>0</v>
      </c>
      <c r="H106" s="46">
        <f>(H88*'(ne pas modifier) BDD_REF'!$B$211+'RECeff + REIamont (2)'!H104*'(ne pas modifier) BDD_REF'!$B$212+'RECeff + REIamont (2)'!H105*'(ne pas modifier) BDD_REF'!$B$213)/1000</f>
        <v>0</v>
      </c>
      <c r="I106" s="46">
        <f>(I88*'(ne pas modifier) BDD_REF'!$B$211+'RECeff + REIamont (2)'!I104*'(ne pas modifier) BDD_REF'!$B$212+'RECeff + REIamont (2)'!I105*'(ne pas modifier) BDD_REF'!$B$213)/1000</f>
        <v>0</v>
      </c>
      <c r="J106" s="46">
        <f>(J88*'(ne pas modifier) BDD_REF'!$B$211+'RECeff + REIamont (2)'!J104*'(ne pas modifier) BDD_REF'!$B$212+'RECeff + REIamont (2)'!J105*'(ne pas modifier) BDD_REF'!$B$213)/1000</f>
        <v>0</v>
      </c>
      <c r="K106" s="46">
        <f>(K88*'(ne pas modifier) BDD_REF'!$B$211+'RECeff + REIamont (2)'!K104*'(ne pas modifier) BDD_REF'!$B$212+'RECeff + REIamont (2)'!K105*'(ne pas modifier) BDD_REF'!$B$213)/1000</f>
        <v>0</v>
      </c>
      <c r="L106" s="46">
        <f>(L88*'(ne pas modifier) BDD_REF'!$B$211+'RECeff + REIamont (2)'!L104*'(ne pas modifier) BDD_REF'!$B$212+'RECeff + REIamont (2)'!L105*'(ne pas modifier) BDD_REF'!$B$213)/1000</f>
        <v>0</v>
      </c>
      <c r="M106" s="46">
        <f t="shared" si="0"/>
        <v>0.34995999999999999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hidden="1" customHeight="1" x14ac:dyDescent="0.2">
      <c r="A107" s="1" t="s">
        <v>93</v>
      </c>
      <c r="B107" s="8" t="s">
        <v>83</v>
      </c>
      <c r="C107" s="56"/>
      <c r="D107" s="57"/>
      <c r="E107" s="57"/>
      <c r="F107" s="46"/>
      <c r="G107" s="46"/>
      <c r="H107" s="46"/>
      <c r="I107" s="46"/>
      <c r="J107" s="46"/>
      <c r="K107" s="46"/>
      <c r="L107" s="46"/>
      <c r="M107" s="46">
        <f t="shared" si="0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">
      <c r="A108" s="1"/>
      <c r="B108" s="30" t="s">
        <v>85</v>
      </c>
      <c r="C108" s="14"/>
      <c r="D108" s="15"/>
      <c r="E108" s="15"/>
      <c r="F108" s="9"/>
      <c r="G108" s="9"/>
      <c r="H108" s="9"/>
      <c r="I108" s="9"/>
      <c r="J108" s="9"/>
      <c r="K108" s="9"/>
      <c r="L108" s="9"/>
      <c r="M108" s="46">
        <f t="shared" si="0"/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">
      <c r="A109" s="1"/>
      <c r="B109" s="30" t="s">
        <v>86</v>
      </c>
      <c r="C109" s="14"/>
      <c r="D109" s="15"/>
      <c r="E109" s="15"/>
      <c r="F109" s="9"/>
      <c r="G109" s="9"/>
      <c r="H109" s="9"/>
      <c r="I109" s="9"/>
      <c r="J109" s="9"/>
      <c r="K109" s="9"/>
      <c r="L109" s="9"/>
      <c r="M109" s="46">
        <f t="shared" si="0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">
      <c r="A110" s="1"/>
      <c r="B110" s="30" t="s">
        <v>87</v>
      </c>
      <c r="C110" s="14"/>
      <c r="D110" s="15"/>
      <c r="E110" s="15"/>
      <c r="F110" s="9"/>
      <c r="G110" s="9"/>
      <c r="H110" s="9"/>
      <c r="I110" s="9"/>
      <c r="J110" s="9"/>
      <c r="K110" s="9"/>
      <c r="L110" s="9"/>
      <c r="M110" s="46">
        <f t="shared" si="0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">
      <c r="A111" s="1"/>
      <c r="B111" s="30" t="s">
        <v>88</v>
      </c>
      <c r="C111" s="14"/>
      <c r="D111" s="15"/>
      <c r="E111" s="15"/>
      <c r="F111" s="9"/>
      <c r="G111" s="9"/>
      <c r="H111" s="9"/>
      <c r="I111" s="9"/>
      <c r="J111" s="9"/>
      <c r="K111" s="9"/>
      <c r="L111" s="9"/>
      <c r="M111" s="46">
        <f t="shared" si="0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">
      <c r="A112" s="1"/>
      <c r="B112" s="8" t="s">
        <v>89</v>
      </c>
      <c r="C112" s="50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51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51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6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6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6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6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6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6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6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6">
        <f t="shared" si="0"/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">
      <c r="A113" s="52"/>
      <c r="B113" s="49" t="s">
        <v>90</v>
      </c>
      <c r="C113" s="53">
        <f t="shared" ref="C113:L113" si="8">C106+C107+C112</f>
        <v>0.34995999999999999</v>
      </c>
      <c r="D113" s="54">
        <f t="shared" si="8"/>
        <v>0</v>
      </c>
      <c r="E113" s="54">
        <f t="shared" si="8"/>
        <v>0</v>
      </c>
      <c r="F113" s="55">
        <f t="shared" si="8"/>
        <v>0</v>
      </c>
      <c r="G113" s="55">
        <f t="shared" si="8"/>
        <v>0</v>
      </c>
      <c r="H113" s="55">
        <f t="shared" si="8"/>
        <v>0</v>
      </c>
      <c r="I113" s="55">
        <f t="shared" si="8"/>
        <v>0</v>
      </c>
      <c r="J113" s="55">
        <f t="shared" si="8"/>
        <v>0</v>
      </c>
      <c r="K113" s="55">
        <f t="shared" si="8"/>
        <v>0</v>
      </c>
      <c r="L113" s="55">
        <f t="shared" si="8"/>
        <v>0</v>
      </c>
      <c r="M113" s="46">
        <f t="shared" si="0"/>
        <v>0.34995999999999999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5.75" customHeight="1" x14ac:dyDescent="0.2">
      <c r="A114" s="52"/>
      <c r="B114" s="59" t="s">
        <v>91</v>
      </c>
      <c r="C114" s="60">
        <f>((C91+C92+C93)/1000*44/28*'(ne pas modifier) BDD_REF'!$B$231)+'RECeff + REIamont (2)'!C103+'RECeff + REIamont (2)'!C113</f>
        <v>1.6116070857142857</v>
      </c>
      <c r="D114" s="61">
        <f>((D91+D92+D93)/1000*44/28*'(ne pas modifier) BDD_REF'!$B$231)+'RECeff + REIamont (2)'!D103+'RECeff + REIamont (2)'!D113</f>
        <v>0</v>
      </c>
      <c r="E114" s="61">
        <f>((E91+E92+E93)/1000*44/28*'(ne pas modifier) BDD_REF'!$B$231)+'RECeff + REIamont (2)'!E103+'RECeff + REIamont (2)'!E113</f>
        <v>0</v>
      </c>
      <c r="F114" s="59">
        <f>((F91+F92+F93)/1000*44/28*'(ne pas modifier) BDD_REF'!$B$231)+'RECeff + REIamont (2)'!F103+'RECeff + REIamont (2)'!F113</f>
        <v>0</v>
      </c>
      <c r="G114" s="59">
        <f>((G91+G92+G93)/1000*44/28*'(ne pas modifier) BDD_REF'!$B$231)+'RECeff + REIamont (2)'!G103+'RECeff + REIamont (2)'!G113</f>
        <v>0</v>
      </c>
      <c r="H114" s="59">
        <f>((H91+H92+H93)/1000*44/28*'(ne pas modifier) BDD_REF'!$B$231)+'RECeff + REIamont (2)'!H103+'RECeff + REIamont (2)'!H113</f>
        <v>0</v>
      </c>
      <c r="I114" s="59">
        <f>((I91+I92+I93)/1000*44/28*'(ne pas modifier) BDD_REF'!$B$231)+'RECeff + REIamont (2)'!I103+'RECeff + REIamont (2)'!I113</f>
        <v>0</v>
      </c>
      <c r="J114" s="59">
        <f>((J91+J92+J93)/1000*44/28*'(ne pas modifier) BDD_REF'!$B$231)+'RECeff + REIamont (2)'!J103+'RECeff + REIamont (2)'!J113</f>
        <v>0</v>
      </c>
      <c r="K114" s="59">
        <f>((K91+K92+K93)/1000*44/28*'(ne pas modifier) BDD_REF'!$B$231)+'RECeff + REIamont (2)'!K103+'RECeff + REIamont (2)'!K113</f>
        <v>0</v>
      </c>
      <c r="L114" s="59">
        <f>((L91+L92+L93)/1000*44/28*'(ne pas modifier) BDD_REF'!$B$231)+'RECeff + REIamont (2)'!L103+'RECeff + REIamont (2)'!L113</f>
        <v>0</v>
      </c>
      <c r="M114" s="59">
        <f t="shared" si="0"/>
        <v>1.6116070857142857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5.75" customHeight="1" x14ac:dyDescent="0.2">
      <c r="A115" s="43" t="s">
        <v>96</v>
      </c>
      <c r="B115" s="30" t="s">
        <v>64</v>
      </c>
      <c r="C115" s="12">
        <v>51</v>
      </c>
      <c r="D115" s="13"/>
      <c r="E115" s="13"/>
      <c r="F115" s="9"/>
      <c r="G115" s="9"/>
      <c r="H115" s="9"/>
      <c r="I115" s="9"/>
      <c r="J115" s="9"/>
      <c r="K115" s="9"/>
      <c r="L115" s="9"/>
      <c r="M115" s="46">
        <f t="shared" si="0"/>
        <v>51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">
      <c r="A116" s="1"/>
      <c r="B116" s="30" t="s">
        <v>65</v>
      </c>
      <c r="C116" s="12">
        <v>0</v>
      </c>
      <c r="D116" s="13"/>
      <c r="E116" s="13"/>
      <c r="F116" s="9"/>
      <c r="G116" s="9"/>
      <c r="H116" s="9"/>
      <c r="I116" s="9"/>
      <c r="J116" s="9"/>
      <c r="K116" s="9"/>
      <c r="L116" s="9"/>
      <c r="M116" s="46">
        <f t="shared" si="0"/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">
      <c r="A117" s="1"/>
      <c r="B117" s="30" t="s">
        <v>66</v>
      </c>
      <c r="C117" s="12">
        <v>30</v>
      </c>
      <c r="D117" s="13"/>
      <c r="E117" s="13"/>
      <c r="F117" s="9"/>
      <c r="G117" s="9"/>
      <c r="H117" s="9"/>
      <c r="I117" s="9"/>
      <c r="J117" s="9"/>
      <c r="K117" s="9"/>
      <c r="L117" s="9"/>
      <c r="M117" s="46">
        <f t="shared" si="0"/>
        <v>30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">
      <c r="A118" s="1"/>
      <c r="B118" s="49" t="s">
        <v>67</v>
      </c>
      <c r="C118" s="50">
        <f>C115*'(ne pas modifier) BDD_REF'!$B$206 + (C116+C117)*'(ne pas modifier) BDD_REF'!$B$207</f>
        <v>0.996</v>
      </c>
      <c r="D118" s="51">
        <f>D115*'(ne pas modifier) BDD_REF'!$B$206 + (D116+D117)*'(ne pas modifier) BDD_REF'!$B$207</f>
        <v>0</v>
      </c>
      <c r="E118" s="51">
        <f>E115*'(ne pas modifier) BDD_REF'!$B$206 + (E116+E117)*'(ne pas modifier) BDD_REF'!$B$207</f>
        <v>0</v>
      </c>
      <c r="F118" s="46">
        <f>F115*'(ne pas modifier) BDD_REF'!$B$206 + (F116+F117)*'(ne pas modifier) BDD_REF'!$B$207</f>
        <v>0</v>
      </c>
      <c r="G118" s="46">
        <f>G115*'(ne pas modifier) BDD_REF'!$B$206 + (G116+G117)*'(ne pas modifier) BDD_REF'!$B$207</f>
        <v>0</v>
      </c>
      <c r="H118" s="46">
        <f>H115*'(ne pas modifier) BDD_REF'!$B$206 + (H116+H117)*'(ne pas modifier) BDD_REF'!$B$207</f>
        <v>0</v>
      </c>
      <c r="I118" s="46">
        <f>I115*'(ne pas modifier) BDD_REF'!$B$206 + (I116+I117)*'(ne pas modifier) BDD_REF'!$B$207</f>
        <v>0</v>
      </c>
      <c r="J118" s="46">
        <f>J115*'(ne pas modifier) BDD_REF'!$B$206 + (J116+J117)*'(ne pas modifier) BDD_REF'!$B$207</f>
        <v>0</v>
      </c>
      <c r="K118" s="46">
        <f>K115*'(ne pas modifier) BDD_REF'!$B$206 + (K116+K117)*'(ne pas modifier) BDD_REF'!$B$207</f>
        <v>0</v>
      </c>
      <c r="L118" s="46">
        <f>L115*'(ne pas modifier) BDD_REF'!$B$206 + (L116+L117)*'(ne pas modifier) BDD_REF'!$B$207</f>
        <v>0</v>
      </c>
      <c r="M118" s="46">
        <f t="shared" si="0"/>
        <v>0.996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">
      <c r="A119" s="1"/>
      <c r="B119" s="49" t="s">
        <v>68</v>
      </c>
      <c r="C119" s="50">
        <f>((C115*'(ne pas modifier) BDD_REF'!$B$219)+('RECeff + REIamont (2)'!C116+'RECeff + REIamont (2)'!C117)*'(ne pas modifier) BDD_REF'!$B$220)*'(ne pas modifier) BDD_REF'!$B$208</f>
        <v>0.1191</v>
      </c>
      <c r="D119" s="51">
        <f>((D115*'(ne pas modifier) BDD_REF'!$B$219)+('RECeff + REIamont (2)'!D116+'RECeff + REIamont (2)'!D117)*'(ne pas modifier) BDD_REF'!$B$220)*'(ne pas modifier) BDD_REF'!$B$208</f>
        <v>0</v>
      </c>
      <c r="E119" s="51">
        <f>((E115*'(ne pas modifier) BDD_REF'!$B$219)+('RECeff + REIamont (2)'!E116+'RECeff + REIamont (2)'!E117)*'(ne pas modifier) BDD_REF'!$B$220)*'(ne pas modifier) BDD_REF'!$B$208</f>
        <v>0</v>
      </c>
      <c r="F119" s="46">
        <f>((F115*'(ne pas modifier) BDD_REF'!$B$219)+('RECeff + REIamont (2)'!F116+'RECeff + REIamont (2)'!F117)*'(ne pas modifier) BDD_REF'!$B$220)*'(ne pas modifier) BDD_REF'!$B$208</f>
        <v>0</v>
      </c>
      <c r="G119" s="46">
        <f>((G115*'(ne pas modifier) BDD_REF'!$B$219)+('RECeff + REIamont (2)'!G116+'RECeff + REIamont (2)'!G117)*'(ne pas modifier) BDD_REF'!$B$220)*'(ne pas modifier) BDD_REF'!$B$208</f>
        <v>0</v>
      </c>
      <c r="H119" s="46">
        <f>((H115*'(ne pas modifier) BDD_REF'!$B$219)+('RECeff + REIamont (2)'!H116+'RECeff + REIamont (2)'!H117)*'(ne pas modifier) BDD_REF'!$B$220)*'(ne pas modifier) BDD_REF'!$B$208</f>
        <v>0</v>
      </c>
      <c r="I119" s="46">
        <f>((I115*'(ne pas modifier) BDD_REF'!$B$219)+('RECeff + REIamont (2)'!I116+'RECeff + REIamont (2)'!I117)*'(ne pas modifier) BDD_REF'!$B$220)*'(ne pas modifier) BDD_REF'!$B$208</f>
        <v>0</v>
      </c>
      <c r="J119" s="46">
        <f>((J115*'(ne pas modifier) BDD_REF'!$B$219)+('RECeff + REIamont (2)'!J116+'RECeff + REIamont (2)'!J117)*'(ne pas modifier) BDD_REF'!$B$220)*'(ne pas modifier) BDD_REF'!$B$208</f>
        <v>0</v>
      </c>
      <c r="K119" s="46">
        <f>((K115*'(ne pas modifier) BDD_REF'!$B$219)+('RECeff + REIamont (2)'!K116+'RECeff + REIamont (2)'!K117)*'(ne pas modifier) BDD_REF'!$B$220)*'(ne pas modifier) BDD_REF'!$B$208</f>
        <v>0</v>
      </c>
      <c r="L119" s="46">
        <f>((L115*'(ne pas modifier) BDD_REF'!$B$219)+('RECeff + REIamont (2)'!L116+'RECeff + REIamont (2)'!L117)*'(ne pas modifier) BDD_REF'!$B$220)*'(ne pas modifier) BDD_REF'!$B$208</f>
        <v>0</v>
      </c>
      <c r="M119" s="46">
        <f t="shared" si="0"/>
        <v>0.1191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">
      <c r="A120" s="1"/>
      <c r="B120" s="49" t="s">
        <v>69</v>
      </c>
      <c r="C120" s="50">
        <f>(C115+C116+C117)*'(ne pas modifier) BDD_REF'!$B$221*'(ne pas modifier) BDD_REF'!$B$209</f>
        <v>0.21383999999999997</v>
      </c>
      <c r="D120" s="51">
        <f>(D115+D116+D117)*'(ne pas modifier) BDD_REF'!$B$221*'(ne pas modifier) BDD_REF'!$B$209</f>
        <v>0</v>
      </c>
      <c r="E120" s="51">
        <f>(E115+E116+E117)*'(ne pas modifier) BDD_REF'!$B$221*'(ne pas modifier) BDD_REF'!$B$209</f>
        <v>0</v>
      </c>
      <c r="F120" s="46">
        <f>(F115+F116+F117)*'(ne pas modifier) BDD_REF'!$B$221*'(ne pas modifier) BDD_REF'!$B$209</f>
        <v>0</v>
      </c>
      <c r="G120" s="46">
        <f>(G115+G116+G117)*'(ne pas modifier) BDD_REF'!$B$221*'(ne pas modifier) BDD_REF'!$B$209</f>
        <v>0</v>
      </c>
      <c r="H120" s="46">
        <f>(H115+H116+H117)*'(ne pas modifier) BDD_REF'!$B$221*'(ne pas modifier) BDD_REF'!$B$209</f>
        <v>0</v>
      </c>
      <c r="I120" s="46">
        <f>(I115+I116+I117)*'(ne pas modifier) BDD_REF'!$B$221*'(ne pas modifier) BDD_REF'!$B$209</f>
        <v>0</v>
      </c>
      <c r="J120" s="46">
        <f>(J115+J116+J117)*'(ne pas modifier) BDD_REF'!$B$221*'(ne pas modifier) BDD_REF'!$B$209</f>
        <v>0</v>
      </c>
      <c r="K120" s="46">
        <f>(K115+K116+K117)*'(ne pas modifier) BDD_REF'!$B$221*'(ne pas modifier) BDD_REF'!$B$209</f>
        <v>0</v>
      </c>
      <c r="L120" s="46">
        <f>(L115+L116+L117)*'(ne pas modifier) BDD_REF'!$B$221*'(ne pas modifier) BDD_REF'!$B$209</f>
        <v>0</v>
      </c>
      <c r="M120" s="46">
        <f t="shared" si="0"/>
        <v>0.21383999999999997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">
      <c r="A121" s="1"/>
      <c r="B121" s="30" t="s">
        <v>70</v>
      </c>
      <c r="C121" s="12">
        <v>0</v>
      </c>
      <c r="D121" s="13"/>
      <c r="E121" s="13"/>
      <c r="F121" s="9"/>
      <c r="G121" s="9"/>
      <c r="H121" s="9"/>
      <c r="I121" s="9"/>
      <c r="J121" s="9"/>
      <c r="K121" s="9"/>
      <c r="L121" s="9"/>
      <c r="M121" s="46">
        <f t="shared" si="0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">
      <c r="A122" s="1"/>
      <c r="B122" s="30" t="s">
        <v>71</v>
      </c>
      <c r="C122" s="12">
        <v>193.5</v>
      </c>
      <c r="D122" s="13"/>
      <c r="E122" s="13"/>
      <c r="F122" s="9"/>
      <c r="G122" s="9"/>
      <c r="H122" s="9"/>
      <c r="I122" s="9"/>
      <c r="J122" s="9"/>
      <c r="K122" s="9"/>
      <c r="L122" s="9"/>
      <c r="M122" s="46">
        <f t="shared" si="0"/>
        <v>193.5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">
      <c r="A123" s="1"/>
      <c r="B123" s="30" t="s">
        <v>72</v>
      </c>
      <c r="C123" s="12">
        <v>0</v>
      </c>
      <c r="D123" s="13"/>
      <c r="E123" s="13"/>
      <c r="F123" s="9"/>
      <c r="G123" s="9"/>
      <c r="H123" s="9"/>
      <c r="I123" s="9"/>
      <c r="J123" s="9"/>
      <c r="K123" s="9"/>
      <c r="L123" s="9"/>
      <c r="M123" s="46">
        <f t="shared" si="0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">
      <c r="A124" s="1"/>
      <c r="B124" s="30" t="s">
        <v>73</v>
      </c>
      <c r="C124" s="12">
        <v>0</v>
      </c>
      <c r="D124" s="13"/>
      <c r="E124" s="13"/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46">
        <f t="shared" si="0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">
      <c r="A125" s="1"/>
      <c r="B125" s="30" t="s">
        <v>74</v>
      </c>
      <c r="C125" s="12">
        <v>0</v>
      </c>
      <c r="D125" s="13"/>
      <c r="E125" s="13"/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46">
        <f t="shared" si="0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">
      <c r="A126" s="1"/>
      <c r="B126" s="30" t="s">
        <v>75</v>
      </c>
      <c r="C126" s="12">
        <v>0</v>
      </c>
      <c r="D126" s="13"/>
      <c r="E126" s="13"/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46">
        <f t="shared" si="0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">
      <c r="A127" s="1"/>
      <c r="B127" s="8" t="s">
        <v>76</v>
      </c>
      <c r="C127" s="50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0.59423849999999989</v>
      </c>
      <c r="D127" s="51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51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6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6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6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6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6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6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6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6">
        <f t="shared" si="0"/>
        <v>0.59423849999999989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">
      <c r="A128" s="1"/>
      <c r="B128" s="30" t="s">
        <v>77</v>
      </c>
      <c r="C128" s="12">
        <v>2000</v>
      </c>
      <c r="D128" s="13"/>
      <c r="E128" s="13"/>
      <c r="F128" s="9"/>
      <c r="G128" s="9"/>
      <c r="H128" s="9"/>
      <c r="I128" s="9"/>
      <c r="J128" s="9"/>
      <c r="K128" s="9"/>
      <c r="L128" s="9"/>
      <c r="M128" s="46">
        <f t="shared" si="0"/>
        <v>2000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">
      <c r="A129" s="1"/>
      <c r="B129" s="8" t="s">
        <v>78</v>
      </c>
      <c r="C129" s="50">
        <f>(C128*'(ne pas modifier) BDD_REF'!$B$210)/1000</f>
        <v>0.114</v>
      </c>
      <c r="D129" s="51">
        <f>(D128*'(ne pas modifier) BDD_REF'!$B$210)/1000</f>
        <v>0</v>
      </c>
      <c r="E129" s="51">
        <f>(E128*'(ne pas modifier) BDD_REF'!$B$210)/1000</f>
        <v>0</v>
      </c>
      <c r="F129" s="46">
        <f>(F128*'(ne pas modifier) BDD_REF'!$B$210)/1000</f>
        <v>0</v>
      </c>
      <c r="G129" s="46">
        <f>(G128*'(ne pas modifier) BDD_REF'!$B$210)/1000</f>
        <v>0</v>
      </c>
      <c r="H129" s="46">
        <f>(H128*'(ne pas modifier) BDD_REF'!$B$210)/1000</f>
        <v>0</v>
      </c>
      <c r="I129" s="46">
        <f>(I128*'(ne pas modifier) BDD_REF'!$B$210)/1000</f>
        <v>0</v>
      </c>
      <c r="J129" s="46">
        <f>(J128*'(ne pas modifier) BDD_REF'!$B$210)/1000</f>
        <v>0</v>
      </c>
      <c r="K129" s="46">
        <f>(K128*'(ne pas modifier) BDD_REF'!$B$210)/1000</f>
        <v>0</v>
      </c>
      <c r="L129" s="46">
        <f>(L128*'(ne pas modifier) BDD_REF'!$B$210)/1000</f>
        <v>0</v>
      </c>
      <c r="M129" s="46">
        <f t="shared" si="0"/>
        <v>0.114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">
      <c r="A130" s="52"/>
      <c r="B130" s="49" t="s">
        <v>79</v>
      </c>
      <c r="C130" s="53">
        <f t="shared" ref="C130:L130" si="9">C127+C129</f>
        <v>0.70823849999999988</v>
      </c>
      <c r="D130" s="54">
        <f t="shared" si="9"/>
        <v>0</v>
      </c>
      <c r="E130" s="54">
        <f t="shared" si="9"/>
        <v>0</v>
      </c>
      <c r="F130" s="55">
        <f t="shared" si="9"/>
        <v>0</v>
      </c>
      <c r="G130" s="55">
        <f t="shared" si="9"/>
        <v>0</v>
      </c>
      <c r="H130" s="55">
        <f t="shared" si="9"/>
        <v>0</v>
      </c>
      <c r="I130" s="55">
        <f t="shared" si="9"/>
        <v>0</v>
      </c>
      <c r="J130" s="55">
        <f t="shared" si="9"/>
        <v>0</v>
      </c>
      <c r="K130" s="55">
        <f t="shared" si="9"/>
        <v>0</v>
      </c>
      <c r="L130" s="55">
        <f t="shared" si="9"/>
        <v>0</v>
      </c>
      <c r="M130" s="46">
        <f t="shared" si="0"/>
        <v>0.70823849999999988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.75" customHeight="1" x14ac:dyDescent="0.2">
      <c r="A131" s="1"/>
      <c r="B131" s="30" t="s">
        <v>80</v>
      </c>
      <c r="C131" s="12">
        <v>46</v>
      </c>
      <c r="D131" s="13"/>
      <c r="E131" s="13"/>
      <c r="F131" s="9"/>
      <c r="G131" s="9"/>
      <c r="H131" s="9"/>
      <c r="I131" s="9"/>
      <c r="J131" s="9"/>
      <c r="K131" s="9"/>
      <c r="L131" s="9"/>
      <c r="M131" s="46">
        <f t="shared" si="0"/>
        <v>46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">
      <c r="A132" s="1"/>
      <c r="B132" s="30" t="s">
        <v>81</v>
      </c>
      <c r="C132" s="12">
        <v>75</v>
      </c>
      <c r="D132" s="13"/>
      <c r="E132" s="13"/>
      <c r="F132" s="9"/>
      <c r="G132" s="9"/>
      <c r="H132" s="9"/>
      <c r="I132" s="9"/>
      <c r="J132" s="9"/>
      <c r="K132" s="9"/>
      <c r="L132" s="9"/>
      <c r="M132" s="46">
        <f t="shared" si="0"/>
        <v>75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">
      <c r="A133" s="1"/>
      <c r="B133" s="8" t="s">
        <v>82</v>
      </c>
      <c r="C133" s="50">
        <f>(C115*'(ne pas modifier) BDD_REF'!$B$211+'RECeff + REIamont (2)'!C131*'(ne pas modifier) BDD_REF'!$B$212+'RECeff + REIamont (2)'!C132*'(ne pas modifier) BDD_REF'!$B$213)/1000</f>
        <v>0.34995999999999999</v>
      </c>
      <c r="D133" s="51">
        <f>(D115*'(ne pas modifier) BDD_REF'!$B$211+'RECeff + REIamont (2)'!D131*'(ne pas modifier) BDD_REF'!$B$212+'RECeff + REIamont (2)'!D132*'(ne pas modifier) BDD_REF'!$B$213)/1000</f>
        <v>0</v>
      </c>
      <c r="E133" s="51">
        <f>(E115*'(ne pas modifier) BDD_REF'!$B$211+'RECeff + REIamont (2)'!E131*'(ne pas modifier) BDD_REF'!$B$212+'RECeff + REIamont (2)'!E132*'(ne pas modifier) BDD_REF'!$B$213)/1000</f>
        <v>0</v>
      </c>
      <c r="F133" s="46">
        <f>(F115*'(ne pas modifier) BDD_REF'!$B$211+'RECeff + REIamont (2)'!F131*'(ne pas modifier) BDD_REF'!$B$212+'RECeff + REIamont (2)'!F132*'(ne pas modifier) BDD_REF'!$B$213)/1000</f>
        <v>0</v>
      </c>
      <c r="G133" s="46">
        <f>(G115*'(ne pas modifier) BDD_REF'!$B$211+'RECeff + REIamont (2)'!G131*'(ne pas modifier) BDD_REF'!$B$212+'RECeff + REIamont (2)'!G132*'(ne pas modifier) BDD_REF'!$B$213)/1000</f>
        <v>0</v>
      </c>
      <c r="H133" s="46">
        <f>(H115*'(ne pas modifier) BDD_REF'!$B$211+'RECeff + REIamont (2)'!H131*'(ne pas modifier) BDD_REF'!$B$212+'RECeff + REIamont (2)'!H132*'(ne pas modifier) BDD_REF'!$B$213)/1000</f>
        <v>0</v>
      </c>
      <c r="I133" s="46">
        <f>(I115*'(ne pas modifier) BDD_REF'!$B$211+'RECeff + REIamont (2)'!I131*'(ne pas modifier) BDD_REF'!$B$212+'RECeff + REIamont (2)'!I132*'(ne pas modifier) BDD_REF'!$B$213)/1000</f>
        <v>0</v>
      </c>
      <c r="J133" s="46">
        <f>(J115*'(ne pas modifier) BDD_REF'!$B$211+'RECeff + REIamont (2)'!J131*'(ne pas modifier) BDD_REF'!$B$212+'RECeff + REIamont (2)'!J132*'(ne pas modifier) BDD_REF'!$B$213)/1000</f>
        <v>0</v>
      </c>
      <c r="K133" s="46">
        <f>(K115*'(ne pas modifier) BDD_REF'!$B$211+'RECeff + REIamont (2)'!K131*'(ne pas modifier) BDD_REF'!$B$212+'RECeff + REIamont (2)'!K132*'(ne pas modifier) BDD_REF'!$B$213)/1000</f>
        <v>0</v>
      </c>
      <c r="L133" s="46">
        <f>(L115*'(ne pas modifier) BDD_REF'!$B$211+'RECeff + REIamont (2)'!L131*'(ne pas modifier) BDD_REF'!$B$212+'RECeff + REIamont (2)'!L132*'(ne pas modifier) BDD_REF'!$B$213)/1000</f>
        <v>0</v>
      </c>
      <c r="M133" s="46">
        <f t="shared" si="0"/>
        <v>0.34995999999999999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hidden="1" customHeight="1" x14ac:dyDescent="0.2">
      <c r="A134" s="1" t="s">
        <v>93</v>
      </c>
      <c r="B134" s="8" t="s">
        <v>83</v>
      </c>
      <c r="C134" s="56"/>
      <c r="D134" s="57"/>
      <c r="E134" s="57"/>
      <c r="F134" s="46"/>
      <c r="G134" s="46"/>
      <c r="H134" s="46"/>
      <c r="I134" s="46"/>
      <c r="J134" s="46"/>
      <c r="K134" s="46"/>
      <c r="L134" s="46"/>
      <c r="M134" s="46">
        <f t="shared" si="0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">
      <c r="A135" s="1"/>
      <c r="B135" s="30" t="s">
        <v>85</v>
      </c>
      <c r="C135" s="14"/>
      <c r="D135" s="15"/>
      <c r="E135" s="15"/>
      <c r="F135" s="9"/>
      <c r="G135" s="9"/>
      <c r="H135" s="9"/>
      <c r="I135" s="9"/>
      <c r="J135" s="9"/>
      <c r="K135" s="9"/>
      <c r="L135" s="9"/>
      <c r="M135" s="46">
        <f t="shared" si="0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">
      <c r="A136" s="1"/>
      <c r="B136" s="30" t="s">
        <v>86</v>
      </c>
      <c r="C136" s="14"/>
      <c r="D136" s="15"/>
      <c r="E136" s="15"/>
      <c r="F136" s="9"/>
      <c r="G136" s="9"/>
      <c r="H136" s="9"/>
      <c r="I136" s="9"/>
      <c r="J136" s="9"/>
      <c r="K136" s="9"/>
      <c r="L136" s="9"/>
      <c r="M136" s="46">
        <f t="shared" si="0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">
      <c r="A137" s="1"/>
      <c r="B137" s="30" t="s">
        <v>87</v>
      </c>
      <c r="C137" s="14"/>
      <c r="D137" s="15"/>
      <c r="E137" s="15"/>
      <c r="F137" s="9"/>
      <c r="G137" s="9"/>
      <c r="H137" s="9"/>
      <c r="I137" s="9"/>
      <c r="J137" s="9"/>
      <c r="K137" s="9"/>
      <c r="L137" s="9"/>
      <c r="M137" s="46">
        <f t="shared" si="0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">
      <c r="A138" s="1"/>
      <c r="B138" s="30" t="s">
        <v>88</v>
      </c>
      <c r="C138" s="14"/>
      <c r="D138" s="15"/>
      <c r="E138" s="15"/>
      <c r="F138" s="9"/>
      <c r="G138" s="9"/>
      <c r="H138" s="9"/>
      <c r="I138" s="9"/>
      <c r="J138" s="9"/>
      <c r="K138" s="9"/>
      <c r="L138" s="9"/>
      <c r="M138" s="46">
        <f t="shared" si="0"/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">
      <c r="A139" s="1"/>
      <c r="B139" s="8" t="s">
        <v>89</v>
      </c>
      <c r="C139" s="50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51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51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6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6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6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6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6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6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6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6">
        <f t="shared" si="0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">
      <c r="A140" s="52"/>
      <c r="B140" s="49" t="s">
        <v>90</v>
      </c>
      <c r="C140" s="53">
        <f t="shared" ref="C140:L140" si="10">C133+C134+C139</f>
        <v>0.34995999999999999</v>
      </c>
      <c r="D140" s="54">
        <f t="shared" si="10"/>
        <v>0</v>
      </c>
      <c r="E140" s="54">
        <f t="shared" si="10"/>
        <v>0</v>
      </c>
      <c r="F140" s="55">
        <f t="shared" si="10"/>
        <v>0</v>
      </c>
      <c r="G140" s="55">
        <f t="shared" si="10"/>
        <v>0</v>
      </c>
      <c r="H140" s="55">
        <f t="shared" si="10"/>
        <v>0</v>
      </c>
      <c r="I140" s="55">
        <f t="shared" si="10"/>
        <v>0</v>
      </c>
      <c r="J140" s="55">
        <f t="shared" si="10"/>
        <v>0</v>
      </c>
      <c r="K140" s="55">
        <f t="shared" si="10"/>
        <v>0</v>
      </c>
      <c r="L140" s="55">
        <f t="shared" si="10"/>
        <v>0</v>
      </c>
      <c r="M140" s="46">
        <f t="shared" si="0"/>
        <v>0.34995999999999999</v>
      </c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.75" customHeight="1" x14ac:dyDescent="0.2">
      <c r="A141" s="52"/>
      <c r="B141" s="59" t="s">
        <v>91</v>
      </c>
      <c r="C141" s="59">
        <f>((C118+C119+C120)/1000*44/28*'(ne pas modifier) BDD_REF'!$B$231)+'RECeff + REIamont (2)'!C130+'RECeff + REIamont (2)'!C140</f>
        <v>1.6116070857142857</v>
      </c>
      <c r="D141" s="59">
        <f>((D118+D119+D120)/1000*44/28*'(ne pas modifier) BDD_REF'!$B$231)+'RECeff + REIamont (2)'!D130+'RECeff + REIamont (2)'!D140</f>
        <v>0</v>
      </c>
      <c r="E141" s="59">
        <f>((E118+E119+E120)/1000*44/28*'(ne pas modifier) BDD_REF'!$B$231)+'RECeff + REIamont (2)'!E130+'RECeff + REIamont (2)'!E140</f>
        <v>0</v>
      </c>
      <c r="F141" s="59">
        <f>((F118+F119+F120)/1000*44/28*'(ne pas modifier) BDD_REF'!$B$231)+'RECeff + REIamont (2)'!F130+'RECeff + REIamont (2)'!F140</f>
        <v>0</v>
      </c>
      <c r="G141" s="59">
        <f>((G118+G119+G120)/1000*44/28*'(ne pas modifier) BDD_REF'!$B$231)+'RECeff + REIamont (2)'!G130+'RECeff + REIamont (2)'!G140</f>
        <v>0</v>
      </c>
      <c r="H141" s="59">
        <f>((H118+H119+H120)/1000*44/28*'(ne pas modifier) BDD_REF'!$B$231)+'RECeff + REIamont (2)'!H130+'RECeff + REIamont (2)'!H140</f>
        <v>0</v>
      </c>
      <c r="I141" s="59">
        <f>((I118+I119+I120)/1000*44/28*'(ne pas modifier) BDD_REF'!$B$231)+'RECeff + REIamont (2)'!I130+'RECeff + REIamont (2)'!I140</f>
        <v>0</v>
      </c>
      <c r="J141" s="59">
        <f>((J118+J119+J120)/1000*44/28*'(ne pas modifier) BDD_REF'!$B$231)+'RECeff + REIamont (2)'!J130+'RECeff + REIamont (2)'!J140</f>
        <v>0</v>
      </c>
      <c r="K141" s="59">
        <f>((K118+K119+K120)/1000*44/28*'(ne pas modifier) BDD_REF'!$B$231)+'RECeff + REIamont (2)'!K130+'RECeff + REIamont (2)'!K140</f>
        <v>0</v>
      </c>
      <c r="L141" s="59">
        <f>((L118+L119+L120)/1000*44/28*'(ne pas modifier) BDD_REF'!$B$231)+'RECeff + REIamont (2)'!L130+'RECeff + REIamont (2)'!L140</f>
        <v>0</v>
      </c>
      <c r="M141" s="59">
        <f t="shared" si="0"/>
        <v>1.6116070857142857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.75" customHeight="1" x14ac:dyDescent="0.2">
      <c r="A142" s="1"/>
      <c r="B142" s="62" t="s">
        <v>97</v>
      </c>
      <c r="C142" s="62">
        <f t="shared" ref="C142:L142" si="11">C33+C60+C87+C114+C141</f>
        <v>8.0580354285714293</v>
      </c>
      <c r="D142" s="62">
        <f t="shared" si="11"/>
        <v>0</v>
      </c>
      <c r="E142" s="62">
        <f t="shared" si="11"/>
        <v>0</v>
      </c>
      <c r="F142" s="62">
        <f t="shared" si="11"/>
        <v>0</v>
      </c>
      <c r="G142" s="62">
        <f t="shared" si="11"/>
        <v>0</v>
      </c>
      <c r="H142" s="62">
        <f t="shared" si="11"/>
        <v>0</v>
      </c>
      <c r="I142" s="62">
        <f t="shared" si="11"/>
        <v>0</v>
      </c>
      <c r="J142" s="62">
        <f t="shared" si="11"/>
        <v>0</v>
      </c>
      <c r="K142" s="62">
        <f t="shared" si="11"/>
        <v>0</v>
      </c>
      <c r="L142" s="62">
        <f t="shared" si="11"/>
        <v>0</v>
      </c>
      <c r="M142" s="62">
        <f t="shared" si="0"/>
        <v>8.0580354285714293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">
      <c r="A143" s="1"/>
      <c r="B143" s="62" t="s">
        <v>98</v>
      </c>
      <c r="C143" s="62">
        <f t="shared" ref="C143:L143" si="12">(C142-C5*5)</f>
        <v>-7.255191254004238</v>
      </c>
      <c r="D143" s="62">
        <f t="shared" si="12"/>
        <v>0</v>
      </c>
      <c r="E143" s="62">
        <f t="shared" si="12"/>
        <v>0</v>
      </c>
      <c r="F143" s="62">
        <f t="shared" si="12"/>
        <v>0</v>
      </c>
      <c r="G143" s="62">
        <f t="shared" si="12"/>
        <v>0</v>
      </c>
      <c r="H143" s="62">
        <f t="shared" si="12"/>
        <v>0</v>
      </c>
      <c r="I143" s="62">
        <f t="shared" si="12"/>
        <v>0</v>
      </c>
      <c r="J143" s="62">
        <f t="shared" si="12"/>
        <v>0</v>
      </c>
      <c r="K143" s="62">
        <f t="shared" si="12"/>
        <v>0</v>
      </c>
      <c r="L143" s="62">
        <f t="shared" si="12"/>
        <v>0</v>
      </c>
      <c r="M143" s="62">
        <f t="shared" si="0"/>
        <v>-7.255191254004238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">
      <c r="A144" s="1"/>
      <c r="B144" s="63" t="s">
        <v>99</v>
      </c>
      <c r="C144" s="63">
        <f>C143*Eligibilité_projet!B8</f>
        <v>-10.157267755605933</v>
      </c>
      <c r="D144" s="63">
        <f>D143*Eligibilité_projet!C8</f>
        <v>0</v>
      </c>
      <c r="E144" s="63">
        <f>E143*Eligibilité_projet!D8</f>
        <v>0</v>
      </c>
      <c r="F144" s="63">
        <f>F143*Eligibilité_projet!E8</f>
        <v>0</v>
      </c>
      <c r="G144" s="63">
        <f>G143*Eligibilité_projet!F8</f>
        <v>0</v>
      </c>
      <c r="H144" s="63">
        <f>H143*Eligibilité_projet!G8</f>
        <v>0</v>
      </c>
      <c r="I144" s="63">
        <f>I143*Eligibilité_projet!H8</f>
        <v>0</v>
      </c>
      <c r="J144" s="63">
        <f>J143*Eligibilité_projet!I8</f>
        <v>0</v>
      </c>
      <c r="K144" s="63">
        <f>K143*Eligibilité_projet!J8</f>
        <v>0</v>
      </c>
      <c r="L144" s="63">
        <f>L143*Eligibilité_projet!K8</f>
        <v>0</v>
      </c>
      <c r="M144" s="63">
        <f t="shared" si="0"/>
        <v>-10.157267755605933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2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2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2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2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2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2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2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2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2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2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2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2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2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2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2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2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2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2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2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2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2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2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2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2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2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2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2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2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2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 x14ac:dyDescent="0.2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 x14ac:dyDescent="0.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 x14ac:dyDescent="0.2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 x14ac:dyDescent="0.2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 x14ac:dyDescent="0.2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 x14ac:dyDescent="0.2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 x14ac:dyDescent="0.2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 x14ac:dyDescent="0.2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 x14ac:dyDescent="0.2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 x14ac:dyDescent="0.2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1">
    <mergeCell ref="B2:M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1" width="32.5" customWidth="1"/>
    <col min="2" max="2" width="71.6640625" customWidth="1"/>
    <col min="3" max="13" width="13.6640625" customWidth="1"/>
    <col min="14" max="26" width="11.5" customWidth="1"/>
  </cols>
  <sheetData>
    <row r="1" spans="1:26" x14ac:dyDescent="0.2">
      <c r="A1" s="2"/>
      <c r="B1" s="2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2">
      <c r="A2" s="2"/>
      <c r="B2" s="122" t="s">
        <v>100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/>
      <c r="B4" s="20"/>
      <c r="C4" s="43" t="s">
        <v>8</v>
      </c>
      <c r="D4" s="43" t="s">
        <v>9</v>
      </c>
      <c r="E4" s="43" t="s">
        <v>10</v>
      </c>
      <c r="F4" s="43" t="s">
        <v>11</v>
      </c>
      <c r="G4" s="43" t="s">
        <v>12</v>
      </c>
      <c r="H4" s="43" t="s">
        <v>13</v>
      </c>
      <c r="I4" s="43" t="s">
        <v>14</v>
      </c>
      <c r="J4" s="43" t="s">
        <v>15</v>
      </c>
      <c r="K4" s="43" t="s">
        <v>16</v>
      </c>
      <c r="L4" s="43" t="s">
        <v>17</v>
      </c>
      <c r="M4" s="45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43" t="s">
        <v>101</v>
      </c>
      <c r="B5" s="30" t="s">
        <v>102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5">
        <f t="shared" ref="M5:M20" si="0">SUM(C5:L5)</f>
        <v>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2"/>
      <c r="B6" s="30" t="s">
        <v>103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5">
        <f t="shared" si="0"/>
        <v>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2" x14ac:dyDescent="0.2">
      <c r="A7" s="2"/>
      <c r="B7" s="30" t="s">
        <v>104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5">
        <f t="shared" si="0"/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2" x14ac:dyDescent="0.2">
      <c r="A8" s="2"/>
      <c r="B8" s="49" t="s">
        <v>105</v>
      </c>
      <c r="C8" s="65">
        <f t="shared" ref="C8:L8" si="1">C5*C6-C7</f>
        <v>0</v>
      </c>
      <c r="D8" s="65">
        <f t="shared" si="1"/>
        <v>0</v>
      </c>
      <c r="E8" s="65">
        <f t="shared" si="1"/>
        <v>0</v>
      </c>
      <c r="F8" s="65">
        <f t="shared" si="1"/>
        <v>0</v>
      </c>
      <c r="G8" s="65">
        <f t="shared" si="1"/>
        <v>0</v>
      </c>
      <c r="H8" s="65">
        <f t="shared" si="1"/>
        <v>0</v>
      </c>
      <c r="I8" s="65">
        <f t="shared" si="1"/>
        <v>0</v>
      </c>
      <c r="J8" s="65">
        <f t="shared" si="1"/>
        <v>0</v>
      </c>
      <c r="K8" s="65">
        <f t="shared" si="1"/>
        <v>0</v>
      </c>
      <c r="L8" s="65">
        <f t="shared" si="1"/>
        <v>0</v>
      </c>
      <c r="M8" s="65">
        <f t="shared" si="0"/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2" x14ac:dyDescent="0.2">
      <c r="A9" s="66" t="s">
        <v>63</v>
      </c>
      <c r="B9" s="30" t="s">
        <v>106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>
        <f t="shared" si="0"/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" x14ac:dyDescent="0.2">
      <c r="A10" s="66" t="s">
        <v>92</v>
      </c>
      <c r="B10" s="30" t="s">
        <v>106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>
        <f t="shared" si="0"/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" x14ac:dyDescent="0.2">
      <c r="A11" s="66" t="s">
        <v>94</v>
      </c>
      <c r="B11" s="30" t="s">
        <v>106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>
        <f t="shared" si="0"/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" x14ac:dyDescent="0.2">
      <c r="A12" s="66" t="s">
        <v>95</v>
      </c>
      <c r="B12" s="30" t="s">
        <v>106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>
        <f t="shared" si="0"/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" x14ac:dyDescent="0.2">
      <c r="A13" s="66" t="s">
        <v>96</v>
      </c>
      <c r="B13" s="30" t="s">
        <v>106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" x14ac:dyDescent="0.2">
      <c r="A14" s="2"/>
      <c r="B14" s="49" t="s">
        <v>107</v>
      </c>
      <c r="C14" s="65">
        <f t="shared" ref="C14:L14" si="2">SUM(C9:C13)</f>
        <v>0</v>
      </c>
      <c r="D14" s="65">
        <f t="shared" si="2"/>
        <v>0</v>
      </c>
      <c r="E14" s="65">
        <f t="shared" si="2"/>
        <v>0</v>
      </c>
      <c r="F14" s="65">
        <f t="shared" si="2"/>
        <v>0</v>
      </c>
      <c r="G14" s="65">
        <f t="shared" si="2"/>
        <v>0</v>
      </c>
      <c r="H14" s="65">
        <f t="shared" si="2"/>
        <v>0</v>
      </c>
      <c r="I14" s="65">
        <f t="shared" si="2"/>
        <v>0</v>
      </c>
      <c r="J14" s="65">
        <f t="shared" si="2"/>
        <v>0</v>
      </c>
      <c r="K14" s="65">
        <f t="shared" si="2"/>
        <v>0</v>
      </c>
      <c r="L14" s="65">
        <f t="shared" si="2"/>
        <v>0</v>
      </c>
      <c r="M14" s="65">
        <f t="shared" si="0"/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" x14ac:dyDescent="0.2">
      <c r="A15" s="43" t="s">
        <v>108</v>
      </c>
      <c r="B15" s="30" t="s">
        <v>102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>
        <f t="shared" si="0"/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2"/>
      <c r="B16" s="30" t="s">
        <v>103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5">
        <f t="shared" si="0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" x14ac:dyDescent="0.2">
      <c r="A17" s="2"/>
      <c r="B17" s="30" t="s">
        <v>104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" x14ac:dyDescent="0.2">
      <c r="A18" s="2"/>
      <c r="B18" s="49" t="s">
        <v>105</v>
      </c>
      <c r="C18" s="65">
        <f t="shared" ref="C18:L18" si="3">C15*C16-C17</f>
        <v>0</v>
      </c>
      <c r="D18" s="65">
        <f t="shared" si="3"/>
        <v>0</v>
      </c>
      <c r="E18" s="65">
        <f t="shared" si="3"/>
        <v>0</v>
      </c>
      <c r="F18" s="65">
        <f t="shared" si="3"/>
        <v>0</v>
      </c>
      <c r="G18" s="65">
        <f t="shared" si="3"/>
        <v>0</v>
      </c>
      <c r="H18" s="65">
        <f t="shared" si="3"/>
        <v>0</v>
      </c>
      <c r="I18" s="65">
        <f t="shared" si="3"/>
        <v>0</v>
      </c>
      <c r="J18" s="65">
        <f t="shared" si="3"/>
        <v>0</v>
      </c>
      <c r="K18" s="65">
        <f t="shared" si="3"/>
        <v>0</v>
      </c>
      <c r="L18" s="65">
        <f t="shared" si="3"/>
        <v>0</v>
      </c>
      <c r="M18" s="65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" x14ac:dyDescent="0.2">
      <c r="A19" s="2"/>
      <c r="B19" s="49" t="s">
        <v>109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5">
        <f t="shared" si="0"/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2"/>
      <c r="B20" s="63" t="s">
        <v>110</v>
      </c>
      <c r="C20" s="63">
        <f t="shared" ref="C20:L20" si="4">C8*C14-C18*C19*5</f>
        <v>0</v>
      </c>
      <c r="D20" s="63">
        <f t="shared" si="4"/>
        <v>0</v>
      </c>
      <c r="E20" s="63">
        <f t="shared" si="4"/>
        <v>0</v>
      </c>
      <c r="F20" s="63">
        <f t="shared" si="4"/>
        <v>0</v>
      </c>
      <c r="G20" s="63">
        <f t="shared" si="4"/>
        <v>0</v>
      </c>
      <c r="H20" s="63">
        <f t="shared" si="4"/>
        <v>0</v>
      </c>
      <c r="I20" s="63">
        <f t="shared" si="4"/>
        <v>0</v>
      </c>
      <c r="J20" s="63">
        <f t="shared" si="4"/>
        <v>0</v>
      </c>
      <c r="K20" s="63">
        <f t="shared" si="4"/>
        <v>0</v>
      </c>
      <c r="L20" s="63">
        <f t="shared" si="4"/>
        <v>0</v>
      </c>
      <c r="M20" s="63">
        <f t="shared" si="0"/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hidden="1" customHeight="1" x14ac:dyDescent="0.2">
      <c r="A21" s="2"/>
      <c r="B21" s="67" t="s">
        <v>111</v>
      </c>
      <c r="C21" s="68">
        <f>'(ne pas modifier) BDD_REF'!$B$277*REIaval!D21</f>
        <v>7416.6726000000008</v>
      </c>
      <c r="D21" s="2">
        <v>26.7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hidden="1" customHeight="1" x14ac:dyDescent="0.2">
      <c r="A22" s="2"/>
      <c r="B22" s="67" t="s">
        <v>112</v>
      </c>
      <c r="C22" s="68">
        <f>'(ne pas modifier) BDD_REF'!$B$277*REIaval!D22</f>
        <v>13138.8994</v>
      </c>
      <c r="D22" s="2">
        <v>47.3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hidden="1" customHeight="1" x14ac:dyDescent="0.2">
      <c r="A23" s="2"/>
      <c r="B23" s="67" t="s">
        <v>113</v>
      </c>
      <c r="C23" s="68">
        <f>'(ne pas modifier) BDD_REF'!$B$277*REIaval!D23</f>
        <v>11166.675600000002</v>
      </c>
      <c r="D23" s="2">
        <v>40.200000000000003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hidden="1" customHeight="1" x14ac:dyDescent="0.2">
      <c r="A24" s="2"/>
      <c r="B24" s="67" t="s">
        <v>114</v>
      </c>
      <c r="C24" s="68">
        <f>'(ne pas modifier) BDD_REF'!$B$277*REIaval!D24</f>
        <v>3861.1142000000004</v>
      </c>
      <c r="D24" s="2">
        <v>13.9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hidden="1" customHeight="1" x14ac:dyDescent="0.2">
      <c r="A25" s="2"/>
      <c r="B25" s="67" t="s">
        <v>115</v>
      </c>
      <c r="C25" s="68">
        <f>'(ne pas modifier) BDD_REF'!$B$277*REIaval!D25</f>
        <v>3888.8920000000003</v>
      </c>
      <c r="D25" s="2">
        <v>14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hidden="1" customHeight="1" x14ac:dyDescent="0.2">
      <c r="A26" s="2"/>
      <c r="B26" s="67" t="s">
        <v>116</v>
      </c>
      <c r="C26" s="68">
        <f>'(ne pas modifier) BDD_REF'!$B$277*REIaval!D26</f>
        <v>12305.565399999999</v>
      </c>
      <c r="D26" s="2">
        <v>44.3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hidden="1" customHeight="1" x14ac:dyDescent="0.2">
      <c r="A27" s="2"/>
      <c r="B27" s="67" t="s">
        <v>117</v>
      </c>
      <c r="C27" s="68">
        <f>'(ne pas modifier) BDD_REF'!$B$277*REIaval!D27</f>
        <v>7916.6730000000007</v>
      </c>
      <c r="D27" s="2">
        <v>28.5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hidden="1" customHeight="1" x14ac:dyDescent="0.2">
      <c r="A28" s="2"/>
      <c r="B28" s="67" t="s">
        <v>118</v>
      </c>
      <c r="C28" s="68">
        <f>'(ne pas modifier) BDD_REF'!$B$277*REIaval!D28</f>
        <v>7777.7840000000006</v>
      </c>
      <c r="D28" s="2">
        <v>28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hidden="1" customHeight="1" x14ac:dyDescent="0.2">
      <c r="A29" s="2"/>
      <c r="B29" s="67" t="s">
        <v>119</v>
      </c>
      <c r="C29" s="68">
        <f>'(ne pas modifier) BDD_REF'!$B$277*REIaval!D29</f>
        <v>7833.3396000000002</v>
      </c>
      <c r="D29" s="2">
        <v>28.2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hidden="1" customHeight="1" x14ac:dyDescent="0.2">
      <c r="A30" s="2"/>
      <c r="B30" s="67" t="s">
        <v>120</v>
      </c>
      <c r="C30" s="68">
        <f>'(ne pas modifier) BDD_REF'!$B$277*REIaval!D30</f>
        <v>11944.454000000002</v>
      </c>
      <c r="D30" s="2">
        <v>43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hidden="1" customHeight="1" x14ac:dyDescent="0.2">
      <c r="A31" s="2"/>
      <c r="B31" s="67" t="s">
        <v>121</v>
      </c>
      <c r="C31" s="68">
        <f>'(ne pas modifier) BDD_REF'!$B$277*REIaval!D31</f>
        <v>11666.676000000001</v>
      </c>
      <c r="D31" s="2">
        <v>42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hidden="1" customHeight="1" x14ac:dyDescent="0.2">
      <c r="A32" s="2"/>
      <c r="B32" s="67" t="s">
        <v>122</v>
      </c>
      <c r="C32" s="68">
        <f>'(ne pas modifier) BDD_REF'!$B$277*REIaval!D32</f>
        <v>11111.12</v>
      </c>
      <c r="D32" s="2">
        <v>40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">
      <c r="A33" s="2"/>
      <c r="B33" s="67" t="s">
        <v>123</v>
      </c>
      <c r="C33" s="68">
        <f>'(ne pas modifier) BDD_REF'!$B$277*REIaval!D33</f>
        <v>10750.008600000001</v>
      </c>
      <c r="D33" s="2">
        <v>38.700000000000003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">
      <c r="A34" s="2"/>
      <c r="B34" s="67" t="s">
        <v>124</v>
      </c>
      <c r="C34" s="68">
        <f>'(ne pas modifier) BDD_REF'!$B$277*REIaval!D34</f>
        <v>694.44500000000005</v>
      </c>
      <c r="D34" s="2">
        <v>2.5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">
      <c r="A35" s="2"/>
      <c r="B35" s="67" t="s">
        <v>125</v>
      </c>
      <c r="C35" s="68">
        <f>'(ne pas modifier) BDD_REF'!$B$277*REIaval!D35</f>
        <v>13333.344000000001</v>
      </c>
      <c r="D35" s="2">
        <v>48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hidden="1" customHeight="1" x14ac:dyDescent="0.2">
      <c r="A36" s="2"/>
      <c r="B36" s="67" t="s">
        <v>126</v>
      </c>
      <c r="C36" s="68">
        <f>'(ne pas modifier) BDD_REF'!$B$277*REIaval!D36</f>
        <v>11944.454000000002</v>
      </c>
      <c r="D36" s="2">
        <v>43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hidden="1" customHeight="1" x14ac:dyDescent="0.2">
      <c r="A37" s="2"/>
      <c r="B37" s="67" t="s">
        <v>127</v>
      </c>
      <c r="C37" s="68">
        <f>'(ne pas modifier) BDD_REF'!$B$277*REIaval!D37</f>
        <v>13777.788800000002</v>
      </c>
      <c r="D37" s="2">
        <v>49.6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hidden="1" customHeight="1" x14ac:dyDescent="0.2">
      <c r="A38" s="2"/>
      <c r="B38" s="67" t="s">
        <v>128</v>
      </c>
      <c r="C38" s="68">
        <f>'(ne pas modifier) BDD_REF'!$B$277*REIaval!D38</f>
        <v>12777.788</v>
      </c>
      <c r="D38" s="2">
        <v>46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hidden="1" customHeight="1" x14ac:dyDescent="0.2">
      <c r="A39" s="2"/>
      <c r="B39" s="67" t="s">
        <v>129</v>
      </c>
      <c r="C39" s="68">
        <f>'(ne pas modifier) BDD_REF'!$B$277*REIaval!D39</f>
        <v>4888.8928000000005</v>
      </c>
      <c r="D39" s="2">
        <v>17.600000000000001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hidden="1" customHeight="1" x14ac:dyDescent="0.2">
      <c r="A40" s="2"/>
      <c r="B40" s="67" t="s">
        <v>130</v>
      </c>
      <c r="C40" s="68">
        <f>'(ne pas modifier) BDD_REF'!$B$277*REIaval!D40</f>
        <v>8888.8960000000006</v>
      </c>
      <c r="D40" s="2">
        <v>32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hidden="1" customHeight="1" x14ac:dyDescent="0.2">
      <c r="A41" s="2"/>
      <c r="B41" s="67" t="s">
        <v>131</v>
      </c>
      <c r="C41" s="68">
        <f>'(ne pas modifier) BDD_REF'!$B$277*REIaval!D41</f>
        <v>10583.341800000002</v>
      </c>
      <c r="D41" s="2">
        <v>38.1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hidden="1" customHeight="1" x14ac:dyDescent="0.2">
      <c r="A42" s="2"/>
      <c r="B42" s="67" t="s">
        <v>132</v>
      </c>
      <c r="C42" s="68">
        <f>'(ne pas modifier) BDD_REF'!$B$277*REIaval!D42</f>
        <v>12250.009800000002</v>
      </c>
      <c r="D42" s="2">
        <v>44.1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hidden="1" customHeight="1" x14ac:dyDescent="0.2">
      <c r="A43" s="2"/>
      <c r="B43" s="67" t="s">
        <v>133</v>
      </c>
      <c r="C43" s="68">
        <f>'(ne pas modifier) BDD_REF'!$B$277*REIaval!D43</f>
        <v>3305.5582000000004</v>
      </c>
      <c r="D43" s="2">
        <v>11.9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hidden="1" customHeight="1" x14ac:dyDescent="0.2">
      <c r="A44" s="2"/>
      <c r="B44" s="67" t="s">
        <v>134</v>
      </c>
      <c r="C44" s="68">
        <f>'(ne pas modifier) BDD_REF'!$B$277*REIaval!D44</f>
        <v>12361.121000000001</v>
      </c>
      <c r="D44" s="2">
        <v>44.5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hidden="1" customHeight="1" x14ac:dyDescent="0.2">
      <c r="A45" s="2"/>
      <c r="B45" s="67" t="s">
        <v>135</v>
      </c>
      <c r="C45" s="68">
        <f>'(ne pas modifier) BDD_REF'!$B$277*REIaval!D45</f>
        <v>11750.009400000001</v>
      </c>
      <c r="D45" s="2">
        <v>42.3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hidden="1" customHeight="1" x14ac:dyDescent="0.2">
      <c r="A46" s="2"/>
      <c r="B46" s="67" t="s">
        <v>136</v>
      </c>
      <c r="C46" s="68">
        <f>'(ne pas modifier) BDD_REF'!$B$277*REIaval!D46</f>
        <v>3638.8918000000003</v>
      </c>
      <c r="D46" s="2">
        <v>13.1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hidden="1" customHeight="1" x14ac:dyDescent="0.2">
      <c r="A47" s="2"/>
      <c r="B47" s="67" t="s">
        <v>137</v>
      </c>
      <c r="C47" s="68">
        <f>'(ne pas modifier) BDD_REF'!$B$277*REIaval!D47</f>
        <v>13138.8994</v>
      </c>
      <c r="D47" s="2">
        <v>47.3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hidden="1" customHeight="1" x14ac:dyDescent="0.2">
      <c r="A48" s="2"/>
      <c r="B48" s="67" t="s">
        <v>138</v>
      </c>
      <c r="C48" s="68">
        <f>'(ne pas modifier) BDD_REF'!$B$277*REIaval!D48</f>
        <v>2200.0017600000001</v>
      </c>
      <c r="D48" s="2">
        <v>7.92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hidden="1" customHeight="1" x14ac:dyDescent="0.2">
      <c r="A49" s="2"/>
      <c r="B49" s="67" t="s">
        <v>139</v>
      </c>
      <c r="C49" s="68">
        <f>'(ne pas modifier) BDD_REF'!$B$277*REIaval!D49</f>
        <v>2722.2244000000005</v>
      </c>
      <c r="D49" s="2">
        <v>9.8000000000000007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69" t="s">
        <v>140</v>
      </c>
      <c r="C51" s="69" t="s">
        <v>141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67" t="s">
        <v>142</v>
      </c>
      <c r="B52" s="67" t="s">
        <v>121</v>
      </c>
      <c r="C52" s="70">
        <f>0.324/1000</f>
        <v>3.2400000000000001E-4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67" t="s">
        <v>122</v>
      </c>
      <c r="C53" s="70">
        <f>0.325/1000</f>
        <v>3.2499999999999999E-4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67" t="s">
        <v>143</v>
      </c>
      <c r="C54" s="70">
        <f>0.335/1000</f>
        <v>3.3500000000000001E-4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67" t="s">
        <v>144</v>
      </c>
      <c r="C55" s="70">
        <f>0.282/1000</f>
        <v>2.8199999999999997E-4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67" t="s">
        <v>145</v>
      </c>
      <c r="B56" s="67" t="s">
        <v>146</v>
      </c>
      <c r="C56" s="70">
        <f>0.311/1000</f>
        <v>3.1100000000000002E-4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67" t="s">
        <v>147</v>
      </c>
      <c r="C57" s="67">
        <f>0.313/1000</f>
        <v>3.1300000000000002E-4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67" t="s">
        <v>148</v>
      </c>
      <c r="C58" s="67">
        <f>0.319/1000</f>
        <v>3.19E-4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67" t="s">
        <v>149</v>
      </c>
      <c r="C59" s="67">
        <f>0.306/1000</f>
        <v>3.0600000000000001E-4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67" t="s">
        <v>150</v>
      </c>
      <c r="C60" s="67">
        <f>0.174/1000</f>
        <v>1.74E-4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67" t="s">
        <v>151</v>
      </c>
      <c r="C61" s="67">
        <f>0.273/1000</f>
        <v>2.7300000000000002E-4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67" t="s">
        <v>128</v>
      </c>
      <c r="C62" s="67">
        <f>0.272/1000</f>
        <v>2.72E-4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67" t="s">
        <v>152</v>
      </c>
      <c r="C63" s="67">
        <f>0.311/1000</f>
        <v>3.1100000000000002E-4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67" t="s">
        <v>153</v>
      </c>
      <c r="C64" s="67">
        <f>0.132/1000</f>
        <v>1.3200000000000001E-4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67" t="s">
        <v>154</v>
      </c>
      <c r="C65" s="67">
        <f>0.238/1000</f>
        <v>2.3799999999999998E-4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67" t="s">
        <v>155</v>
      </c>
      <c r="C66" s="67">
        <f>0.23/1000</f>
        <v>2.3000000000000001E-4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67" t="s">
        <v>156</v>
      </c>
      <c r="B67" s="67" t="s">
        <v>157</v>
      </c>
      <c r="C67" s="67">
        <f>0.327/1000</f>
        <v>3.2700000000000003E-4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67" t="s">
        <v>158</v>
      </c>
      <c r="C68" s="67">
        <f t="shared" ref="C68:C69" si="5">0.331/1000</f>
        <v>3.3100000000000002E-4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67" t="s">
        <v>159</v>
      </c>
      <c r="C69" s="67">
        <f t="shared" si="5"/>
        <v>3.3100000000000002E-4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67" t="s">
        <v>160</v>
      </c>
      <c r="B70" s="67" t="s">
        <v>161</v>
      </c>
      <c r="C70" s="67">
        <f>0.307/1000</f>
        <v>3.0699999999999998E-4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67" t="s">
        <v>162</v>
      </c>
      <c r="C71" s="67">
        <f>0.308/1000</f>
        <v>3.0800000000000001E-4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67" t="s">
        <v>163</v>
      </c>
      <c r="C72" s="67">
        <f>0.313/1000</f>
        <v>3.1300000000000002E-4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67" t="s">
        <v>164</v>
      </c>
      <c r="B73" s="67" t="s">
        <v>165</v>
      </c>
      <c r="C73" s="67">
        <f>0.322/1000</f>
        <v>3.2200000000000002E-4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67" t="s">
        <v>166</v>
      </c>
      <c r="B74" s="67" t="s">
        <v>167</v>
      </c>
      <c r="C74" s="67">
        <f>0.227/1000</f>
        <v>2.2700000000000002E-4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67" t="s">
        <v>168</v>
      </c>
      <c r="C75" s="67">
        <f>0.244/1000</f>
        <v>2.4399999999999999E-4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67" t="s">
        <v>169</v>
      </c>
      <c r="B76" s="67" t="s">
        <v>170</v>
      </c>
      <c r="C76" s="67">
        <f>0.27/1000</f>
        <v>2.7E-4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0"/>
      <c r="C77" s="2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50.25" customHeight="1" x14ac:dyDescent="0.2">
      <c r="A78" s="2"/>
      <c r="B78" s="71" t="s">
        <v>171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0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0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0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0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0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0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0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0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0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0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0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0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0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0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0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0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0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0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0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0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0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0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0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0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0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0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0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0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0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0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0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0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0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0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0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0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0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0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0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0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0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0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0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0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0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0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0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0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0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0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0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0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0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0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0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0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0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0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0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0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0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0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0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0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0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0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0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0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0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0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0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0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0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0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0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0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0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0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0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0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0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2:M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5" defaultRowHeight="15" customHeight="1" x14ac:dyDescent="0.2"/>
  <cols>
    <col min="1" max="1" width="11.5" customWidth="1"/>
    <col min="2" max="2" width="31" customWidth="1"/>
    <col min="3" max="26" width="11.5" customWidth="1"/>
  </cols>
  <sheetData>
    <row r="1" spans="1:26" x14ac:dyDescent="0.2">
      <c r="A1" s="2"/>
      <c r="B1" s="2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19" t="s">
        <v>56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 t="s">
        <v>172</v>
      </c>
      <c r="B4" s="20"/>
      <c r="C4" s="43" t="s">
        <v>8</v>
      </c>
      <c r="D4" s="43" t="s">
        <v>9</v>
      </c>
      <c r="E4" s="43" t="s">
        <v>10</v>
      </c>
      <c r="F4" s="43" t="s">
        <v>11</v>
      </c>
      <c r="G4" s="43" t="s">
        <v>12</v>
      </c>
      <c r="H4" s="43" t="s">
        <v>13</v>
      </c>
      <c r="I4" s="43" t="s">
        <v>14</v>
      </c>
      <c r="J4" s="43" t="s">
        <v>15</v>
      </c>
      <c r="K4" s="43" t="s">
        <v>16</v>
      </c>
      <c r="L4" s="43" t="s">
        <v>17</v>
      </c>
      <c r="M4" s="45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43">
        <v>1</v>
      </c>
      <c r="B5" s="30" t="s">
        <v>173</v>
      </c>
      <c r="C5" s="65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65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65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65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65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65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65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65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65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65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65">
        <f t="shared" ref="M5:M28" si="0">SUM(C5:L5)</f>
        <v>2.7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43">
        <v>2</v>
      </c>
      <c r="B6" s="30" t="s">
        <v>173</v>
      </c>
      <c r="C6" s="65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65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65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65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65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65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65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65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65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65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65">
        <f t="shared" si="0"/>
        <v>4.2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43">
        <v>3</v>
      </c>
      <c r="B7" s="30" t="s">
        <v>173</v>
      </c>
      <c r="C7" s="65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65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65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65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65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65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65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65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65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65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65">
        <f t="shared" si="0"/>
        <v>5.6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43">
        <v>4</v>
      </c>
      <c r="B8" s="30" t="s">
        <v>173</v>
      </c>
      <c r="C8" s="65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65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65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65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65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65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65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65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65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65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65">
        <f t="shared" si="0"/>
        <v>7.1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43">
        <v>5</v>
      </c>
      <c r="B9" s="30" t="s">
        <v>173</v>
      </c>
      <c r="C9" s="65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65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65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65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65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65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65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65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65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65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65">
        <f t="shared" si="0"/>
        <v>7.4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43">
        <v>6</v>
      </c>
      <c r="B10" s="30" t="s">
        <v>173</v>
      </c>
      <c r="C10" s="65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65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65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65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65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65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65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65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65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65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65">
        <f t="shared" si="0"/>
        <v>8.6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43">
        <v>7</v>
      </c>
      <c r="B11" s="30" t="s">
        <v>173</v>
      </c>
      <c r="C11" s="65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65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65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65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65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65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65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65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65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65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65">
        <f t="shared" si="0"/>
        <v>9.8000000000000007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43">
        <v>8</v>
      </c>
      <c r="B12" s="30" t="s">
        <v>173</v>
      </c>
      <c r="C12" s="65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65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65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65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65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65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65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65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65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65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65">
        <f t="shared" si="0"/>
        <v>11.1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43">
        <v>9</v>
      </c>
      <c r="B13" s="30" t="s">
        <v>173</v>
      </c>
      <c r="C13" s="65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65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65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65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65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65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65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65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65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65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65">
        <f t="shared" si="0"/>
        <v>12.3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43">
        <v>10</v>
      </c>
      <c r="B14" s="30" t="s">
        <v>173</v>
      </c>
      <c r="C14" s="65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65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65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65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65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65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65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65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65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65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65">
        <f t="shared" si="0"/>
        <v>13.5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43">
        <v>11</v>
      </c>
      <c r="B15" s="30" t="s">
        <v>173</v>
      </c>
      <c r="C15" s="65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65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65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65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65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65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65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65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65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65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65">
        <f t="shared" si="0"/>
        <v>13.9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43">
        <v>12</v>
      </c>
      <c r="B16" s="30" t="s">
        <v>173</v>
      </c>
      <c r="C16" s="65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65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65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65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65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65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65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65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65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65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65">
        <f t="shared" si="0"/>
        <v>14.3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43">
        <v>13</v>
      </c>
      <c r="B17" s="30" t="s">
        <v>173</v>
      </c>
      <c r="C17" s="65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65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65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65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65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65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65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65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65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65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65">
        <f t="shared" si="0"/>
        <v>14.7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43">
        <v>14</v>
      </c>
      <c r="B18" s="30" t="s">
        <v>173</v>
      </c>
      <c r="C18" s="65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65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65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65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65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65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65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65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65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65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65">
        <f t="shared" si="0"/>
        <v>15.1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43">
        <v>15</v>
      </c>
      <c r="B19" s="30" t="s">
        <v>173</v>
      </c>
      <c r="C19" s="65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65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65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65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65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65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65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65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65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65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65">
        <f t="shared" si="0"/>
        <v>15.6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43">
        <v>16</v>
      </c>
      <c r="B20" s="30" t="s">
        <v>173</v>
      </c>
      <c r="C20" s="65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65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65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65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65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65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65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65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65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65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65">
        <f t="shared" si="0"/>
        <v>15.6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43">
        <v>17</v>
      </c>
      <c r="B21" s="30" t="s">
        <v>173</v>
      </c>
      <c r="C21" s="65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65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65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65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65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65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65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65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65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65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65">
        <f t="shared" si="0"/>
        <v>15.7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3">
        <v>18</v>
      </c>
      <c r="B22" s="30" t="s">
        <v>173</v>
      </c>
      <c r="C22" s="65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65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65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65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65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65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65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65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65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65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65">
        <f t="shared" si="0"/>
        <v>15.8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3">
        <v>19</v>
      </c>
      <c r="B23" s="30" t="s">
        <v>173</v>
      </c>
      <c r="C23" s="65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65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65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65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65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65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65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65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65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65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65">
        <f t="shared" si="0"/>
        <v>15.9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3">
        <v>20</v>
      </c>
      <c r="B24" s="30" t="s">
        <v>173</v>
      </c>
      <c r="C24" s="65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65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65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65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65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65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65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65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65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65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65">
        <f t="shared" si="0"/>
        <v>16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0"/>
      <c r="B25" s="30" t="s">
        <v>174</v>
      </c>
      <c r="C25" s="65">
        <f>SUMIF($A5:$A24,"&lt;"&amp;Eligibilité_projet!B14+1,C5:C24)</f>
        <v>234.9</v>
      </c>
      <c r="D25" s="65">
        <f>SUMIF($A5:$A24,"&lt;"&amp;Eligibilité_projet!C14+1,D5:D24)</f>
        <v>0</v>
      </c>
      <c r="E25" s="65">
        <f>SUMIF($A5:$A24,"&lt;"&amp;Eligibilité_projet!D14+1,E5:E24)</f>
        <v>0</v>
      </c>
      <c r="F25" s="65">
        <f>SUMIF($A5:$A24,"&lt;"&amp;Eligibilité_projet!E14+1,F5:F24)</f>
        <v>0</v>
      </c>
      <c r="G25" s="65">
        <f>SUMIF($A5:$A24,"&lt;"&amp;Eligibilité_projet!F14+1,G5:G24)</f>
        <v>0</v>
      </c>
      <c r="H25" s="65">
        <f>SUMIF($A5:$A24,"&lt;"&amp;Eligibilité_projet!G14+1,H5:H24)</f>
        <v>0</v>
      </c>
      <c r="I25" s="65">
        <f>SUMIF($A5:$A24,"&lt;"&amp;Eligibilité_projet!H14+1,I5:I24)</f>
        <v>0</v>
      </c>
      <c r="J25" s="65">
        <f>SUMIF($A5:$A24,"&lt;"&amp;Eligibilité_projet!I14+1,J5:J24)</f>
        <v>0</v>
      </c>
      <c r="K25" s="65">
        <f>SUMIF($A5:$A24,"&lt;"&amp;Eligibilité_projet!J14+1,K5:K24)</f>
        <v>0</v>
      </c>
      <c r="L25" s="65">
        <f>SUMIF($A5:$A24,"&lt;"&amp;Eligibilité_projet!K14+1,L5:L24)</f>
        <v>0</v>
      </c>
      <c r="M25" s="65">
        <f t="shared" si="0"/>
        <v>234.9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0" t="s">
        <v>175</v>
      </c>
      <c r="B26" s="30" t="s">
        <v>176</v>
      </c>
      <c r="C26" s="46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6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6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6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6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6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6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6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6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6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65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30" t="s">
        <v>177</v>
      </c>
      <c r="C27" s="73">
        <f>Eligibilité_projet!B14 + 1</f>
        <v>21</v>
      </c>
      <c r="D27" s="73">
        <f>Eligibilité_projet!C14 + 1</f>
        <v>1</v>
      </c>
      <c r="E27" s="73">
        <f>Eligibilité_projet!D14 + 1</f>
        <v>1</v>
      </c>
      <c r="F27" s="73">
        <f>Eligibilité_projet!E14 + 1</f>
        <v>1</v>
      </c>
      <c r="G27" s="73">
        <f>Eligibilité_projet!F14 + 1</f>
        <v>1</v>
      </c>
      <c r="H27" s="73">
        <f>Eligibilité_projet!G14 + 1</f>
        <v>1</v>
      </c>
      <c r="I27" s="73">
        <f>Eligibilité_projet!H14 + 1</f>
        <v>1</v>
      </c>
      <c r="J27" s="73">
        <f>Eligibilité_projet!I14 + 1</f>
        <v>1</v>
      </c>
      <c r="K27" s="73">
        <f>Eligibilité_projet!J14 + 1</f>
        <v>1</v>
      </c>
      <c r="L27" s="73">
        <f>Eligibilité_projet!K14 + 1</f>
        <v>1</v>
      </c>
      <c r="M27" s="65">
        <f t="shared" si="0"/>
        <v>30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63" t="s">
        <v>178</v>
      </c>
      <c r="C28" s="74">
        <f>((C25/C27)-C26)*Eligibilité_projet!B8*44/12</f>
        <v>57.419999999999995</v>
      </c>
      <c r="D28" s="74">
        <f>((D25/D27)-D26)*Eligibilité_projet!C8*44/12</f>
        <v>0</v>
      </c>
      <c r="E28" s="74">
        <f>((E25/E27)-E26)*Eligibilité_projet!D8*44/12</f>
        <v>0</v>
      </c>
      <c r="F28" s="74">
        <f>((F25/F27)-F26)*Eligibilité_projet!E8*44/12</f>
        <v>0</v>
      </c>
      <c r="G28" s="74">
        <f>((G25/G27)-G26)*Eligibilité_projet!F8*44/12</f>
        <v>0</v>
      </c>
      <c r="H28" s="74">
        <f>((H25/H27)-H26)*Eligibilité_projet!G8*44/12</f>
        <v>0</v>
      </c>
      <c r="I28" s="74">
        <f>((I25/I27)-I26)*Eligibilité_projet!H8*44/12</f>
        <v>0</v>
      </c>
      <c r="J28" s="74">
        <f>((J25/J27)-J26)*Eligibilité_projet!I8*44/12</f>
        <v>0</v>
      </c>
      <c r="K28" s="74">
        <f>((K25/K27)-K26)*Eligibilité_projet!J8*44/12</f>
        <v>0</v>
      </c>
      <c r="L28" s="74">
        <f>((L25/L27)-L26)*Eligibilité_projet!K8*44/12</f>
        <v>0</v>
      </c>
      <c r="M28" s="74">
        <f t="shared" si="0"/>
        <v>57.419999999999995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7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0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0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0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0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0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0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0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0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0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0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0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0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0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0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0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0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0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0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0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0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0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0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0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0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0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0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0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0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0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0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0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0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0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0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0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0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0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0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0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0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0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0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0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0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0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0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0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0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0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0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0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0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0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0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0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0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0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0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0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0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0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0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0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0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0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0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0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0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0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0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0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0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0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0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0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0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0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0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0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0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0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0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0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0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0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0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0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0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0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0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0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0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0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0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0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0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0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0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0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0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0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0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0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0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0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0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0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0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0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0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0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0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0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0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0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0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0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0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0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0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0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0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0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0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0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0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0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0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0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0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0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0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0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0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0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0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0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0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0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0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0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0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0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0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0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0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0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0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0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0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0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0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0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0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0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0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0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0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0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0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0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0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0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0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0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0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0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0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0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0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0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0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0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0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0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0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0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0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0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0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0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0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0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0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0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0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0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0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0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0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0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0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0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0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0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0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0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0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0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0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0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0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0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0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0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0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0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0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0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0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0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0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0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0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0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0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0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0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0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0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0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0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0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0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0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0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0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0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0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0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0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0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0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0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0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0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0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0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0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0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0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0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0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0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0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0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0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0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0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0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0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0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0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0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0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0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0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0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0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0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0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0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0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0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0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0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0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0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0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0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0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0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0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0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0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0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0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0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0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0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0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0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0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0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0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0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0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0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0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0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0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0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0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0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0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0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0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0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0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0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0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0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0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0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0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0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0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0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0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0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0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0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0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0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0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0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0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0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0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0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0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0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0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0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0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0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0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0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0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0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0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0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0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0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0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0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0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0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0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0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0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0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0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0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0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0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0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0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0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0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0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0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0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0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0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0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0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0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0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0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0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0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0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0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0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0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0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0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0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0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0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0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0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0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0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0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0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0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0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0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0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0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0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0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0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0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0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0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0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0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0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0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0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0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0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0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0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0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0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0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0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0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0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0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0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0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0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0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0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0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0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0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0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0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0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0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0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0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0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0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0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0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0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0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0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0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0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0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0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0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0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0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0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0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0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0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0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0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0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0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0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0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0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0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0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0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0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0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0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0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0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0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0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0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0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0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0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0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0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0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0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0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0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0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0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0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0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0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0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0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0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0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0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0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0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0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0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0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0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0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0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0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0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0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0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0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0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0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0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0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0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0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0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0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0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0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0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0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0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0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0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0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0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0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0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0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0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0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0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0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0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0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0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0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0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0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0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0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0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0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0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0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0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0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0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0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0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0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0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0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0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0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0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0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0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0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0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0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0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0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0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0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0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0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0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0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0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0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0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0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0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0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0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0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0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0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0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0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0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0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0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0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0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0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0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0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0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0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0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0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0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0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0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0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0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0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0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0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0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0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0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0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0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0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0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0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0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0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0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0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0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0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0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0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0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0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0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0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0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0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0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0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0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0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0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0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0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0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0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0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0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0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0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0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0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0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0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0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0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0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0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0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0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0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0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0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0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0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0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0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0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0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0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0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0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0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0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0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0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0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0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0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0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0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0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0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0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0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0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0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0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0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0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0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0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0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0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0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0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0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0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0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0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0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0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0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0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0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0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0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0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0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0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0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0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0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0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0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0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0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0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0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0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0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0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0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0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0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0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0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0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0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0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0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0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0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0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0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0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0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0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0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0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0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0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0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0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0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0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0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0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0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0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0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0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0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0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0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0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0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0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0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0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0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0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0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0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0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0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0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0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0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0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0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0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0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0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0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0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0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0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0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0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0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0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0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0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0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0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0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0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0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0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0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0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0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0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0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0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0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0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0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0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0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0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0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0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0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0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0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0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0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0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0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0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0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0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0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0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0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0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0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0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0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0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0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0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0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0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0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0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0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0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0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0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0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0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0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0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0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0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0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0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0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0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0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0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0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0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0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0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0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0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0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0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0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0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0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0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0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0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0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0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0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0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0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0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0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0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0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0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0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0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0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0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0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0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0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0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0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0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0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0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0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0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0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0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0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0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0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0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0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0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0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0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0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0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0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0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0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0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0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M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4.5" defaultRowHeight="15" customHeight="1" x14ac:dyDescent="0.2"/>
  <cols>
    <col min="1" max="1" width="8.5" customWidth="1"/>
    <col min="2" max="2" width="33.6640625" customWidth="1"/>
    <col min="3" max="3" width="12.33203125" customWidth="1"/>
    <col min="4" max="26" width="11.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119" t="s">
        <v>56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/>
      <c r="B4" s="2"/>
      <c r="C4" s="43" t="s">
        <v>8</v>
      </c>
      <c r="D4" s="43" t="s">
        <v>9</v>
      </c>
      <c r="E4" s="43" t="s">
        <v>10</v>
      </c>
      <c r="F4" s="43" t="s">
        <v>11</v>
      </c>
      <c r="G4" s="43" t="s">
        <v>12</v>
      </c>
      <c r="H4" s="43" t="s">
        <v>13</v>
      </c>
      <c r="I4" s="43" t="s">
        <v>14</v>
      </c>
      <c r="J4" s="43" t="s">
        <v>15</v>
      </c>
      <c r="K4" s="43" t="s">
        <v>16</v>
      </c>
      <c r="L4" s="43" t="s">
        <v>17</v>
      </c>
      <c r="M4" s="45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2"/>
      <c r="B5" s="30" t="s">
        <v>179</v>
      </c>
      <c r="C5" s="65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65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6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6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6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6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6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6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6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6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65">
        <f t="shared" ref="M5:M9" si="0">SUM(C5:L5)</f>
        <v>52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2"/>
      <c r="B6" s="30" t="s">
        <v>180</v>
      </c>
      <c r="C6" s="65">
        <f>IF(Eligibilité_projet!B13="Hors climat Mediterranéen",'(ne pas modifier) BDD_REF'!$C$271,IF(Eligibilité_projet!B13="",0,'(ne pas modifier) BDD_REF'!$B$271))</f>
        <v>47</v>
      </c>
      <c r="D6" s="65">
        <f>IF(Eligibilité_projet!C13="Hors climat Mediterranéen",'(ne pas modifier) BDD_REF'!$C$271,IF(Eligibilité_projet!C13="",0,'(ne pas modifier) BDD_REF'!$B$271))</f>
        <v>0</v>
      </c>
      <c r="E6" s="65">
        <f>IF(Eligibilité_projet!D13="Hors climat Mediterranéen",'(ne pas modifier) BDD_REF'!$C$271,IF(Eligibilité_projet!D13="",0,'(ne pas modifier) BDD_REF'!$B$271))</f>
        <v>0</v>
      </c>
      <c r="F6" s="65">
        <f>IF(Eligibilité_projet!E13="Hors climat Mediterranéen",'(ne pas modifier) BDD_REF'!$C$271,IF(Eligibilité_projet!E13="",0,'(ne pas modifier) BDD_REF'!$B$271))</f>
        <v>0</v>
      </c>
      <c r="G6" s="65">
        <f>IF(Eligibilité_projet!F13="Hors climat Mediterranéen",'(ne pas modifier) BDD_REF'!$C$271,IF(Eligibilité_projet!F13="",0,'(ne pas modifier) BDD_REF'!$B$271))</f>
        <v>0</v>
      </c>
      <c r="H6" s="65">
        <f>IF(Eligibilité_projet!G13="Hors climat Mediterranéen",'(ne pas modifier) BDD_REF'!$C$271,IF(Eligibilité_projet!G13="",0,'(ne pas modifier) BDD_REF'!$B$271))</f>
        <v>0</v>
      </c>
      <c r="I6" s="65">
        <f>IF(Eligibilité_projet!H13="Hors climat Mediterranéen",'(ne pas modifier) BDD_REF'!$C$271,IF(Eligibilité_projet!H13="",0,'(ne pas modifier) BDD_REF'!$B$271))</f>
        <v>0</v>
      </c>
      <c r="J6" s="65">
        <f>IF(Eligibilité_projet!I13="Hors climat Mediterranéen",'(ne pas modifier) BDD_REF'!$C$271,IF(Eligibilité_projet!I13="",0,'(ne pas modifier) BDD_REF'!$B$271))</f>
        <v>0</v>
      </c>
      <c r="K6" s="65">
        <f>IF(Eligibilité_projet!J13="Hors climat Mediterranéen",'(ne pas modifier) BDD_REF'!$C$271,IF(Eligibilité_projet!J13="",0,'(ne pas modifier) BDD_REF'!$B$271))</f>
        <v>0</v>
      </c>
      <c r="L6" s="65">
        <f>IF(Eligibilité_projet!K13="Hors climat Mediterranéen",'(ne pas modifier) BDD_REF'!$C$271,IF(Eligibilité_projet!K13="",0,'(ne pas modifier) BDD_REF'!$B$271))</f>
        <v>0</v>
      </c>
      <c r="M6" s="65">
        <f t="shared" si="0"/>
        <v>47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2"/>
      <c r="B7" s="30" t="s">
        <v>181</v>
      </c>
      <c r="C7" s="65">
        <f>Eligibilité_projet!B15</f>
        <v>0.75</v>
      </c>
      <c r="D7" s="65">
        <f>Eligibilité_projet!C15</f>
        <v>0</v>
      </c>
      <c r="E7" s="65">
        <f>Eligibilité_projet!D15</f>
        <v>0</v>
      </c>
      <c r="F7" s="65">
        <f>Eligibilité_projet!E15</f>
        <v>0</v>
      </c>
      <c r="G7" s="65">
        <f>Eligibilité_projet!F15</f>
        <v>0</v>
      </c>
      <c r="H7" s="65">
        <f>Eligibilité_projet!G15</f>
        <v>0</v>
      </c>
      <c r="I7" s="65">
        <f>Eligibilité_projet!H15</f>
        <v>0</v>
      </c>
      <c r="J7" s="65">
        <f>Eligibilité_projet!I15</f>
        <v>0</v>
      </c>
      <c r="K7" s="65">
        <f>Eligibilité_projet!J15</f>
        <v>0</v>
      </c>
      <c r="L7" s="65">
        <f>Eligibilité_projet!K15</f>
        <v>0</v>
      </c>
      <c r="M7" s="65">
        <f t="shared" si="0"/>
        <v>0.75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2"/>
      <c r="B8" s="30" t="s">
        <v>182</v>
      </c>
      <c r="C8" s="65">
        <f>Eligibilité_projet!B14</f>
        <v>20</v>
      </c>
      <c r="D8" s="65">
        <f>Eligibilité_projet!C14</f>
        <v>0</v>
      </c>
      <c r="E8" s="65">
        <f>Eligibilité_projet!D14</f>
        <v>0</v>
      </c>
      <c r="F8" s="65">
        <f>Eligibilité_projet!E14</f>
        <v>0</v>
      </c>
      <c r="G8" s="65">
        <f>Eligibilité_projet!F14</f>
        <v>0</v>
      </c>
      <c r="H8" s="65">
        <f>Eligibilité_projet!G14</f>
        <v>0</v>
      </c>
      <c r="I8" s="65">
        <f>Eligibilité_projet!H14</f>
        <v>0</v>
      </c>
      <c r="J8" s="65">
        <f>Eligibilité_projet!I14</f>
        <v>0</v>
      </c>
      <c r="K8" s="65">
        <f>Eligibilité_projet!J14</f>
        <v>0</v>
      </c>
      <c r="L8" s="65">
        <f>Eligibilité_projet!K14</f>
        <v>0</v>
      </c>
      <c r="M8" s="65">
        <f t="shared" si="0"/>
        <v>20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63" t="s">
        <v>183</v>
      </c>
      <c r="C9" s="63">
        <f>((C6-C5)+('(ne pas modifier) BDD_REF'!$B$275*C7*C8))*Eligibilité_projet!B8*44/12</f>
        <v>12.063333333333331</v>
      </c>
      <c r="D9" s="63">
        <f>((D6-D5)+('(ne pas modifier) BDD_REF'!$B$275*D7*D8))*Eligibilité_projet!C8*44/12</f>
        <v>0</v>
      </c>
      <c r="E9" s="63">
        <f>((E6-E5)+('(ne pas modifier) BDD_REF'!$B$275*E7*E8))*Eligibilité_projet!D8*44/12</f>
        <v>0</v>
      </c>
      <c r="F9" s="63">
        <f>((F6-F5)+('(ne pas modifier) BDD_REF'!$B$275*F7*F8))*Eligibilité_projet!E8*44/12</f>
        <v>0</v>
      </c>
      <c r="G9" s="63">
        <f>((G6-G5)+('(ne pas modifier) BDD_REF'!$B$275*G7*G8))*Eligibilité_projet!F8*44/12</f>
        <v>0</v>
      </c>
      <c r="H9" s="63">
        <f>((H6-H5)+('(ne pas modifier) BDD_REF'!$B$275*H7*H8))*Eligibilité_projet!G8*44/12</f>
        <v>0</v>
      </c>
      <c r="I9" s="63">
        <f>((I6-I5)+('(ne pas modifier) BDD_REF'!$B$275*I7*I8))*Eligibilité_projet!H8*44/12</f>
        <v>0</v>
      </c>
      <c r="J9" s="63">
        <f>((J6-J5)+('(ne pas modifier) BDD_REF'!$B$275*J7*J8))*Eligibilité_projet!I8*44/12</f>
        <v>0</v>
      </c>
      <c r="K9" s="63">
        <f>((K6-K5)+('(ne pas modifier) BDD_REF'!$B$275*K7*K8))*Eligibilité_projet!J8*44/12</f>
        <v>0</v>
      </c>
      <c r="L9" s="63">
        <f>((L6-L5)+('(ne pas modifier) BDD_REF'!$B$275*L7*L8))*Eligibilité_projet!K8*44/12</f>
        <v>0</v>
      </c>
      <c r="M9" s="63">
        <f t="shared" si="0"/>
        <v>12.063333333333331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7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2:M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4.5" defaultRowHeight="15" customHeight="1" x14ac:dyDescent="0.2"/>
  <cols>
    <col min="1" max="1" width="21.83203125" customWidth="1"/>
    <col min="2" max="2" width="44.5" customWidth="1"/>
    <col min="3" max="4" width="11.5" customWidth="1"/>
    <col min="5" max="5" width="22.5" customWidth="1"/>
    <col min="6" max="26" width="11.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customHeight="1" x14ac:dyDescent="0.2">
      <c r="A2" s="2"/>
      <c r="B2" s="122" t="s">
        <v>184</v>
      </c>
      <c r="C2" s="12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123" t="s">
        <v>185</v>
      </c>
      <c r="C4" s="1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8" x14ac:dyDescent="0.2">
      <c r="A6" s="77" t="s">
        <v>186</v>
      </c>
      <c r="B6" s="8" t="s">
        <v>187</v>
      </c>
      <c r="C6" s="44" t="str">
        <f>IF(Eligibilité_projet!C2="NON","/",'RECeff + REIamont (1)'!L7)</f>
        <v>/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78" t="s">
        <v>188</v>
      </c>
      <c r="B7" s="8" t="s">
        <v>187</v>
      </c>
      <c r="C7" s="44">
        <f>IF(Eligibilité_projet!C2="OUI","/",'RECeff + REIamont (2)'!M144)</f>
        <v>-10.157267755605933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7"/>
      <c r="B8" s="8" t="s">
        <v>110</v>
      </c>
      <c r="C8" s="44">
        <f>REIaval!M20</f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8" t="s">
        <v>189</v>
      </c>
      <c r="C9" s="44">
        <f>RECant_biom!M28</f>
        <v>57.419999999999995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2"/>
      <c r="B10" s="8" t="s">
        <v>183</v>
      </c>
      <c r="C10" s="44">
        <f>RECant_sol!M9</f>
        <v>12.063333333333331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/>
      <c r="B11" s="49" t="s">
        <v>190</v>
      </c>
      <c r="C11" s="79">
        <f>SUM(IF(Eligibilité_projet!C2="OUI",-C6,-C7),-C8,C10,C9)</f>
        <v>79.640601088939263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123" t="s">
        <v>191</v>
      </c>
      <c r="C13" s="12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2"/>
      <c r="B15" s="8" t="s">
        <v>187</v>
      </c>
      <c r="C15" s="44">
        <f>IF(Eligibilité_projet!C2="OUI",C6*(1-0.15),C7)</f>
        <v>-10.157267755605933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2"/>
      <c r="B16" s="8" t="s">
        <v>110</v>
      </c>
      <c r="C16" s="44">
        <f>C8</f>
        <v>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2"/>
      <c r="B17" s="8" t="s">
        <v>189</v>
      </c>
      <c r="C17" s="44">
        <f>C9*(1-0.1)</f>
        <v>51.677999999999997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2"/>
      <c r="B18" s="8" t="s">
        <v>183</v>
      </c>
      <c r="C18" s="44">
        <f>RE!C10</f>
        <v>12.063333333333331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2"/>
      <c r="B19" s="49" t="s">
        <v>190</v>
      </c>
      <c r="C19" s="79">
        <f>SUM(-C15,-C16,((C17+C18)*(0.9)))</f>
        <v>67.524467755605926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hidden="1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hidden="1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2:C2"/>
    <mergeCell ref="B4:C4"/>
    <mergeCell ref="B13:C1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baseColWidth="10" defaultColWidth="14.5" defaultRowHeight="15" customHeight="1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26" width="11.5" customWidth="1"/>
  </cols>
  <sheetData>
    <row r="1" spans="1:26" ht="16" x14ac:dyDescent="0.2">
      <c r="A1" s="80" t="s">
        <v>192</v>
      </c>
      <c r="B1" s="81" t="s">
        <v>193</v>
      </c>
      <c r="C1" s="81" t="s">
        <v>32</v>
      </c>
      <c r="D1" s="81" t="s">
        <v>194</v>
      </c>
      <c r="E1" s="82" t="s">
        <v>195</v>
      </c>
      <c r="F1" s="20"/>
      <c r="G1" s="20"/>
      <c r="H1" s="7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83" t="s">
        <v>196</v>
      </c>
      <c r="B2" s="83" t="s">
        <v>29</v>
      </c>
      <c r="C2" s="70" t="s">
        <v>33</v>
      </c>
      <c r="D2" s="70" t="str">
        <f t="shared" ref="D2:D17" si="0">CONCATENATE(B2," - ",C2)</f>
        <v>Hors climat Mediterranéen - Grandes cultures</v>
      </c>
      <c r="E2" s="70">
        <v>52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x14ac:dyDescent="0.2">
      <c r="A3" s="83" t="s">
        <v>196</v>
      </c>
      <c r="B3" s="83" t="s">
        <v>29</v>
      </c>
      <c r="C3" s="70" t="s">
        <v>197</v>
      </c>
      <c r="D3" s="70" t="str">
        <f t="shared" si="0"/>
        <v>Hors climat Mediterranéen - Prairies permanentes</v>
      </c>
      <c r="E3" s="70">
        <v>85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83" t="s">
        <v>196</v>
      </c>
      <c r="B4" s="83" t="s">
        <v>29</v>
      </c>
      <c r="C4" s="70" t="s">
        <v>198</v>
      </c>
      <c r="D4" s="70" t="str">
        <f t="shared" si="0"/>
        <v>Hors climat Mediterranéen - Viticulture</v>
      </c>
      <c r="E4" s="70">
        <v>34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83" t="s">
        <v>196</v>
      </c>
      <c r="B5" s="83" t="s">
        <v>29</v>
      </c>
      <c r="C5" s="70" t="s">
        <v>199</v>
      </c>
      <c r="D5" s="70" t="str">
        <f t="shared" si="0"/>
        <v>Hors climat Mediterranéen - Vergers</v>
      </c>
      <c r="E5" s="70">
        <v>47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83" t="s">
        <v>196</v>
      </c>
      <c r="B6" s="83" t="s">
        <v>200</v>
      </c>
      <c r="C6" s="70" t="s">
        <v>33</v>
      </c>
      <c r="D6" s="70" t="str">
        <f t="shared" si="0"/>
        <v>Climat Sec Mediterranéen - Grandes cultures</v>
      </c>
      <c r="E6" s="70">
        <v>43.1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83" t="s">
        <v>196</v>
      </c>
      <c r="B7" s="83" t="s">
        <v>200</v>
      </c>
      <c r="C7" s="70" t="b">
        <f>IF(Eligibilité_projet!B13="",'(ne pas modifier) BDD_REF'!B234:E234)</f>
        <v>0</v>
      </c>
      <c r="D7" s="70" t="str">
        <f t="shared" si="0"/>
        <v>Climat Sec Mediterranéen - FAUX</v>
      </c>
      <c r="E7" s="70">
        <v>49.5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83" t="s">
        <v>196</v>
      </c>
      <c r="B8" s="83" t="s">
        <v>200</v>
      </c>
      <c r="C8" s="70" t="s">
        <v>198</v>
      </c>
      <c r="D8" s="70" t="str">
        <f t="shared" si="0"/>
        <v>Climat Sec Mediterranéen - Viticulture</v>
      </c>
      <c r="E8" s="70">
        <v>34.299999999999997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83" t="s">
        <v>196</v>
      </c>
      <c r="B9" s="83" t="s">
        <v>200</v>
      </c>
      <c r="C9" s="70" t="s">
        <v>199</v>
      </c>
      <c r="D9" s="70" t="str">
        <f t="shared" si="0"/>
        <v>Climat Sec Mediterranéen - Vergers</v>
      </c>
      <c r="E9" s="70">
        <v>41.5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83" t="s">
        <v>196</v>
      </c>
      <c r="B10" s="83" t="s">
        <v>200</v>
      </c>
      <c r="C10" s="70" t="s">
        <v>201</v>
      </c>
      <c r="D10" s="70" t="str">
        <f t="shared" si="0"/>
        <v>Climat Sec Mediterranéen - Friche herbacée</v>
      </c>
      <c r="E10" s="70">
        <v>52.7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83" t="s">
        <v>202</v>
      </c>
      <c r="B11" s="83" t="s">
        <v>29</v>
      </c>
      <c r="C11" s="70" t="s">
        <v>33</v>
      </c>
      <c r="D11" s="70" t="str">
        <f t="shared" si="0"/>
        <v>Hors climat Mediterranéen - Grandes cultures</v>
      </c>
      <c r="E11" s="70">
        <f>(E5-E2)/20</f>
        <v>-0.25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83" t="s">
        <v>202</v>
      </c>
      <c r="B12" s="83" t="s">
        <v>29</v>
      </c>
      <c r="C12" s="70" t="s">
        <v>197</v>
      </c>
      <c r="D12" s="70" t="str">
        <f t="shared" si="0"/>
        <v>Hors climat Mediterranéen - Prairies permanentes</v>
      </c>
      <c r="E12" s="70">
        <f>(E5-E3)/20</f>
        <v>-1.9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83" t="s">
        <v>202</v>
      </c>
      <c r="B13" s="83" t="s">
        <v>29</v>
      </c>
      <c r="C13" s="70" t="s">
        <v>198</v>
      </c>
      <c r="D13" s="70" t="str">
        <f t="shared" si="0"/>
        <v>Hors climat Mediterranéen - Viticulture</v>
      </c>
      <c r="E13" s="70">
        <f>(E5-E4)/20</f>
        <v>0.65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83" t="s">
        <v>202</v>
      </c>
      <c r="B14" s="83" t="s">
        <v>200</v>
      </c>
      <c r="C14" s="70" t="s">
        <v>33</v>
      </c>
      <c r="D14" s="70" t="str">
        <f t="shared" si="0"/>
        <v>Climat Sec Mediterranéen - Grandes cultures</v>
      </c>
      <c r="E14" s="70">
        <f>(E9-E6)/20</f>
        <v>-8.0000000000000071E-2</v>
      </c>
      <c r="F14" s="2"/>
      <c r="G14" s="8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83" t="s">
        <v>202</v>
      </c>
      <c r="B15" s="83" t="s">
        <v>200</v>
      </c>
      <c r="C15" s="70" t="s">
        <v>197</v>
      </c>
      <c r="D15" s="70" t="str">
        <f t="shared" si="0"/>
        <v>Climat Sec Mediterranéen - Prairies permanentes</v>
      </c>
      <c r="E15" s="70">
        <f>(E9-E7)/20</f>
        <v>-0.4</v>
      </c>
      <c r="F15" s="2"/>
      <c r="G15" s="8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83" t="s">
        <v>202</v>
      </c>
      <c r="B16" s="83" t="s">
        <v>200</v>
      </c>
      <c r="C16" s="70" t="s">
        <v>198</v>
      </c>
      <c r="D16" s="70" t="str">
        <f t="shared" si="0"/>
        <v>Climat Sec Mediterranéen - Viticulture</v>
      </c>
      <c r="E16" s="70">
        <f>(E9-E8)/20</f>
        <v>0.36000000000000015</v>
      </c>
      <c r="F16" s="2"/>
      <c r="G16" s="8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83" t="s">
        <v>202</v>
      </c>
      <c r="B17" s="83" t="s">
        <v>200</v>
      </c>
      <c r="C17" s="70" t="s">
        <v>201</v>
      </c>
      <c r="D17" s="70" t="str">
        <f t="shared" si="0"/>
        <v>Climat Sec Mediterranéen - Friche herbacée</v>
      </c>
      <c r="E17" s="70">
        <f>(E9-E10)/20</f>
        <v>-0.56000000000000016</v>
      </c>
      <c r="F17" s="2"/>
      <c r="G17" s="8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85" t="s">
        <v>203</v>
      </c>
      <c r="B20" s="85" t="s">
        <v>25</v>
      </c>
      <c r="C20" s="85" t="s">
        <v>204</v>
      </c>
      <c r="D20" s="85" t="s">
        <v>205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70" t="s">
        <v>206</v>
      </c>
      <c r="B21" s="70" t="s">
        <v>207</v>
      </c>
      <c r="C21" s="70" t="str">
        <f t="shared" ref="C21:C42" si="1">CONCATENATE(A21," - ",B21)</f>
        <v>Abricotier - Gobelet</v>
      </c>
      <c r="D21" s="70">
        <v>300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70" t="s">
        <v>208</v>
      </c>
      <c r="B22" s="70" t="s">
        <v>207</v>
      </c>
      <c r="C22" s="70" t="str">
        <f t="shared" si="1"/>
        <v>Amandier - Gobelet</v>
      </c>
      <c r="D22" s="70">
        <v>150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70" t="s">
        <v>209</v>
      </c>
      <c r="B23" s="70" t="s">
        <v>26</v>
      </c>
      <c r="C23" s="70" t="str">
        <f t="shared" si="1"/>
        <v>Cerisier de table - Axe</v>
      </c>
      <c r="D23" s="70">
        <v>600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70" t="s">
        <v>210</v>
      </c>
      <c r="B24" s="70" t="s">
        <v>207</v>
      </c>
      <c r="C24" s="70" t="str">
        <f t="shared" si="1"/>
        <v>Cerisier - Gobelet</v>
      </c>
      <c r="D24" s="70">
        <v>150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70" t="s">
        <v>211</v>
      </c>
      <c r="B25" s="70" t="s">
        <v>212</v>
      </c>
      <c r="C25" s="70" t="str">
        <f t="shared" si="1"/>
        <v>Châtaignier - Plein vent</v>
      </c>
      <c r="D25" s="70">
        <v>40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70" t="s">
        <v>213</v>
      </c>
      <c r="B26" s="70" t="s">
        <v>212</v>
      </c>
      <c r="C26" s="70" t="str">
        <f t="shared" si="1"/>
        <v>Clémentinier - Plein vent</v>
      </c>
      <c r="D26" s="70">
        <v>500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70" t="s">
        <v>214</v>
      </c>
      <c r="B27" s="70" t="s">
        <v>207</v>
      </c>
      <c r="C27" s="70" t="str">
        <f t="shared" si="1"/>
        <v>Cognassier - Gobelet</v>
      </c>
      <c r="D27" s="70">
        <v>300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70" t="s">
        <v>214</v>
      </c>
      <c r="B28" s="70" t="s">
        <v>26</v>
      </c>
      <c r="C28" s="70" t="str">
        <f t="shared" si="1"/>
        <v>Cognassier - Axe</v>
      </c>
      <c r="D28" s="70">
        <v>1000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70" t="s">
        <v>215</v>
      </c>
      <c r="B29" s="70" t="s">
        <v>207</v>
      </c>
      <c r="C29" s="70" t="str">
        <f t="shared" si="1"/>
        <v>Figuier - Gobelet</v>
      </c>
      <c r="D29" s="70">
        <v>200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70" t="s">
        <v>216</v>
      </c>
      <c r="B30" s="70" t="s">
        <v>217</v>
      </c>
      <c r="C30" s="70" t="str">
        <f t="shared" si="1"/>
        <v>Kiwi - T-Barre</v>
      </c>
      <c r="D30" s="70">
        <v>350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70" t="s">
        <v>218</v>
      </c>
      <c r="B31" s="70" t="s">
        <v>207</v>
      </c>
      <c r="C31" s="70" t="str">
        <f t="shared" si="1"/>
        <v>Noisetier - Gobelet</v>
      </c>
      <c r="D31" s="70">
        <v>250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70" t="s">
        <v>219</v>
      </c>
      <c r="B32" s="70" t="s">
        <v>212</v>
      </c>
      <c r="C32" s="70" t="str">
        <f t="shared" si="1"/>
        <v>Noyer - Plein vent</v>
      </c>
      <c r="D32" s="70">
        <v>50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70" t="s">
        <v>220</v>
      </c>
      <c r="B33" s="70" t="s">
        <v>26</v>
      </c>
      <c r="C33" s="70" t="str">
        <f t="shared" si="1"/>
        <v>Pêcher - Axe</v>
      </c>
      <c r="D33" s="70">
        <v>1000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70" t="s">
        <v>220</v>
      </c>
      <c r="B34" s="70" t="s">
        <v>221</v>
      </c>
      <c r="C34" s="70" t="str">
        <f t="shared" si="1"/>
        <v>Pêcher - Upsilon</v>
      </c>
      <c r="D34" s="70">
        <v>500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70" t="s">
        <v>220</v>
      </c>
      <c r="B35" s="70" t="s">
        <v>222</v>
      </c>
      <c r="C35" s="70" t="str">
        <f t="shared" si="1"/>
        <v>Pêcher - Palmette</v>
      </c>
      <c r="D35" s="70">
        <v>500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70" t="s">
        <v>220</v>
      </c>
      <c r="B36" s="70" t="s">
        <v>207</v>
      </c>
      <c r="C36" s="70" t="str">
        <f t="shared" si="1"/>
        <v>Pêcher - Gobelet</v>
      </c>
      <c r="D36" s="70">
        <v>350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70" t="s">
        <v>223</v>
      </c>
      <c r="B37" s="70" t="s">
        <v>26</v>
      </c>
      <c r="C37" s="70" t="str">
        <f t="shared" si="1"/>
        <v>Poirier - Axe</v>
      </c>
      <c r="D37" s="70">
        <v>1000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70" t="s">
        <v>223</v>
      </c>
      <c r="B38" s="70" t="s">
        <v>207</v>
      </c>
      <c r="C38" s="70" t="str">
        <f t="shared" si="1"/>
        <v>Poirier - Gobelet</v>
      </c>
      <c r="D38" s="70">
        <v>300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70" t="s">
        <v>22</v>
      </c>
      <c r="B39" s="70" t="s">
        <v>26</v>
      </c>
      <c r="C39" s="70" t="str">
        <f t="shared" si="1"/>
        <v>Pommier - Axe</v>
      </c>
      <c r="D39" s="70">
        <v>1000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70" t="s">
        <v>22</v>
      </c>
      <c r="B40" s="70" t="s">
        <v>207</v>
      </c>
      <c r="C40" s="70" t="str">
        <f t="shared" si="1"/>
        <v>Pommier - Gobelet</v>
      </c>
      <c r="D40" s="70">
        <v>300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70" t="s">
        <v>224</v>
      </c>
      <c r="B41" s="70" t="s">
        <v>26</v>
      </c>
      <c r="C41" s="70" t="str">
        <f t="shared" si="1"/>
        <v>Prunier de table - Axe</v>
      </c>
      <c r="D41" s="70">
        <v>1000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70" t="s">
        <v>224</v>
      </c>
      <c r="B42" s="70" t="s">
        <v>207</v>
      </c>
      <c r="C42" s="70" t="str">
        <f t="shared" si="1"/>
        <v>Prunier de table - Gobelet</v>
      </c>
      <c r="D42" s="70">
        <v>300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125" t="s">
        <v>200</v>
      </c>
      <c r="C44" s="120"/>
      <c r="D44" s="121"/>
      <c r="E44" s="125" t="s">
        <v>225</v>
      </c>
      <c r="F44" s="120"/>
      <c r="G44" s="12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86" t="s">
        <v>226</v>
      </c>
      <c r="B45" s="87" t="s">
        <v>227</v>
      </c>
      <c r="C45" s="81" t="s">
        <v>228</v>
      </c>
      <c r="D45" s="88" t="s">
        <v>229</v>
      </c>
      <c r="E45" s="87" t="s">
        <v>230</v>
      </c>
      <c r="F45" s="81" t="s">
        <v>231</v>
      </c>
      <c r="G45" s="88" t="s">
        <v>232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70">
        <v>1</v>
      </c>
      <c r="B46" s="70">
        <v>2.4</v>
      </c>
      <c r="C46" s="70">
        <v>9.9</v>
      </c>
      <c r="D46" s="70">
        <f t="shared" ref="D46:D65" si="2">B46-C46</f>
        <v>-7.5</v>
      </c>
      <c r="E46" s="70">
        <v>2.7</v>
      </c>
      <c r="F46" s="70">
        <v>5</v>
      </c>
      <c r="G46" s="70">
        <f t="shared" ref="G46:G65" si="3">E46-F46</f>
        <v>-2.2999999999999998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70">
        <v>2</v>
      </c>
      <c r="B47" s="70">
        <v>3.72</v>
      </c>
      <c r="C47" s="70">
        <v>9.9</v>
      </c>
      <c r="D47" s="70">
        <f t="shared" si="2"/>
        <v>-6.18</v>
      </c>
      <c r="E47" s="70">
        <v>4.2</v>
      </c>
      <c r="F47" s="70">
        <v>5</v>
      </c>
      <c r="G47" s="70">
        <f t="shared" si="3"/>
        <v>-0.79999999999999982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70">
        <v>3</v>
      </c>
      <c r="B48" s="70">
        <v>5.04</v>
      </c>
      <c r="C48" s="70">
        <v>9.9</v>
      </c>
      <c r="D48" s="70">
        <f t="shared" si="2"/>
        <v>-4.8600000000000003</v>
      </c>
      <c r="E48" s="70">
        <v>5.6</v>
      </c>
      <c r="F48" s="70">
        <v>5</v>
      </c>
      <c r="G48" s="70">
        <f t="shared" si="3"/>
        <v>0.59999999999999964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70">
        <v>4</v>
      </c>
      <c r="B49" s="70">
        <v>6.36</v>
      </c>
      <c r="C49" s="70">
        <v>9.9</v>
      </c>
      <c r="D49" s="70">
        <f t="shared" si="2"/>
        <v>-3.54</v>
      </c>
      <c r="E49" s="70">
        <v>7.1</v>
      </c>
      <c r="F49" s="70">
        <v>5</v>
      </c>
      <c r="G49" s="70">
        <f t="shared" si="3"/>
        <v>2.0999999999999996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70">
        <v>5</v>
      </c>
      <c r="B50" s="70">
        <v>6.6</v>
      </c>
      <c r="C50" s="70">
        <v>9.9</v>
      </c>
      <c r="D50" s="70">
        <f t="shared" si="2"/>
        <v>-3.3000000000000007</v>
      </c>
      <c r="E50" s="70">
        <v>7.4</v>
      </c>
      <c r="F50" s="70">
        <v>5</v>
      </c>
      <c r="G50" s="70">
        <f t="shared" si="3"/>
        <v>2.4000000000000004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70">
        <v>6</v>
      </c>
      <c r="B51" s="70">
        <v>7.7</v>
      </c>
      <c r="C51" s="70">
        <v>9.9</v>
      </c>
      <c r="D51" s="70">
        <f t="shared" si="2"/>
        <v>-2.2000000000000002</v>
      </c>
      <c r="E51" s="70">
        <v>8.6</v>
      </c>
      <c r="F51" s="70">
        <v>5</v>
      </c>
      <c r="G51" s="70">
        <f t="shared" si="3"/>
        <v>3.5999999999999996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70">
        <v>7</v>
      </c>
      <c r="B52" s="70">
        <v>8.8000000000000007</v>
      </c>
      <c r="C52" s="70">
        <v>9.9</v>
      </c>
      <c r="D52" s="70">
        <f t="shared" si="2"/>
        <v>-1.0999999999999996</v>
      </c>
      <c r="E52" s="70">
        <v>9.8000000000000007</v>
      </c>
      <c r="F52" s="70">
        <v>5</v>
      </c>
      <c r="G52" s="70">
        <f t="shared" si="3"/>
        <v>4.8000000000000007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70">
        <v>8</v>
      </c>
      <c r="B53" s="70">
        <v>9.9</v>
      </c>
      <c r="C53" s="70">
        <v>9.9</v>
      </c>
      <c r="D53" s="70">
        <f t="shared" si="2"/>
        <v>0</v>
      </c>
      <c r="E53" s="70">
        <v>11.1</v>
      </c>
      <c r="F53" s="70">
        <v>5</v>
      </c>
      <c r="G53" s="70">
        <f t="shared" si="3"/>
        <v>6.1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70">
        <v>9</v>
      </c>
      <c r="B54" s="70">
        <v>11</v>
      </c>
      <c r="C54" s="70">
        <v>9.9</v>
      </c>
      <c r="D54" s="70">
        <f t="shared" si="2"/>
        <v>1.0999999999999996</v>
      </c>
      <c r="E54" s="70">
        <v>12.3</v>
      </c>
      <c r="F54" s="70">
        <v>5</v>
      </c>
      <c r="G54" s="70">
        <f t="shared" si="3"/>
        <v>7.3000000000000007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70">
        <v>10</v>
      </c>
      <c r="B55" s="70">
        <v>12.1</v>
      </c>
      <c r="C55" s="70">
        <v>9.9</v>
      </c>
      <c r="D55" s="70">
        <f t="shared" si="2"/>
        <v>2.1999999999999993</v>
      </c>
      <c r="E55" s="70">
        <v>13.5</v>
      </c>
      <c r="F55" s="70">
        <v>5</v>
      </c>
      <c r="G55" s="70">
        <f t="shared" si="3"/>
        <v>8.5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70">
        <v>11</v>
      </c>
      <c r="B56" s="70">
        <v>12.46</v>
      </c>
      <c r="C56" s="70">
        <v>9.9</v>
      </c>
      <c r="D56" s="70">
        <f t="shared" si="2"/>
        <v>2.5600000000000005</v>
      </c>
      <c r="E56" s="70">
        <v>13.9</v>
      </c>
      <c r="F56" s="70">
        <v>5</v>
      </c>
      <c r="G56" s="70">
        <f t="shared" si="3"/>
        <v>8.9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70">
        <v>12</v>
      </c>
      <c r="B57" s="70">
        <v>12.82</v>
      </c>
      <c r="C57" s="70">
        <v>9.9</v>
      </c>
      <c r="D57" s="70">
        <f t="shared" si="2"/>
        <v>2.92</v>
      </c>
      <c r="E57" s="70">
        <v>14.3</v>
      </c>
      <c r="F57" s="70">
        <v>5</v>
      </c>
      <c r="G57" s="70">
        <f t="shared" si="3"/>
        <v>9.3000000000000007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70">
        <v>13</v>
      </c>
      <c r="B58" s="70">
        <v>13.18</v>
      </c>
      <c r="C58" s="70">
        <v>9.9</v>
      </c>
      <c r="D58" s="70">
        <f t="shared" si="2"/>
        <v>3.2799999999999994</v>
      </c>
      <c r="E58" s="70">
        <v>14.7</v>
      </c>
      <c r="F58" s="70">
        <v>5</v>
      </c>
      <c r="G58" s="70">
        <f t="shared" si="3"/>
        <v>9.6999999999999993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70">
        <v>14</v>
      </c>
      <c r="B59" s="70">
        <v>13.54</v>
      </c>
      <c r="C59" s="70">
        <v>9.9</v>
      </c>
      <c r="D59" s="70">
        <f t="shared" si="2"/>
        <v>3.6399999999999988</v>
      </c>
      <c r="E59" s="70">
        <v>15.1</v>
      </c>
      <c r="F59" s="70">
        <v>5</v>
      </c>
      <c r="G59" s="70">
        <f t="shared" si="3"/>
        <v>10.1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70">
        <v>15</v>
      </c>
      <c r="B60" s="70">
        <v>13.9</v>
      </c>
      <c r="C60" s="70">
        <v>9.9</v>
      </c>
      <c r="D60" s="70">
        <f t="shared" si="2"/>
        <v>4</v>
      </c>
      <c r="E60" s="70">
        <v>15.6</v>
      </c>
      <c r="F60" s="70">
        <v>5</v>
      </c>
      <c r="G60" s="70">
        <f t="shared" si="3"/>
        <v>10.6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70">
        <v>16</v>
      </c>
      <c r="B61" s="70">
        <v>13.98</v>
      </c>
      <c r="C61" s="70">
        <v>9.9</v>
      </c>
      <c r="D61" s="70">
        <f t="shared" si="2"/>
        <v>4.08</v>
      </c>
      <c r="E61" s="70">
        <v>15.6</v>
      </c>
      <c r="F61" s="70">
        <v>5</v>
      </c>
      <c r="G61" s="70">
        <f t="shared" si="3"/>
        <v>10.6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70">
        <v>17</v>
      </c>
      <c r="B62" s="70">
        <v>14.06</v>
      </c>
      <c r="C62" s="70">
        <v>9.9</v>
      </c>
      <c r="D62" s="70">
        <f t="shared" si="2"/>
        <v>4.16</v>
      </c>
      <c r="E62" s="70">
        <v>15.7</v>
      </c>
      <c r="F62" s="70">
        <v>5</v>
      </c>
      <c r="G62" s="70">
        <f t="shared" si="3"/>
        <v>10.7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70">
        <v>18</v>
      </c>
      <c r="B63" s="70">
        <v>14.14</v>
      </c>
      <c r="C63" s="70">
        <v>9.9</v>
      </c>
      <c r="D63" s="70">
        <f t="shared" si="2"/>
        <v>4.24</v>
      </c>
      <c r="E63" s="70">
        <v>15.8</v>
      </c>
      <c r="F63" s="70">
        <v>5</v>
      </c>
      <c r="G63" s="70">
        <f t="shared" si="3"/>
        <v>10.8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70">
        <v>19</v>
      </c>
      <c r="B64" s="70">
        <v>14.22</v>
      </c>
      <c r="C64" s="70">
        <v>9.9</v>
      </c>
      <c r="D64" s="70">
        <f t="shared" si="2"/>
        <v>4.32</v>
      </c>
      <c r="E64" s="70">
        <v>15.9</v>
      </c>
      <c r="F64" s="70">
        <v>5</v>
      </c>
      <c r="G64" s="70">
        <f t="shared" si="3"/>
        <v>10.9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70">
        <v>20</v>
      </c>
      <c r="B65" s="70">
        <v>14.3</v>
      </c>
      <c r="C65" s="70">
        <v>9.9</v>
      </c>
      <c r="D65" s="70">
        <f t="shared" si="2"/>
        <v>4.4000000000000004</v>
      </c>
      <c r="E65" s="70">
        <v>16</v>
      </c>
      <c r="F65" s="70">
        <v>5</v>
      </c>
      <c r="G65" s="70">
        <f t="shared" si="3"/>
        <v>11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89" t="s">
        <v>233</v>
      </c>
      <c r="B67" s="89" t="s">
        <v>32</v>
      </c>
      <c r="C67" s="89" t="s">
        <v>234</v>
      </c>
      <c r="D67" s="89" t="s">
        <v>235</v>
      </c>
      <c r="E67" s="89" t="s">
        <v>236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90">
        <v>10</v>
      </c>
      <c r="B68" s="70" t="s">
        <v>33</v>
      </c>
      <c r="C68" s="83" t="s">
        <v>200</v>
      </c>
      <c r="D68" s="70" t="str">
        <f t="shared" ref="D68:D133" si="4">CONCATENATE(A68," - ",B68,"-",C68)</f>
        <v>10 - Grandes cultures-Climat Sec Mediterranéen</v>
      </c>
      <c r="E68" s="91">
        <f>SUM(B$46:B$55)/11</f>
        <v>6.6927272727272715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90">
        <v>11</v>
      </c>
      <c r="B69" s="70" t="s">
        <v>33</v>
      </c>
      <c r="C69" s="83" t="s">
        <v>200</v>
      </c>
      <c r="D69" s="70" t="str">
        <f t="shared" si="4"/>
        <v>11 - Grandes cultures-Climat Sec Mediterranéen</v>
      </c>
      <c r="E69" s="91">
        <f>SUM(B$46:B$56)/12</f>
        <v>7.173333333333332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90">
        <v>12</v>
      </c>
      <c r="B70" s="70" t="s">
        <v>33</v>
      </c>
      <c r="C70" s="83" t="s">
        <v>200</v>
      </c>
      <c r="D70" s="70" t="str">
        <f t="shared" si="4"/>
        <v>12 - Grandes cultures-Climat Sec Mediterranéen</v>
      </c>
      <c r="E70" s="91">
        <f>SUM(B$46:B$57)/(A70+1)</f>
        <v>7.6076923076923055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90">
        <v>13</v>
      </c>
      <c r="B71" s="70" t="s">
        <v>33</v>
      </c>
      <c r="C71" s="83" t="s">
        <v>200</v>
      </c>
      <c r="D71" s="70" t="str">
        <f t="shared" si="4"/>
        <v>13 - Grandes cultures-Climat Sec Mediterranéen</v>
      </c>
      <c r="E71" s="91">
        <f>SUM(B$46:B$58)/14</f>
        <v>8.0057142857142853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90">
        <v>14</v>
      </c>
      <c r="B72" s="70" t="s">
        <v>33</v>
      </c>
      <c r="C72" s="83" t="s">
        <v>200</v>
      </c>
      <c r="D72" s="70" t="str">
        <f t="shared" si="4"/>
        <v>14 - Grandes cultures-Climat Sec Mediterranéen</v>
      </c>
      <c r="E72" s="91">
        <f>SUM(B$46:B$59)/15</f>
        <v>8.3746666666666645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90">
        <v>15</v>
      </c>
      <c r="B73" s="70" t="s">
        <v>33</v>
      </c>
      <c r="C73" s="83" t="s">
        <v>200</v>
      </c>
      <c r="D73" s="70" t="str">
        <f t="shared" si="4"/>
        <v>15 - Grandes cultures-Climat Sec Mediterranéen</v>
      </c>
      <c r="E73" s="91">
        <f>SUM(B$46:B$60)/16</f>
        <v>8.7199999999999989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90">
        <v>16</v>
      </c>
      <c r="B74" s="70" t="s">
        <v>33</v>
      </c>
      <c r="C74" s="83" t="s">
        <v>200</v>
      </c>
      <c r="D74" s="70" t="str">
        <f t="shared" si="4"/>
        <v>16 - Grandes cultures-Climat Sec Mediterranéen</v>
      </c>
      <c r="E74" s="91">
        <f>SUM(B$46:B$61)/17</f>
        <v>9.0294117647058805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90">
        <v>17</v>
      </c>
      <c r="B75" s="70" t="s">
        <v>33</v>
      </c>
      <c r="C75" s="83" t="s">
        <v>200</v>
      </c>
      <c r="D75" s="70" t="str">
        <f t="shared" si="4"/>
        <v>17 - Grandes cultures-Climat Sec Mediterranéen</v>
      </c>
      <c r="E75" s="91">
        <f>SUM(B$46:B$62)/18</f>
        <v>9.3088888888888874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90">
        <v>18</v>
      </c>
      <c r="B76" s="70" t="s">
        <v>33</v>
      </c>
      <c r="C76" s="83" t="s">
        <v>200</v>
      </c>
      <c r="D76" s="70" t="str">
        <f t="shared" si="4"/>
        <v>18 - Grandes cultures-Climat Sec Mediterranéen</v>
      </c>
      <c r="E76" s="91">
        <f>SUM(B$46:B$63)/19</f>
        <v>9.5631578947368414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90">
        <v>19</v>
      </c>
      <c r="B77" s="70" t="s">
        <v>33</v>
      </c>
      <c r="C77" s="83" t="s">
        <v>200</v>
      </c>
      <c r="D77" s="70" t="str">
        <f t="shared" si="4"/>
        <v>19 - Grandes cultures-Climat Sec Mediterranéen</v>
      </c>
      <c r="E77" s="91">
        <f>SUM(B$46:B$64)/20</f>
        <v>9.7959999999999994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90">
        <v>20</v>
      </c>
      <c r="B78" s="70" t="s">
        <v>33</v>
      </c>
      <c r="C78" s="83" t="s">
        <v>200</v>
      </c>
      <c r="D78" s="70" t="str">
        <f t="shared" si="4"/>
        <v>20 - Grandes cultures-Climat Sec Mediterranéen</v>
      </c>
      <c r="E78" s="91">
        <f>SUM(B$46:B$65)/21</f>
        <v>10.01047619047619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90">
        <v>10</v>
      </c>
      <c r="B79" s="70" t="s">
        <v>197</v>
      </c>
      <c r="C79" s="83" t="s">
        <v>200</v>
      </c>
      <c r="D79" s="70" t="str">
        <f t="shared" si="4"/>
        <v>10 - Prairies permanentes-Climat Sec Mediterranéen</v>
      </c>
      <c r="E79" s="91">
        <f>SUM(B$46:B$55)/11</f>
        <v>6.6927272727272715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90">
        <v>11</v>
      </c>
      <c r="B80" s="70" t="s">
        <v>197</v>
      </c>
      <c r="C80" s="83" t="s">
        <v>200</v>
      </c>
      <c r="D80" s="70" t="str">
        <f t="shared" si="4"/>
        <v>11 - Prairies permanentes-Climat Sec Mediterranéen</v>
      </c>
      <c r="E80" s="91">
        <f>SUM(B$46:B$56)/12</f>
        <v>7.173333333333332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90">
        <v>12</v>
      </c>
      <c r="B81" s="70" t="s">
        <v>197</v>
      </c>
      <c r="C81" s="83" t="s">
        <v>200</v>
      </c>
      <c r="D81" s="70" t="str">
        <f t="shared" si="4"/>
        <v>12 - Prairies permanentes-Climat Sec Mediterranéen</v>
      </c>
      <c r="E81" s="91">
        <f>SUM(B$46:B$57)/(A81+1)</f>
        <v>7.6076923076923055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90">
        <v>13</v>
      </c>
      <c r="B82" s="70" t="s">
        <v>197</v>
      </c>
      <c r="C82" s="83" t="s">
        <v>200</v>
      </c>
      <c r="D82" s="70" t="str">
        <f t="shared" si="4"/>
        <v>13 - Prairies permanentes-Climat Sec Mediterranéen</v>
      </c>
      <c r="E82" s="91">
        <f>SUM(B$46:B$58)/14</f>
        <v>8.0057142857142853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90">
        <v>14</v>
      </c>
      <c r="B83" s="70" t="s">
        <v>197</v>
      </c>
      <c r="C83" s="83" t="s">
        <v>200</v>
      </c>
      <c r="D83" s="70" t="str">
        <f t="shared" si="4"/>
        <v>14 - Prairies permanentes-Climat Sec Mediterranéen</v>
      </c>
      <c r="E83" s="91">
        <f>SUM(B$46:B$59)/15</f>
        <v>8.3746666666666645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90">
        <v>15</v>
      </c>
      <c r="B84" s="70" t="s">
        <v>197</v>
      </c>
      <c r="C84" s="83" t="s">
        <v>200</v>
      </c>
      <c r="D84" s="70" t="str">
        <f t="shared" si="4"/>
        <v>15 - Prairies permanentes-Climat Sec Mediterranéen</v>
      </c>
      <c r="E84" s="91">
        <f>SUM(B$46:B$60)/16</f>
        <v>8.7199999999999989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90">
        <v>16</v>
      </c>
      <c r="B85" s="70" t="s">
        <v>197</v>
      </c>
      <c r="C85" s="83" t="s">
        <v>200</v>
      </c>
      <c r="D85" s="70" t="str">
        <f t="shared" si="4"/>
        <v>16 - Prairies permanentes-Climat Sec Mediterranéen</v>
      </c>
      <c r="E85" s="91">
        <f>SUM(B$46:B$61)/17</f>
        <v>9.0294117647058805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90">
        <v>17</v>
      </c>
      <c r="B86" s="70" t="s">
        <v>197</v>
      </c>
      <c r="C86" s="83" t="s">
        <v>200</v>
      </c>
      <c r="D86" s="70" t="str">
        <f t="shared" si="4"/>
        <v>17 - Prairies permanentes-Climat Sec Mediterranéen</v>
      </c>
      <c r="E86" s="91">
        <f>SUM(B$46:B$62)/18</f>
        <v>9.3088888888888874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90">
        <v>18</v>
      </c>
      <c r="B87" s="70" t="s">
        <v>197</v>
      </c>
      <c r="C87" s="83" t="s">
        <v>200</v>
      </c>
      <c r="D87" s="70" t="str">
        <f t="shared" si="4"/>
        <v>18 - Prairies permanentes-Climat Sec Mediterranéen</v>
      </c>
      <c r="E87" s="91">
        <f>SUM(B$46:B$63)/19</f>
        <v>9.5631578947368414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90">
        <v>19</v>
      </c>
      <c r="B88" s="70" t="s">
        <v>197</v>
      </c>
      <c r="C88" s="83" t="s">
        <v>200</v>
      </c>
      <c r="D88" s="70" t="str">
        <f t="shared" si="4"/>
        <v>19 - Prairies permanentes-Climat Sec Mediterranéen</v>
      </c>
      <c r="E88" s="91">
        <f>SUM(B$46:B$64)/20</f>
        <v>9.7959999999999994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90">
        <v>20</v>
      </c>
      <c r="B89" s="70" t="s">
        <v>197</v>
      </c>
      <c r="C89" s="83" t="s">
        <v>200</v>
      </c>
      <c r="D89" s="70" t="str">
        <f t="shared" si="4"/>
        <v>20 - Prairies permanentes-Climat Sec Mediterranéen</v>
      </c>
      <c r="E89" s="91">
        <f>SUM(B$46:B$65)/21</f>
        <v>10.01047619047619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90">
        <v>10</v>
      </c>
      <c r="B90" s="70" t="s">
        <v>198</v>
      </c>
      <c r="C90" s="83" t="s">
        <v>200</v>
      </c>
      <c r="D90" s="70" t="str">
        <f t="shared" si="4"/>
        <v>10 - Viticulture-Climat Sec Mediterranéen</v>
      </c>
      <c r="E90" s="91">
        <f>SUM(D46:D55)/11</f>
        <v>-2.3072727272727271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90">
        <v>11</v>
      </c>
      <c r="B91" s="70" t="s">
        <v>198</v>
      </c>
      <c r="C91" s="83" t="s">
        <v>200</v>
      </c>
      <c r="D91" s="70" t="str">
        <f t="shared" si="4"/>
        <v>11 - Viticulture-Climat Sec Mediterranéen</v>
      </c>
      <c r="E91" s="91">
        <f>SUM(D46:D56)/12</f>
        <v>-1.9016666666666666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90">
        <v>12</v>
      </c>
      <c r="B92" s="70" t="s">
        <v>198</v>
      </c>
      <c r="C92" s="83" t="s">
        <v>200</v>
      </c>
      <c r="D92" s="70" t="str">
        <f t="shared" si="4"/>
        <v>12 - Viticulture-Climat Sec Mediterranéen</v>
      </c>
      <c r="E92" s="91">
        <f>SUM(D46:D57)/13</f>
        <v>-1.5307692307692307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90">
        <v>13</v>
      </c>
      <c r="B93" s="70" t="s">
        <v>198</v>
      </c>
      <c r="C93" s="83" t="s">
        <v>200</v>
      </c>
      <c r="D93" s="70" t="str">
        <f t="shared" si="4"/>
        <v>13 - Viticulture-Climat Sec Mediterranéen</v>
      </c>
      <c r="E93" s="91">
        <f>SUM(D46:D58)/14</f>
        <v>-1.1871428571428571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90">
        <v>14</v>
      </c>
      <c r="B94" s="70" t="s">
        <v>198</v>
      </c>
      <c r="C94" s="83" t="s">
        <v>200</v>
      </c>
      <c r="D94" s="70" t="str">
        <f t="shared" si="4"/>
        <v>14 - Viticulture-Climat Sec Mediterranéen</v>
      </c>
      <c r="E94" s="91">
        <f>SUM(D46:D59)/15</f>
        <v>-0.86533333333333329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90">
        <v>15</v>
      </c>
      <c r="B95" s="70" t="s">
        <v>198</v>
      </c>
      <c r="C95" s="83" t="s">
        <v>200</v>
      </c>
      <c r="D95" s="70" t="str">
        <f t="shared" si="4"/>
        <v>15 - Viticulture-Climat Sec Mediterranéen</v>
      </c>
      <c r="E95" s="91">
        <f>SUM(D46:D60)/16</f>
        <v>-0.56124999999999992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90">
        <v>16</v>
      </c>
      <c r="B96" s="70" t="s">
        <v>198</v>
      </c>
      <c r="C96" s="83" t="s">
        <v>200</v>
      </c>
      <c r="D96" s="70" t="str">
        <f t="shared" si="4"/>
        <v>16 - Viticulture-Climat Sec Mediterranéen</v>
      </c>
      <c r="E96" s="91">
        <f>SUM(D46:D61)/17</f>
        <v>-0.28823529411764698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90">
        <v>17</v>
      </c>
      <c r="B97" s="70" t="s">
        <v>198</v>
      </c>
      <c r="C97" s="83" t="s">
        <v>200</v>
      </c>
      <c r="D97" s="70" t="str">
        <f t="shared" si="4"/>
        <v>17 - Viticulture-Climat Sec Mediterranéen</v>
      </c>
      <c r="E97" s="91">
        <f>SUM(D46:D62)/18</f>
        <v>-4.1111111111111022E-2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90">
        <v>18</v>
      </c>
      <c r="B98" s="70" t="s">
        <v>198</v>
      </c>
      <c r="C98" s="83" t="s">
        <v>200</v>
      </c>
      <c r="D98" s="70" t="str">
        <f t="shared" si="4"/>
        <v>18 - Viticulture-Climat Sec Mediterranéen</v>
      </c>
      <c r="E98" s="91">
        <f>SUM(D46:D63)/19</f>
        <v>0.18421052631578957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90">
        <v>19</v>
      </c>
      <c r="B99" s="70" t="s">
        <v>198</v>
      </c>
      <c r="C99" s="83" t="s">
        <v>200</v>
      </c>
      <c r="D99" s="70" t="str">
        <f t="shared" si="4"/>
        <v>19 - Viticulture-Climat Sec Mediterranéen</v>
      </c>
      <c r="E99" s="91">
        <f>SUM(D46:D64)/20</f>
        <v>0.39100000000000013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90">
        <v>20</v>
      </c>
      <c r="B100" s="70" t="s">
        <v>198</v>
      </c>
      <c r="C100" s="83" t="s">
        <v>200</v>
      </c>
      <c r="D100" s="70" t="str">
        <f t="shared" si="4"/>
        <v>20 - Viticulture-Climat Sec Mediterranéen</v>
      </c>
      <c r="E100" s="91">
        <f>SUM(D46:D65)/21</f>
        <v>0.58190476190476204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90">
        <v>10</v>
      </c>
      <c r="B101" s="70" t="s">
        <v>33</v>
      </c>
      <c r="C101" s="83" t="s">
        <v>29</v>
      </c>
      <c r="D101" s="70" t="str">
        <f t="shared" si="4"/>
        <v>10 - Grandes cultures-Hors climat Mediterranéen</v>
      </c>
      <c r="E101" s="91">
        <f>SUM(E$46:E$55)/11</f>
        <v>7.4818181818181833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90">
        <v>11</v>
      </c>
      <c r="B102" s="70" t="s">
        <v>33</v>
      </c>
      <c r="C102" s="83" t="s">
        <v>29</v>
      </c>
      <c r="D102" s="70" t="str">
        <f t="shared" si="4"/>
        <v>11 - Grandes cultures-Hors climat Mediterranéen</v>
      </c>
      <c r="E102" s="91">
        <f>SUM(E$46:E$56)/12</f>
        <v>8.0166666666666675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90">
        <v>12</v>
      </c>
      <c r="B103" s="70" t="s">
        <v>33</v>
      </c>
      <c r="C103" s="83" t="s">
        <v>29</v>
      </c>
      <c r="D103" s="70" t="str">
        <f t="shared" si="4"/>
        <v>12 - Grandes cultures-Hors climat Mediterranéen</v>
      </c>
      <c r="E103" s="91">
        <f>SUM(E$46:E$57)/(A103+1)</f>
        <v>8.5000000000000018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90">
        <v>13</v>
      </c>
      <c r="B104" s="70" t="s">
        <v>33</v>
      </c>
      <c r="C104" s="83" t="s">
        <v>29</v>
      </c>
      <c r="D104" s="70" t="str">
        <f t="shared" si="4"/>
        <v>13 - Grandes cultures-Hors climat Mediterranéen</v>
      </c>
      <c r="E104" s="91">
        <f>SUM(E$46:E$58)/14</f>
        <v>8.9428571428571448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90">
        <v>14</v>
      </c>
      <c r="B105" s="70" t="s">
        <v>33</v>
      </c>
      <c r="C105" s="83" t="s">
        <v>29</v>
      </c>
      <c r="D105" s="70" t="str">
        <f t="shared" si="4"/>
        <v>14 - Grandes cultures-Hors climat Mediterranéen</v>
      </c>
      <c r="E105" s="91">
        <f>SUM(E$46:E$59)/15</f>
        <v>9.3533333333333335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90">
        <v>15</v>
      </c>
      <c r="B106" s="70" t="s">
        <v>33</v>
      </c>
      <c r="C106" s="83" t="s">
        <v>29</v>
      </c>
      <c r="D106" s="70" t="str">
        <f t="shared" si="4"/>
        <v>15 - Grandes cultures-Hors climat Mediterranéen</v>
      </c>
      <c r="E106" s="91">
        <f>SUM(E$46:E$60)/16</f>
        <v>9.7437500000000004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90">
        <v>16</v>
      </c>
      <c r="B107" s="70" t="s">
        <v>33</v>
      </c>
      <c r="C107" s="83" t="s">
        <v>29</v>
      </c>
      <c r="D107" s="70" t="str">
        <f t="shared" si="4"/>
        <v>16 - Grandes cultures-Hors climat Mediterranéen</v>
      </c>
      <c r="E107" s="91">
        <f>SUM(E$46:E$61)/17</f>
        <v>10.088235294117647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90">
        <v>17</v>
      </c>
      <c r="B108" s="70" t="s">
        <v>33</v>
      </c>
      <c r="C108" s="83" t="s">
        <v>29</v>
      </c>
      <c r="D108" s="70" t="str">
        <f t="shared" si="4"/>
        <v>17 - Grandes cultures-Hors climat Mediterranéen</v>
      </c>
      <c r="E108" s="91">
        <f>SUM(E$46:E$62)/18</f>
        <v>10.399999999999999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90">
        <v>18</v>
      </c>
      <c r="B109" s="70" t="s">
        <v>33</v>
      </c>
      <c r="C109" s="83" t="s">
        <v>29</v>
      </c>
      <c r="D109" s="70" t="str">
        <f t="shared" si="4"/>
        <v>18 - Grandes cultures-Hors climat Mediterranéen</v>
      </c>
      <c r="E109" s="91">
        <f>SUM(E$46:E$63)/19</f>
        <v>10.684210526315789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90">
        <v>19</v>
      </c>
      <c r="B110" s="70" t="s">
        <v>33</v>
      </c>
      <c r="C110" s="83" t="s">
        <v>29</v>
      </c>
      <c r="D110" s="70" t="str">
        <f t="shared" si="4"/>
        <v>19 - Grandes cultures-Hors climat Mediterranéen</v>
      </c>
      <c r="E110" s="91">
        <f>SUM(E$46:E$64)/20</f>
        <v>10.945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90">
        <v>20</v>
      </c>
      <c r="B111" s="70" t="s">
        <v>33</v>
      </c>
      <c r="C111" s="83" t="s">
        <v>29</v>
      </c>
      <c r="D111" s="70" t="str">
        <f t="shared" si="4"/>
        <v>20 - Grandes cultures-Hors climat Mediterranéen</v>
      </c>
      <c r="E111" s="91">
        <f>SUM(E$46:E$65)/21</f>
        <v>11.185714285714287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90">
        <v>10</v>
      </c>
      <c r="B112" s="70" t="s">
        <v>197</v>
      </c>
      <c r="C112" s="83" t="s">
        <v>29</v>
      </c>
      <c r="D112" s="70" t="str">
        <f t="shared" si="4"/>
        <v>10 - Prairies permanentes-Hors climat Mediterranéen</v>
      </c>
      <c r="E112" s="91">
        <f>SUM(E$46:E$55)/11</f>
        <v>7.4818181818181833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90">
        <v>11</v>
      </c>
      <c r="B113" s="70" t="s">
        <v>197</v>
      </c>
      <c r="C113" s="83" t="s">
        <v>29</v>
      </c>
      <c r="D113" s="70" t="str">
        <f t="shared" si="4"/>
        <v>11 - Prairies permanentes-Hors climat Mediterranéen</v>
      </c>
      <c r="E113" s="91">
        <f>SUM(E$46:E$56)/12</f>
        <v>8.0166666666666675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90">
        <v>12</v>
      </c>
      <c r="B114" s="70" t="s">
        <v>197</v>
      </c>
      <c r="C114" s="83" t="s">
        <v>29</v>
      </c>
      <c r="D114" s="70" t="str">
        <f t="shared" si="4"/>
        <v>12 - Prairies permanentes-Hors climat Mediterranéen</v>
      </c>
      <c r="E114" s="91">
        <f>SUM(E$46:E$57)/(A114+1)</f>
        <v>8.5000000000000018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90">
        <v>13</v>
      </c>
      <c r="B115" s="70" t="s">
        <v>197</v>
      </c>
      <c r="C115" s="83" t="s">
        <v>29</v>
      </c>
      <c r="D115" s="70" t="str">
        <f t="shared" si="4"/>
        <v>13 - Prairies permanentes-Hors climat Mediterranéen</v>
      </c>
      <c r="E115" s="91">
        <f>SUM(E$46:E$58)/14</f>
        <v>8.9428571428571448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90">
        <v>14</v>
      </c>
      <c r="B116" s="70" t="s">
        <v>197</v>
      </c>
      <c r="C116" s="83" t="s">
        <v>29</v>
      </c>
      <c r="D116" s="70" t="str">
        <f t="shared" si="4"/>
        <v>14 - Prairies permanentes-Hors climat Mediterranéen</v>
      </c>
      <c r="E116" s="91">
        <f>SUM(E$46:E$59)/15</f>
        <v>9.3533333333333335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90">
        <v>15</v>
      </c>
      <c r="B117" s="70" t="s">
        <v>197</v>
      </c>
      <c r="C117" s="83" t="s">
        <v>29</v>
      </c>
      <c r="D117" s="70" t="str">
        <f t="shared" si="4"/>
        <v>15 - Prairies permanentes-Hors climat Mediterranéen</v>
      </c>
      <c r="E117" s="91">
        <f>SUM(E$46:E$60)/16</f>
        <v>9.7437500000000004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90">
        <v>16</v>
      </c>
      <c r="B118" s="70" t="s">
        <v>197</v>
      </c>
      <c r="C118" s="83" t="s">
        <v>29</v>
      </c>
      <c r="D118" s="70" t="str">
        <f t="shared" si="4"/>
        <v>16 - Prairies permanentes-Hors climat Mediterranéen</v>
      </c>
      <c r="E118" s="91">
        <f>SUM(E$46:E$61)/17</f>
        <v>10.088235294117647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90">
        <v>17</v>
      </c>
      <c r="B119" s="70" t="s">
        <v>197</v>
      </c>
      <c r="C119" s="83" t="s">
        <v>29</v>
      </c>
      <c r="D119" s="70" t="str">
        <f t="shared" si="4"/>
        <v>17 - Prairies permanentes-Hors climat Mediterranéen</v>
      </c>
      <c r="E119" s="91">
        <f>SUM(E$46:E$62)/18</f>
        <v>10.399999999999999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90">
        <v>18</v>
      </c>
      <c r="B120" s="70" t="s">
        <v>197</v>
      </c>
      <c r="C120" s="83" t="s">
        <v>29</v>
      </c>
      <c r="D120" s="70" t="str">
        <f t="shared" si="4"/>
        <v>18 - Prairies permanentes-Hors climat Mediterranéen</v>
      </c>
      <c r="E120" s="91">
        <f>SUM(E$46:E$63)/19</f>
        <v>10.684210526315789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90">
        <v>19</v>
      </c>
      <c r="B121" s="70" t="s">
        <v>197</v>
      </c>
      <c r="C121" s="83" t="s">
        <v>29</v>
      </c>
      <c r="D121" s="70" t="str">
        <f t="shared" si="4"/>
        <v>19 - Prairies permanentes-Hors climat Mediterranéen</v>
      </c>
      <c r="E121" s="91">
        <f>SUM(E$46:E$64)/20</f>
        <v>10.945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90">
        <v>20</v>
      </c>
      <c r="B122" s="70" t="s">
        <v>197</v>
      </c>
      <c r="C122" s="83" t="s">
        <v>29</v>
      </c>
      <c r="D122" s="70" t="str">
        <f t="shared" si="4"/>
        <v>20 - Prairies permanentes-Hors climat Mediterranéen</v>
      </c>
      <c r="E122" s="91">
        <f>SUM(E$46:E$65)/21</f>
        <v>11.185714285714287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90">
        <v>10</v>
      </c>
      <c r="B123" s="70" t="s">
        <v>198</v>
      </c>
      <c r="C123" s="83" t="s">
        <v>29</v>
      </c>
      <c r="D123" s="70" t="str">
        <f t="shared" si="4"/>
        <v>10 - Viticulture-Hors climat Mediterranéen</v>
      </c>
      <c r="E123" s="91">
        <f>SUM(G$46:G$55)/11</f>
        <v>2.9363636363636361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90">
        <v>11</v>
      </c>
      <c r="B124" s="70" t="s">
        <v>198</v>
      </c>
      <c r="C124" s="83" t="s">
        <v>29</v>
      </c>
      <c r="D124" s="70" t="str">
        <f t="shared" si="4"/>
        <v>11 - Viticulture-Hors climat Mediterranéen</v>
      </c>
      <c r="E124" s="91">
        <f>SUM(G$46:G$56)/12</f>
        <v>3.4333333333333331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90">
        <v>12</v>
      </c>
      <c r="B125" s="70" t="s">
        <v>198</v>
      </c>
      <c r="C125" s="83" t="s">
        <v>29</v>
      </c>
      <c r="D125" s="70" t="str">
        <f t="shared" si="4"/>
        <v>12 - Viticulture-Hors climat Mediterranéen</v>
      </c>
      <c r="E125" s="91">
        <f>SUM(G$46:G$57)/(A125+1)</f>
        <v>3.8846153846153846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90">
        <v>13</v>
      </c>
      <c r="B126" s="70" t="s">
        <v>198</v>
      </c>
      <c r="C126" s="83" t="s">
        <v>29</v>
      </c>
      <c r="D126" s="70" t="str">
        <f t="shared" si="4"/>
        <v>13 - Viticulture-Hors climat Mediterranéen</v>
      </c>
      <c r="E126" s="91">
        <f>SUM(G$46:G$58)/14</f>
        <v>4.3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90">
        <v>14</v>
      </c>
      <c r="B127" s="70" t="s">
        <v>198</v>
      </c>
      <c r="C127" s="83" t="s">
        <v>29</v>
      </c>
      <c r="D127" s="70" t="str">
        <f t="shared" si="4"/>
        <v>14 - Viticulture-Hors climat Mediterranéen</v>
      </c>
      <c r="E127" s="91">
        <f>SUM(G$46:G$59)/15</f>
        <v>4.6866666666666665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90">
        <v>15</v>
      </c>
      <c r="B128" s="70" t="s">
        <v>198</v>
      </c>
      <c r="C128" s="83" t="s">
        <v>29</v>
      </c>
      <c r="D128" s="70" t="str">
        <f t="shared" si="4"/>
        <v>15 - Viticulture-Hors climat Mediterranéen</v>
      </c>
      <c r="E128" s="91">
        <f>SUM(G$46:G$60)/16</f>
        <v>5.0562499999999995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90">
        <v>16</v>
      </c>
      <c r="B129" s="70" t="s">
        <v>198</v>
      </c>
      <c r="C129" s="83" t="s">
        <v>29</v>
      </c>
      <c r="D129" s="70" t="str">
        <f t="shared" si="4"/>
        <v>16 - Viticulture-Hors climat Mediterranéen</v>
      </c>
      <c r="E129" s="91">
        <f>SUM(G$46:G$61)/17</f>
        <v>5.3823529411764701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90">
        <v>17</v>
      </c>
      <c r="B130" s="70" t="s">
        <v>198</v>
      </c>
      <c r="C130" s="83" t="s">
        <v>29</v>
      </c>
      <c r="D130" s="70" t="str">
        <f t="shared" si="4"/>
        <v>17 - Viticulture-Hors climat Mediterranéen</v>
      </c>
      <c r="E130" s="91">
        <f>SUM(G$46:G$62)/18</f>
        <v>5.6777777777777771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90">
        <v>18</v>
      </c>
      <c r="B131" s="70" t="s">
        <v>198</v>
      </c>
      <c r="C131" s="83" t="s">
        <v>29</v>
      </c>
      <c r="D131" s="70" t="str">
        <f t="shared" si="4"/>
        <v>18 - Viticulture-Hors climat Mediterranéen</v>
      </c>
      <c r="E131" s="91">
        <f>SUM(G$46:G$63)/19</f>
        <v>5.947368421052631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90">
        <v>19</v>
      </c>
      <c r="B132" s="70" t="s">
        <v>198</v>
      </c>
      <c r="C132" s="83" t="s">
        <v>29</v>
      </c>
      <c r="D132" s="70" t="str">
        <f t="shared" si="4"/>
        <v>19 - Viticulture-Hors climat Mediterranéen</v>
      </c>
      <c r="E132" s="91">
        <f>SUM(G$46:G$64)/20</f>
        <v>6.1949999999999994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90">
        <v>20</v>
      </c>
      <c r="B133" s="70" t="s">
        <v>198</v>
      </c>
      <c r="C133" s="83" t="s">
        <v>29</v>
      </c>
      <c r="D133" s="70" t="str">
        <f t="shared" si="4"/>
        <v>20 - Viticulture-Hors climat Mediterranéen</v>
      </c>
      <c r="E133" s="91">
        <f>SUM(G$46:G$65)/21</f>
        <v>6.4238095238095223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92"/>
      <c r="B134" s="2"/>
      <c r="C134" s="7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92"/>
      <c r="B135" s="2"/>
      <c r="C135" s="7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89" t="s">
        <v>237</v>
      </c>
      <c r="B136" s="89" t="s">
        <v>238</v>
      </c>
      <c r="C136" s="7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90" t="s">
        <v>239</v>
      </c>
      <c r="B137" s="93">
        <v>3023.6659187519999</v>
      </c>
      <c r="C137" s="7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90" t="s">
        <v>240</v>
      </c>
      <c r="B138" s="93">
        <v>3462.3325584952004</v>
      </c>
      <c r="C138" s="7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90" t="s">
        <v>241</v>
      </c>
      <c r="B139" s="93">
        <v>1051.9666372200002</v>
      </c>
      <c r="C139" s="7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90" t="s">
        <v>242</v>
      </c>
      <c r="B140" s="93">
        <v>680.11092420000011</v>
      </c>
      <c r="C140" s="7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90" t="s">
        <v>243</v>
      </c>
      <c r="B141" s="93">
        <v>3969.2165201334001</v>
      </c>
      <c r="C141" s="7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90" t="s">
        <v>39</v>
      </c>
      <c r="B142" s="93">
        <v>3120.9100082900004</v>
      </c>
      <c r="C142" s="7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90" t="s">
        <v>244</v>
      </c>
      <c r="B143" s="93">
        <v>3118.3572501499998</v>
      </c>
      <c r="C143" s="7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90" t="s">
        <v>245</v>
      </c>
      <c r="B144" s="93">
        <v>2602.140331525</v>
      </c>
      <c r="C144" s="7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90" t="s">
        <v>246</v>
      </c>
      <c r="B145" s="93">
        <v>4557.9951523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90" t="s">
        <v>37</v>
      </c>
      <c r="B146" s="93">
        <v>3047.448611238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90" t="s">
        <v>247</v>
      </c>
      <c r="B147" s="93">
        <v>740.69039574999999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90" t="s">
        <v>248</v>
      </c>
      <c r="B148" s="93">
        <v>897.80714540400004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90" t="s">
        <v>249</v>
      </c>
      <c r="B149" s="93">
        <v>883.16209499700005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90" t="s">
        <v>250</v>
      </c>
      <c r="B150" s="93">
        <v>1019.94225066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90" t="s">
        <v>251</v>
      </c>
      <c r="B151" s="93">
        <v>889.46139315170001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90" t="s">
        <v>252</v>
      </c>
      <c r="B152" s="93">
        <v>752.72081800977992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90" t="s">
        <v>253</v>
      </c>
      <c r="B153" s="93">
        <v>946.9611047855999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90" t="s">
        <v>254</v>
      </c>
      <c r="B154" s="93">
        <v>1074.1029483240002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90" t="s">
        <v>255</v>
      </c>
      <c r="B155" s="93">
        <v>1420.210775454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90" t="s">
        <v>256</v>
      </c>
      <c r="B156" s="93">
        <v>774.61553566148007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90" t="s">
        <v>257</v>
      </c>
      <c r="B157" s="93">
        <v>765.12397890409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90" t="s">
        <v>258</v>
      </c>
      <c r="B158" s="93">
        <v>1001.1849360304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90" t="s">
        <v>259</v>
      </c>
      <c r="B159" s="93">
        <v>1279.8013208596001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90" t="s">
        <v>260</v>
      </c>
      <c r="B160" s="93">
        <v>723.80564597088994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90" t="s">
        <v>261</v>
      </c>
      <c r="B161" s="93">
        <v>1232.6787939830401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90" t="s">
        <v>262</v>
      </c>
      <c r="B162" s="93">
        <v>1788.5815223822999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90" t="s">
        <v>263</v>
      </c>
      <c r="B163" s="93">
        <v>626.40579813411489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90" t="s">
        <v>264</v>
      </c>
      <c r="B164" s="93">
        <v>1886.3492469093001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90" t="s">
        <v>265</v>
      </c>
      <c r="B165" s="93">
        <v>1245.7052980295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90" t="s">
        <v>266</v>
      </c>
      <c r="B166" s="93">
        <v>1283.4653141729998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90" t="s">
        <v>267</v>
      </c>
      <c r="B167" s="93">
        <v>1487.4535399215001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90" t="s">
        <v>268</v>
      </c>
      <c r="B168" s="93">
        <v>1457.6311863044998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90" t="s">
        <v>269</v>
      </c>
      <c r="B169" s="93">
        <v>1441.472337333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90" t="s">
        <v>35</v>
      </c>
      <c r="B170" s="93">
        <v>2444.8047991999997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90" t="s">
        <v>270</v>
      </c>
      <c r="B171" s="93">
        <v>3601.9636359103997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90" t="s">
        <v>271</v>
      </c>
      <c r="B172" s="93">
        <v>2724.2246671013995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90" t="s">
        <v>272</v>
      </c>
      <c r="B173" s="93">
        <v>2678.1548398122004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90" t="s">
        <v>273</v>
      </c>
      <c r="B174" s="93">
        <v>925.39090928000007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90" t="s">
        <v>274</v>
      </c>
      <c r="B175" s="93">
        <v>832.84025582999993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90" t="s">
        <v>275</v>
      </c>
      <c r="B176" s="93">
        <v>3847.6402921410004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90" t="s">
        <v>276</v>
      </c>
      <c r="B177" s="93">
        <v>3849.2868810089999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90" t="s">
        <v>277</v>
      </c>
      <c r="B178" s="93">
        <v>3453.8088875220001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90" t="s">
        <v>278</v>
      </c>
      <c r="B179" s="93">
        <v>3391.1981881470001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90" t="s">
        <v>279</v>
      </c>
      <c r="B180" s="93">
        <v>3759.2860042549196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90" t="s">
        <v>280</v>
      </c>
      <c r="B181" s="93">
        <v>2658.9292517203125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90" t="s">
        <v>281</v>
      </c>
      <c r="B182" s="93">
        <v>4303.8993272226562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90" t="s">
        <v>282</v>
      </c>
      <c r="B183" s="93">
        <v>4054.8428879156254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90" t="s">
        <v>283</v>
      </c>
      <c r="B184" s="93">
        <v>3165.3350675625002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90" t="s">
        <v>284</v>
      </c>
      <c r="B185" s="93">
        <v>21727.520374600001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90" t="s">
        <v>285</v>
      </c>
      <c r="B186" s="93">
        <v>763729.18826415588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90" t="s">
        <v>286</v>
      </c>
      <c r="B187" s="93">
        <v>28201.949841089998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90" t="s">
        <v>287</v>
      </c>
      <c r="B188" s="93">
        <v>745475.31653372501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90" t="s">
        <v>288</v>
      </c>
      <c r="B189" s="93">
        <v>1313.2063369499999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90" t="s">
        <v>289</v>
      </c>
      <c r="B190" s="93">
        <v>864.20333642999981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90" t="s">
        <v>290</v>
      </c>
      <c r="B191" s="93">
        <v>2605.9006745199999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7" t="s">
        <v>237</v>
      </c>
      <c r="B193" s="94" t="s">
        <v>238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 t="s">
        <v>291</v>
      </c>
      <c r="B194" s="95">
        <v>5895.9797374104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 t="s">
        <v>292</v>
      </c>
      <c r="B195" s="95">
        <v>2576.2094178333336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 t="s">
        <v>293</v>
      </c>
      <c r="B196" s="95">
        <v>4062.9965796000001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 t="s">
        <v>294</v>
      </c>
      <c r="B197" s="95">
        <v>4011.4789508640006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 t="s">
        <v>295</v>
      </c>
      <c r="B198" s="95">
        <v>2682.7232290992001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 t="s">
        <v>296</v>
      </c>
      <c r="B199" s="95">
        <v>2548.7495763313045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 t="s">
        <v>24</v>
      </c>
      <c r="B200" s="95">
        <v>3366.7024762240003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 t="s">
        <v>297</v>
      </c>
      <c r="B201" s="95">
        <v>3370.0393371360001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 t="s">
        <v>298</v>
      </c>
      <c r="B202" s="95">
        <v>3392.0923222031997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 t="s">
        <v>299</v>
      </c>
      <c r="B203" s="95">
        <v>3141.3860726075795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7" t="s">
        <v>300</v>
      </c>
      <c r="B205" s="7" t="s">
        <v>195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 t="s">
        <v>301</v>
      </c>
      <c r="B206" s="2">
        <v>1.6E-2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 t="s">
        <v>302</v>
      </c>
      <c r="B207" s="2">
        <v>6.0000000000000001E-3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 t="s">
        <v>303</v>
      </c>
      <c r="B208" s="96">
        <v>0.01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 t="s">
        <v>304</v>
      </c>
      <c r="B209" s="96">
        <v>1.0999999999999999E-2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 t="s">
        <v>305</v>
      </c>
      <c r="B210" s="96">
        <v>5.7000000000000002E-2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 t="s">
        <v>306</v>
      </c>
      <c r="B211" s="96">
        <v>4.51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 t="s">
        <v>307</v>
      </c>
      <c r="B212" s="96">
        <v>1.45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 t="s">
        <v>308</v>
      </c>
      <c r="B213" s="96">
        <v>0.71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97" t="s">
        <v>309</v>
      </c>
      <c r="B214" s="96">
        <v>6.0090000000000003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97" t="s">
        <v>310</v>
      </c>
      <c r="B215" s="96">
        <v>8.9849999999999994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97" t="s">
        <v>311</v>
      </c>
      <c r="B216" s="96">
        <v>25.134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98" t="s">
        <v>312</v>
      </c>
      <c r="B217" s="96">
        <v>8.4779999999999998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9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 t="s">
        <v>313</v>
      </c>
      <c r="B219" s="2">
        <v>0.11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 t="s">
        <v>314</v>
      </c>
      <c r="B220" s="2">
        <v>0.21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100" t="s">
        <v>315</v>
      </c>
      <c r="B221" s="2">
        <v>0.24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7" t="s">
        <v>316</v>
      </c>
      <c r="B223" s="7" t="s">
        <v>317</v>
      </c>
      <c r="C223" s="7" t="s">
        <v>318</v>
      </c>
      <c r="D223" s="7" t="s">
        <v>319</v>
      </c>
      <c r="E223" s="7" t="s">
        <v>320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 t="s">
        <v>121</v>
      </c>
      <c r="B224" s="2" t="s">
        <v>321</v>
      </c>
      <c r="C224" s="2">
        <f t="shared" ref="C224:C229" si="5">D224+E224</f>
        <v>3.0680000000000001</v>
      </c>
      <c r="D224" s="2">
        <v>2.6459999999999999</v>
      </c>
      <c r="E224" s="2">
        <v>0.42199999999999999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 t="s">
        <v>126</v>
      </c>
      <c r="B225" s="2" t="s">
        <v>321</v>
      </c>
      <c r="C225" s="2">
        <f t="shared" si="5"/>
        <v>3.0709999999999997</v>
      </c>
      <c r="D225" s="2">
        <v>2.6459999999999999</v>
      </c>
      <c r="E225" s="2">
        <v>0.42499999999999999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 t="s">
        <v>322</v>
      </c>
      <c r="B226" s="2" t="s">
        <v>321</v>
      </c>
      <c r="C226" s="2">
        <f t="shared" si="5"/>
        <v>3.286</v>
      </c>
      <c r="D226" s="2">
        <v>2.698</v>
      </c>
      <c r="E226" s="2">
        <v>0.58799999999999997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 t="s">
        <v>125</v>
      </c>
      <c r="B227" s="2" t="s">
        <v>323</v>
      </c>
      <c r="C227" s="2">
        <f t="shared" si="5"/>
        <v>3.4169999999999998</v>
      </c>
      <c r="D227" s="2">
        <v>2.827</v>
      </c>
      <c r="E227" s="2">
        <v>0.59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 t="s">
        <v>125</v>
      </c>
      <c r="B228" s="2" t="s">
        <v>324</v>
      </c>
      <c r="C228" s="2">
        <f t="shared" si="5"/>
        <v>0.24819999999999998</v>
      </c>
      <c r="D228" s="2">
        <v>0.20519999999999999</v>
      </c>
      <c r="E228" s="2">
        <v>4.2999999999999997E-2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 t="s">
        <v>325</v>
      </c>
      <c r="B229" s="2" t="s">
        <v>323</v>
      </c>
      <c r="C229" s="2">
        <f t="shared" si="5"/>
        <v>3.5430000000000001</v>
      </c>
      <c r="D229" s="2">
        <v>2.944</v>
      </c>
      <c r="E229" s="2">
        <v>0.59899999999999998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 t="s">
        <v>326</v>
      </c>
      <c r="B231" s="2">
        <v>265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2">
      <c r="A234" s="70"/>
      <c r="B234" s="70" t="s">
        <v>327</v>
      </c>
      <c r="C234" s="70"/>
      <c r="D234" s="70" t="s">
        <v>328</v>
      </c>
      <c r="E234" s="7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70" t="s">
        <v>329</v>
      </c>
      <c r="B235" s="70" t="s">
        <v>330</v>
      </c>
      <c r="C235" s="70" t="s">
        <v>331</v>
      </c>
      <c r="D235" s="70" t="s">
        <v>332</v>
      </c>
      <c r="E235" s="70" t="s">
        <v>331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70" t="s">
        <v>33</v>
      </c>
      <c r="B236" s="70">
        <v>0</v>
      </c>
      <c r="C236" s="70" t="s">
        <v>333</v>
      </c>
      <c r="D236" s="70">
        <v>0</v>
      </c>
      <c r="E236" s="70" t="s">
        <v>333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70" t="s">
        <v>197</v>
      </c>
      <c r="B237" s="70">
        <v>0</v>
      </c>
      <c r="C237" s="70" t="s">
        <v>333</v>
      </c>
      <c r="D237" s="70">
        <v>0</v>
      </c>
      <c r="E237" s="70" t="s">
        <v>333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70" t="s">
        <v>198</v>
      </c>
      <c r="B238" s="70">
        <v>5</v>
      </c>
      <c r="C238" s="70" t="s">
        <v>334</v>
      </c>
      <c r="D238" s="70">
        <v>9.9</v>
      </c>
      <c r="E238" s="70" t="s">
        <v>335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70" t="s">
        <v>336</v>
      </c>
      <c r="B239" s="70">
        <v>16</v>
      </c>
      <c r="C239" s="70" t="s">
        <v>334</v>
      </c>
      <c r="D239" s="70">
        <v>14.3</v>
      </c>
      <c r="E239" s="70" t="s">
        <v>335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2">
      <c r="A241" s="70"/>
      <c r="B241" s="70" t="s">
        <v>327</v>
      </c>
      <c r="C241" s="70" t="s">
        <v>328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25">
      <c r="A242" s="70" t="s">
        <v>337</v>
      </c>
      <c r="B242" s="70" t="s">
        <v>338</v>
      </c>
      <c r="C242" s="70" t="s">
        <v>339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70">
        <v>1</v>
      </c>
      <c r="B243" s="70">
        <v>2.7</v>
      </c>
      <c r="C243" s="70">
        <v>2.4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70">
        <v>2</v>
      </c>
      <c r="B244" s="70">
        <v>4.2</v>
      </c>
      <c r="C244" s="70">
        <v>3.72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70">
        <v>3</v>
      </c>
      <c r="B245" s="70">
        <v>5.6</v>
      </c>
      <c r="C245" s="70">
        <v>5.04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70">
        <v>4</v>
      </c>
      <c r="B246" s="70">
        <v>7.1</v>
      </c>
      <c r="C246" s="70">
        <v>6.36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70">
        <v>5</v>
      </c>
      <c r="B247" s="70">
        <v>7.4</v>
      </c>
      <c r="C247" s="70">
        <v>6.6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70">
        <v>6</v>
      </c>
      <c r="B248" s="70">
        <v>8.6</v>
      </c>
      <c r="C248" s="70">
        <v>7.7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70">
        <v>7</v>
      </c>
      <c r="B249" s="70">
        <v>9.8000000000000007</v>
      </c>
      <c r="C249" s="70">
        <v>8.8000000000000007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70">
        <v>8</v>
      </c>
      <c r="B250" s="70">
        <v>11.1</v>
      </c>
      <c r="C250" s="70">
        <v>9.9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70">
        <v>9</v>
      </c>
      <c r="B251" s="70">
        <v>12.3</v>
      </c>
      <c r="C251" s="70">
        <v>11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70">
        <v>10</v>
      </c>
      <c r="B252" s="70">
        <v>13.5</v>
      </c>
      <c r="C252" s="70">
        <v>12.1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70">
        <v>11</v>
      </c>
      <c r="B253" s="70">
        <v>13.9</v>
      </c>
      <c r="C253" s="70">
        <v>12.46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70">
        <v>12</v>
      </c>
      <c r="B254" s="70">
        <v>14.3</v>
      </c>
      <c r="C254" s="70">
        <v>12.82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70">
        <v>13</v>
      </c>
      <c r="B255" s="70">
        <v>14.7</v>
      </c>
      <c r="C255" s="70">
        <v>13.18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70">
        <v>14</v>
      </c>
      <c r="B256" s="70">
        <v>15.1</v>
      </c>
      <c r="C256" s="70">
        <v>13.54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70">
        <v>15</v>
      </c>
      <c r="B257" s="70">
        <v>15.6</v>
      </c>
      <c r="C257" s="70">
        <v>13.9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70">
        <v>16</v>
      </c>
      <c r="B258" s="70">
        <v>15.6</v>
      </c>
      <c r="C258" s="70">
        <v>13.98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70">
        <v>17</v>
      </c>
      <c r="B259" s="70">
        <v>15.7</v>
      </c>
      <c r="C259" s="70">
        <v>14.06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70">
        <v>18</v>
      </c>
      <c r="B260" s="70">
        <v>15.8</v>
      </c>
      <c r="C260" s="70">
        <v>14.14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70">
        <v>19</v>
      </c>
      <c r="B261" s="70">
        <v>15.9</v>
      </c>
      <c r="C261" s="70">
        <v>14.22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70">
        <v>20</v>
      </c>
      <c r="B262" s="70">
        <v>16</v>
      </c>
      <c r="C262" s="70">
        <v>14.3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customHeight="1" x14ac:dyDescent="0.2">
      <c r="A264" s="70" t="s">
        <v>32</v>
      </c>
      <c r="B264" s="70" t="s">
        <v>340</v>
      </c>
      <c r="C264" s="70" t="s">
        <v>341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70" t="s">
        <v>198</v>
      </c>
      <c r="B265" s="70">
        <v>34.299999999999997</v>
      </c>
      <c r="C265" s="70">
        <v>34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70" t="s">
        <v>197</v>
      </c>
      <c r="B266" s="70">
        <v>49.5</v>
      </c>
      <c r="C266" s="70">
        <v>85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70" t="s">
        <v>33</v>
      </c>
      <c r="B267" s="70">
        <v>43.1</v>
      </c>
      <c r="C267" s="70">
        <v>52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70" t="s">
        <v>342</v>
      </c>
      <c r="B268" s="70" t="s">
        <v>343</v>
      </c>
      <c r="C268" s="70" t="s">
        <v>344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customHeight="1" x14ac:dyDescent="0.2">
      <c r="A270" s="70" t="s">
        <v>32</v>
      </c>
      <c r="B270" s="70" t="s">
        <v>345</v>
      </c>
      <c r="C270" s="70" t="s">
        <v>341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70" t="s">
        <v>336</v>
      </c>
      <c r="B271" s="70">
        <v>41.5</v>
      </c>
      <c r="C271" s="70">
        <v>47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70" t="s">
        <v>342</v>
      </c>
      <c r="B272" s="70" t="s">
        <v>343</v>
      </c>
      <c r="C272" s="70" t="s">
        <v>344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70" t="s">
        <v>346</v>
      </c>
      <c r="B275" s="70">
        <v>0.49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70" t="s">
        <v>347</v>
      </c>
      <c r="B277" s="70">
        <v>277.77800000000002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44:D44"/>
    <mergeCell ref="E44:G44"/>
  </mergeCells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2024-01-23T13:51:36Z</dcterms:modified>
</cp:coreProperties>
</file>