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ianneyf\Desktop\LAMAZIERE BASSE\"/>
    </mc:Choice>
  </mc:AlternateContent>
  <xr:revisionPtr revIDLastSave="0" documentId="13_ncr:1_{96978B25-7D9A-428D-9E3A-373A0DA13373}" xr6:coauthVersionLast="47" xr6:coauthVersionMax="47" xr10:uidLastSave="{00000000-0000-0000-0000-000000000000}"/>
  <bookViews>
    <workbookView xWindow="-108" yWindow="-108" windowWidth="23256" windowHeight="1245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E48" i="6"/>
  <c r="E17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X14" i="2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I43" i="2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W155" i="2" l="1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C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EY159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A163" i="2"/>
  <c r="HG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H164" i="2" l="1"/>
  <c r="HG164" i="2"/>
  <c r="EX164" i="2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HH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HI175" i="2"/>
  <c r="EA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G178" i="2"/>
  <c r="FQ178" i="2"/>
  <c r="EB178" i="2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HH179" i="2" l="1"/>
  <c r="HG179" i="2"/>
  <c r="EV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D185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A192" i="2"/>
  <c r="EW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HI193" i="2" l="1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EW202" i="2"/>
  <c r="FR202" i="2"/>
  <c r="HH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92" i="2" a="1"/>
  <c r="AH92" i="2" s="1"/>
  <c r="AH163" i="2" a="1"/>
  <c r="AH163" i="2" s="1"/>
  <c r="AH199" i="2" a="1"/>
  <c r="AH199" i="2" s="1"/>
  <c r="AH166" i="2" a="1"/>
  <c r="AH166" i="2" s="1"/>
  <c r="AH19" i="2" a="1"/>
  <c r="AH19" i="2" s="1"/>
  <c r="AH90" i="2" a="1"/>
  <c r="AH90" i="2" s="1"/>
  <c r="HH203" i="2"/>
  <c r="BP203" i="2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0" i="2" l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<sst xmlns="http://schemas.openxmlformats.org/spreadsheetml/2006/main" count="1171" uniqueCount="324">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</sst>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1.982352863799117</c:v>
                </c:pt>
                <c:pt idx="2">
                  <c:v>2.7041057308945007</c:v>
                </c:pt>
                <c:pt idx="3">
                  <c:v>3.6897598621626138</c:v>
                </c:pt>
                <c:pt idx="4">
                  <c:v>5.0361933713659557</c:v>
                </c:pt>
                <c:pt idx="5">
                  <c:v>6.8759805040375204</c:v>
                </c:pt>
                <c:pt idx="6">
                  <c:v>9.3905895478669326</c:v>
                </c:pt>
                <c:pt idx="7">
                  <c:v>12.828475768451668</c:v>
                </c:pt>
                <c:pt idx="8">
                  <c:v>17.529890118883106</c:v>
                </c:pt>
                <c:pt idx="9">
                  <c:v>23.960903477957146</c:v>
                </c:pt>
                <c:pt idx="10">
                  <c:v>32.760078992205301</c:v>
                </c:pt>
                <c:pt idx="11">
                  <c:v>44.802506807548788</c:v>
                </c:pt>
                <c:pt idx="12">
                  <c:v>61.287676834867518</c:v>
                </c:pt>
                <c:pt idx="13">
                  <c:v>83.860086052946073</c:v>
                </c:pt>
                <c:pt idx="14">
                  <c:v>114.7748046235494</c:v>
                </c:pt>
                <c:pt idx="15">
                  <c:v>157.12480016409424</c:v>
                </c:pt>
                <c:pt idx="16">
                  <c:v>184.29256128746965</c:v>
                </c:pt>
                <c:pt idx="17">
                  <c:v>211.36660740261004</c:v>
                </c:pt>
                <c:pt idx="18">
                  <c:v>238.36063977122194</c:v>
                </c:pt>
                <c:pt idx="19">
                  <c:v>265.2849948651608</c:v>
                </c:pt>
                <c:pt idx="20">
                  <c:v>292.14773647529722</c:v>
                </c:pt>
                <c:pt idx="21">
                  <c:v>324.21508944014391</c:v>
                </c:pt>
                <c:pt idx="22">
                  <c:v>356.21233858420231</c:v>
                </c:pt>
                <c:pt idx="23">
                  <c:v>388.14665972088761</c:v>
                </c:pt>
                <c:pt idx="24">
                  <c:v>420.02395175079954</c:v>
                </c:pt>
                <c:pt idx="25">
                  <c:v>451.84914558797823</c:v>
                </c:pt>
                <c:pt idx="26">
                  <c:v>458.49300619252995</c:v>
                </c:pt>
                <c:pt idx="27">
                  <c:v>490.02383273307811</c:v>
                </c:pt>
                <c:pt idx="28">
                  <c:v>521.51163942471965</c:v>
                </c:pt>
                <c:pt idx="29">
                  <c:v>552.95938498824523</c:v>
                </c:pt>
                <c:pt idx="30">
                  <c:v>584.369664578075</c:v>
                </c:pt>
                <c:pt idx="31">
                  <c:v>556.73999981392387</c:v>
                </c:pt>
                <c:pt idx="32">
                  <c:v>585.7858243463188</c:v>
                </c:pt>
                <c:pt idx="33">
                  <c:v>614.8016526190205</c:v>
                </c:pt>
                <c:pt idx="34">
                  <c:v>643.78909731180499</c:v>
                </c:pt>
                <c:pt idx="35">
                  <c:v>672.74961423997343</c:v>
                </c:pt>
                <c:pt idx="36">
                  <c:v>626.58850499642801</c:v>
                </c:pt>
                <c:pt idx="37">
                  <c:v>652.26807215377346</c:v>
                </c:pt>
                <c:pt idx="38">
                  <c:v>677.92680823930084</c:v>
                </c:pt>
                <c:pt idx="39">
                  <c:v>703.56561153811811</c:v>
                </c:pt>
                <c:pt idx="40">
                  <c:v>729.18530961737713</c:v>
                </c:pt>
                <c:pt idx="41">
                  <c:v>677.22087519835191</c:v>
                </c:pt>
                <c:pt idx="42">
                  <c:v>700.50879164342575</c:v>
                </c:pt>
                <c:pt idx="43">
                  <c:v>723.78086979282034</c:v>
                </c:pt>
                <c:pt idx="44">
                  <c:v>747.03768992547487</c:v>
                </c:pt>
                <c:pt idx="45">
                  <c:v>770.27979329125412</c:v>
                </c:pt>
                <c:pt idx="46">
                  <c:v>709.44334887873481</c:v>
                </c:pt>
                <c:pt idx="47">
                  <c:v>730.82997676459456</c:v>
                </c:pt>
                <c:pt idx="48">
                  <c:v>752.20385526189159</c:v>
                </c:pt>
                <c:pt idx="49">
                  <c:v>773.56539720897001</c:v>
                </c:pt>
                <c:pt idx="50">
                  <c:v>794.91499081298514</c:v>
                </c:pt>
                <c:pt idx="51">
                  <c:v>729.18530961737713</c:v>
                </c:pt>
                <c:pt idx="52">
                  <c:v>749.15120869876137</c:v>
                </c:pt>
                <c:pt idx="53">
                  <c:v>769.10629453334388</c:v>
                </c:pt>
                <c:pt idx="54">
                  <c:v>789.05088686316742</c:v>
                </c:pt>
                <c:pt idx="55">
                  <c:v>808.98528796749042</c:v>
                </c:pt>
                <c:pt idx="56">
                  <c:v>748.91637927235524</c:v>
                </c:pt>
                <c:pt idx="57">
                  <c:v>767.46333526620492</c:v>
                </c:pt>
                <c:pt idx="58">
                  <c:v>786.00120491902635</c:v>
                </c:pt>
                <c:pt idx="59">
                  <c:v>804.53023248127863</c:v>
                </c:pt>
                <c:pt idx="60">
                  <c:v>823.05065004816288</c:v>
                </c:pt>
                <c:pt idx="61">
                  <c:v>768.87159042722215</c:v>
                </c:pt>
                <c:pt idx="62">
                  <c:v>786.23580432399649</c:v>
                </c:pt>
                <c:pt idx="63">
                  <c:v>803.59226271431351</c:v>
                </c:pt>
                <c:pt idx="64">
                  <c:v>820.9411565268183</c:v>
                </c:pt>
                <c:pt idx="65">
                  <c:v>838.28266797111394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1.5169790578370435</c:v>
                </c:pt>
                <c:pt idx="2">
                  <c:v>1.8781501756367305</c:v>
                </c:pt>
                <c:pt idx="3">
                  <c:v>2.3256507836964637</c:v>
                </c:pt>
                <c:pt idx="4">
                  <c:v>2.8801928037711861</c:v>
                </c:pt>
                <c:pt idx="5">
                  <c:v>3.5674746285378856</c:v>
                </c:pt>
                <c:pt idx="6">
                  <c:v>4.419385523082803</c:v>
                </c:pt>
                <c:pt idx="7">
                  <c:v>5.475501800590159</c:v>
                </c:pt>
                <c:pt idx="8">
                  <c:v>6.784945650599842</c:v>
                </c:pt>
                <c:pt idx="9">
                  <c:v>8.4086947592856145</c:v>
                </c:pt>
                <c:pt idx="10">
                  <c:v>10.422452335472949</c:v>
                </c:pt>
                <c:pt idx="11">
                  <c:v>12.920213874061965</c:v>
                </c:pt>
                <c:pt idx="12">
                  <c:v>16.018700233156078</c:v>
                </c:pt>
                <c:pt idx="13">
                  <c:v>19.862867970024372</c:v>
                </c:pt>
                <c:pt idx="14">
                  <c:v>24.632759363258756</c:v>
                </c:pt>
                <c:pt idx="15">
                  <c:v>30.552018621247594</c:v>
                </c:pt>
                <c:pt idx="16">
                  <c:v>37.89848052526817</c:v>
                </c:pt>
                <c:pt idx="17">
                  <c:v>47.017337021109604</c:v>
                </c:pt>
                <c:pt idx="18">
                  <c:v>58.337510841395044</c:v>
                </c:pt>
                <c:pt idx="19">
                  <c:v>72.392019072005624</c:v>
                </c:pt>
                <c:pt idx="20">
                  <c:v>89.843301094640552</c:v>
                </c:pt>
                <c:pt idx="21">
                  <c:v>111.51472379224067</c:v>
                </c:pt>
                <c:pt idx="22">
                  <c:v>138.42977381649987</c:v>
                </c:pt>
                <c:pt idx="23">
                  <c:v>171.86081644124263</c:v>
                </c:pt>
                <c:pt idx="24">
                  <c:v>147.70725368638702</c:v>
                </c:pt>
                <c:pt idx="25">
                  <c:v>179.47104913917383</c:v>
                </c:pt>
                <c:pt idx="26">
                  <c:v>211.1027938308097</c:v>
                </c:pt>
                <c:pt idx="27">
                  <c:v>242.62509103866606</c:v>
                </c:pt>
                <c:pt idx="28">
                  <c:v>214.38589248354251</c:v>
                </c:pt>
                <c:pt idx="29">
                  <c:v>250.67926877807722</c:v>
                </c:pt>
                <c:pt idx="30">
                  <c:v>286.85336725699204</c:v>
                </c:pt>
                <c:pt idx="31">
                  <c:v>322.92534379451826</c:v>
                </c:pt>
                <c:pt idx="32">
                  <c:v>303.39817033602765</c:v>
                </c:pt>
                <c:pt idx="33">
                  <c:v>340.92722154371285</c:v>
                </c:pt>
                <c:pt idx="34">
                  <c:v>378.36539662842574</c:v>
                </c:pt>
                <c:pt idx="35">
                  <c:v>415.72294083711455</c:v>
                </c:pt>
                <c:pt idx="36">
                  <c:v>395.06119953916391</c:v>
                </c:pt>
                <c:pt idx="37">
                  <c:v>428.15901046658502</c:v>
                </c:pt>
                <c:pt idx="38">
                  <c:v>461.20182911455191</c:v>
                </c:pt>
                <c:pt idx="39">
                  <c:v>494.19414347908742</c:v>
                </c:pt>
                <c:pt idx="40">
                  <c:v>476.14120509445956</c:v>
                </c:pt>
                <c:pt idx="41">
                  <c:v>507.67509845566065</c:v>
                </c:pt>
                <c:pt idx="42">
                  <c:v>539.16760679331139</c:v>
                </c:pt>
                <c:pt idx="43">
                  <c:v>570.62148354470423</c:v>
                </c:pt>
                <c:pt idx="44">
                  <c:v>602.03915423253159</c:v>
                </c:pt>
                <c:pt idx="45">
                  <c:v>571.74179956676232</c:v>
                </c:pt>
                <c:pt idx="46">
                  <c:v>597.75996975235046</c:v>
                </c:pt>
                <c:pt idx="47">
                  <c:v>623.75460086683643</c:v>
                </c:pt>
                <c:pt idx="48">
                  <c:v>649.72681059203296</c:v>
                </c:pt>
                <c:pt idx="49">
                  <c:v>675.6776200826381</c:v>
                </c:pt>
                <c:pt idx="50">
                  <c:v>701.60796576320615</c:v>
                </c:pt>
                <c:pt idx="51">
                  <c:v>657.61281934757983</c:v>
                </c:pt>
                <c:pt idx="52">
                  <c:v>679.61770277833341</c:v>
                </c:pt>
                <c:pt idx="53">
                  <c:v>701.60796576320615</c:v>
                </c:pt>
                <c:pt idx="54">
                  <c:v>2.9494845662396269E-12</c:v>
                </c:pt>
                <c:pt idx="55">
                  <c:v>2.9494845662396269E-12</c:v>
                </c:pt>
                <c:pt idx="56">
                  <c:v>2.9494845662396269E-12</c:v>
                </c:pt>
                <c:pt idx="57">
                  <c:v>2.9494845662396269E-12</c:v>
                </c:pt>
                <c:pt idx="58">
                  <c:v>2.9494845662396269E-12</c:v>
                </c:pt>
                <c:pt idx="59">
                  <c:v>2.9494845662396269E-12</c:v>
                </c:pt>
                <c:pt idx="60">
                  <c:v>2.9494845662396269E-12</c:v>
                </c:pt>
                <c:pt idx="61">
                  <c:v>2.9494845662396269E-12</c:v>
                </c:pt>
                <c:pt idx="62">
                  <c:v>2.9494845662396269E-12</c:v>
                </c:pt>
                <c:pt idx="63">
                  <c:v>2.9494845662396269E-12</c:v>
                </c:pt>
                <c:pt idx="64">
                  <c:v>2.9494845662396269E-12</c:v>
                </c:pt>
                <c:pt idx="65">
                  <c:v>2.9494845662396269E-12</c:v>
                </c:pt>
                <c:pt idx="66">
                  <c:v>2.9494845662396269E-12</c:v>
                </c:pt>
                <c:pt idx="67">
                  <c:v>2.9494845662396269E-12</c:v>
                </c:pt>
                <c:pt idx="68">
                  <c:v>2.9494845662396269E-12</c:v>
                </c:pt>
                <c:pt idx="69">
                  <c:v>2.9494845662396269E-12</c:v>
                </c:pt>
                <c:pt idx="70">
                  <c:v>2.9494845662396269E-12</c:v>
                </c:pt>
                <c:pt idx="71">
                  <c:v>2.9494845662396269E-12</c:v>
                </c:pt>
                <c:pt idx="72">
                  <c:v>2.9494845662396269E-12</c:v>
                </c:pt>
                <c:pt idx="73">
                  <c:v>2.9494845662396269E-12</c:v>
                </c:pt>
                <c:pt idx="74">
                  <c:v>2.9494845662396269E-12</c:v>
                </c:pt>
                <c:pt idx="75">
                  <c:v>2.9494845662396269E-12</c:v>
                </c:pt>
                <c:pt idx="76">
                  <c:v>2.9494845662396269E-12</c:v>
                </c:pt>
                <c:pt idx="77">
                  <c:v>2.9494845662396269E-12</c:v>
                </c:pt>
                <c:pt idx="78">
                  <c:v>2.9494845662396269E-12</c:v>
                </c:pt>
                <c:pt idx="79">
                  <c:v>2.9494845662396269E-12</c:v>
                </c:pt>
                <c:pt idx="80">
                  <c:v>2.9494845662396269E-12</c:v>
                </c:pt>
                <c:pt idx="81">
                  <c:v>2.9494845662396269E-12</c:v>
                </c:pt>
                <c:pt idx="82">
                  <c:v>2.9494845662396269E-12</c:v>
                </c:pt>
                <c:pt idx="83">
                  <c:v>2.9494845662396269E-12</c:v>
                </c:pt>
                <c:pt idx="84">
                  <c:v>2.9494845662396269E-12</c:v>
                </c:pt>
                <c:pt idx="85">
                  <c:v>2.9494845662396269E-12</c:v>
                </c:pt>
                <c:pt idx="86">
                  <c:v>2.9494845662396269E-12</c:v>
                </c:pt>
                <c:pt idx="87">
                  <c:v>2.9494845662396269E-12</c:v>
                </c:pt>
                <c:pt idx="88">
                  <c:v>2.9494845662396269E-12</c:v>
                </c:pt>
                <c:pt idx="89">
                  <c:v>2.9494845662396269E-12</c:v>
                </c:pt>
                <c:pt idx="90">
                  <c:v>2.9494845662396269E-12</c:v>
                </c:pt>
                <c:pt idx="91">
                  <c:v>2.9494845662396269E-12</c:v>
                </c:pt>
                <c:pt idx="92">
                  <c:v>2.9494845662396269E-12</c:v>
                </c:pt>
                <c:pt idx="93">
                  <c:v>2.9494845662396269E-12</c:v>
                </c:pt>
                <c:pt idx="94">
                  <c:v>2.9494845662396269E-12</c:v>
                </c:pt>
                <c:pt idx="95">
                  <c:v>2.9494845662396269E-12</c:v>
                </c:pt>
                <c:pt idx="96">
                  <c:v>2.9494845662396269E-12</c:v>
                </c:pt>
                <c:pt idx="97">
                  <c:v>2.9494845662396269E-12</c:v>
                </c:pt>
                <c:pt idx="98">
                  <c:v>2.9494845662396269E-12</c:v>
                </c:pt>
                <c:pt idx="99">
                  <c:v>2.9494845662396269E-12</c:v>
                </c:pt>
                <c:pt idx="100">
                  <c:v>2.9494845662396269E-12</c:v>
                </c:pt>
                <c:pt idx="101">
                  <c:v>2.9494845662396269E-12</c:v>
                </c:pt>
                <c:pt idx="102">
                  <c:v>2.9494845662396269E-12</c:v>
                </c:pt>
                <c:pt idx="103">
                  <c:v>2.9494845662396269E-12</c:v>
                </c:pt>
                <c:pt idx="104">
                  <c:v>2.9494845662396269E-12</c:v>
                </c:pt>
                <c:pt idx="105">
                  <c:v>2.9494845662396269E-12</c:v>
                </c:pt>
                <c:pt idx="106">
                  <c:v>2.9494845662396269E-12</c:v>
                </c:pt>
                <c:pt idx="107">
                  <c:v>2.9494845662396269E-12</c:v>
                </c:pt>
                <c:pt idx="108">
                  <c:v>2.9494845662396269E-12</c:v>
                </c:pt>
                <c:pt idx="109">
                  <c:v>2.9494845662396269E-12</c:v>
                </c:pt>
                <c:pt idx="110">
                  <c:v>2.9494845662396269E-12</c:v>
                </c:pt>
                <c:pt idx="111">
                  <c:v>2.9494845662396269E-12</c:v>
                </c:pt>
                <c:pt idx="112">
                  <c:v>2.9494845662396269E-12</c:v>
                </c:pt>
                <c:pt idx="113">
                  <c:v>2.9494845662396269E-12</c:v>
                </c:pt>
                <c:pt idx="114">
                  <c:v>2.9494845662396269E-12</c:v>
                </c:pt>
                <c:pt idx="115">
                  <c:v>2.9494845662396269E-12</c:v>
                </c:pt>
                <c:pt idx="116">
                  <c:v>2.9494845662396269E-12</c:v>
                </c:pt>
                <c:pt idx="117">
                  <c:v>2.9494845662396269E-12</c:v>
                </c:pt>
                <c:pt idx="118">
                  <c:v>2.9494845662396269E-12</c:v>
                </c:pt>
                <c:pt idx="119">
                  <c:v>2.9494845662396269E-12</c:v>
                </c:pt>
                <c:pt idx="120">
                  <c:v>2.9494845662396269E-12</c:v>
                </c:pt>
                <c:pt idx="121">
                  <c:v>2.9494845662396269E-12</c:v>
                </c:pt>
                <c:pt idx="122">
                  <c:v>2.9494845662396269E-12</c:v>
                </c:pt>
                <c:pt idx="123">
                  <c:v>2.9494845662396269E-12</c:v>
                </c:pt>
                <c:pt idx="124">
                  <c:v>2.9494845662396269E-12</c:v>
                </c:pt>
                <c:pt idx="125">
                  <c:v>2.9494845662396269E-12</c:v>
                </c:pt>
                <c:pt idx="126">
                  <c:v>2.9494845662396269E-12</c:v>
                </c:pt>
                <c:pt idx="127">
                  <c:v>2.9494845662396269E-12</c:v>
                </c:pt>
                <c:pt idx="128">
                  <c:v>2.9494845662396269E-12</c:v>
                </c:pt>
                <c:pt idx="129">
                  <c:v>2.9494845662396269E-12</c:v>
                </c:pt>
                <c:pt idx="130">
                  <c:v>2.9494845662396269E-12</c:v>
                </c:pt>
                <c:pt idx="131">
                  <c:v>2.9494845662396269E-12</c:v>
                </c:pt>
                <c:pt idx="132">
                  <c:v>2.9494845662396269E-12</c:v>
                </c:pt>
                <c:pt idx="133">
                  <c:v>2.9494845662396269E-12</c:v>
                </c:pt>
                <c:pt idx="134">
                  <c:v>2.9494845662396269E-12</c:v>
                </c:pt>
                <c:pt idx="135">
                  <c:v>2.9494845662396269E-12</c:v>
                </c:pt>
                <c:pt idx="136">
                  <c:v>2.9494845662396269E-12</c:v>
                </c:pt>
                <c:pt idx="137">
                  <c:v>2.9494845662396269E-12</c:v>
                </c:pt>
                <c:pt idx="138">
                  <c:v>2.9494845662396269E-12</c:v>
                </c:pt>
                <c:pt idx="139">
                  <c:v>2.9494845662396269E-12</c:v>
                </c:pt>
                <c:pt idx="140">
                  <c:v>2.9494845662396269E-12</c:v>
                </c:pt>
                <c:pt idx="141">
                  <c:v>2.9494845662396269E-12</c:v>
                </c:pt>
                <c:pt idx="142">
                  <c:v>2.9494845662396269E-12</c:v>
                </c:pt>
                <c:pt idx="143">
                  <c:v>2.9494845662396269E-12</c:v>
                </c:pt>
                <c:pt idx="144">
                  <c:v>2.9494845662396269E-12</c:v>
                </c:pt>
                <c:pt idx="145">
                  <c:v>2.9494845662396269E-12</c:v>
                </c:pt>
                <c:pt idx="146">
                  <c:v>2.9494845662396269E-12</c:v>
                </c:pt>
                <c:pt idx="147">
                  <c:v>2.9494845662396269E-12</c:v>
                </c:pt>
                <c:pt idx="148">
                  <c:v>2.9494845662396269E-12</c:v>
                </c:pt>
                <c:pt idx="149">
                  <c:v>2.9494845662396269E-12</c:v>
                </c:pt>
                <c:pt idx="150">
                  <c:v>2.9494845662396269E-12</c:v>
                </c:pt>
                <c:pt idx="151">
                  <c:v>2.9494845662396269E-12</c:v>
                </c:pt>
                <c:pt idx="152">
                  <c:v>2.9494845662396269E-12</c:v>
                </c:pt>
                <c:pt idx="153">
                  <c:v>2.9494845662396269E-12</c:v>
                </c:pt>
                <c:pt idx="154">
                  <c:v>2.9494845662396269E-12</c:v>
                </c:pt>
                <c:pt idx="155">
                  <c:v>2.9494845662396269E-12</c:v>
                </c:pt>
                <c:pt idx="156">
                  <c:v>2.9494845662396269E-12</c:v>
                </c:pt>
                <c:pt idx="157">
                  <c:v>2.9494845662396269E-12</c:v>
                </c:pt>
                <c:pt idx="158">
                  <c:v>2.9494845662396269E-12</c:v>
                </c:pt>
                <c:pt idx="159">
                  <c:v>2.9494845662396269E-12</c:v>
                </c:pt>
                <c:pt idx="160">
                  <c:v>2.9494845662396269E-12</c:v>
                </c:pt>
                <c:pt idx="161">
                  <c:v>2.9494845662396269E-12</c:v>
                </c:pt>
                <c:pt idx="162">
                  <c:v>2.9494845662396269E-12</c:v>
                </c:pt>
                <c:pt idx="163">
                  <c:v>2.9494845662396269E-12</c:v>
                </c:pt>
                <c:pt idx="164">
                  <c:v>2.9494845662396269E-12</c:v>
                </c:pt>
                <c:pt idx="165">
                  <c:v>2.9494845662396269E-12</c:v>
                </c:pt>
                <c:pt idx="166">
                  <c:v>2.9494845662396269E-12</c:v>
                </c:pt>
                <c:pt idx="167">
                  <c:v>2.9494845662396269E-12</c:v>
                </c:pt>
                <c:pt idx="168">
                  <c:v>2.9494845662396269E-12</c:v>
                </c:pt>
                <c:pt idx="169">
                  <c:v>2.9494845662396269E-12</c:v>
                </c:pt>
                <c:pt idx="170">
                  <c:v>2.9494845662396269E-12</c:v>
                </c:pt>
                <c:pt idx="171">
                  <c:v>2.9494845662396269E-12</c:v>
                </c:pt>
                <c:pt idx="172">
                  <c:v>2.9494845662396269E-12</c:v>
                </c:pt>
                <c:pt idx="173">
                  <c:v>2.9494845662396269E-12</c:v>
                </c:pt>
                <c:pt idx="174">
                  <c:v>2.9494845662396269E-12</c:v>
                </c:pt>
                <c:pt idx="175">
                  <c:v>2.9494845662396269E-12</c:v>
                </c:pt>
                <c:pt idx="176">
                  <c:v>2.9494845662396269E-12</c:v>
                </c:pt>
                <c:pt idx="177">
                  <c:v>2.9494845662396269E-12</c:v>
                </c:pt>
                <c:pt idx="178">
                  <c:v>2.9494845662396269E-12</c:v>
                </c:pt>
                <c:pt idx="179">
                  <c:v>2.9494845662396269E-12</c:v>
                </c:pt>
                <c:pt idx="180">
                  <c:v>2.9494845662396269E-12</c:v>
                </c:pt>
                <c:pt idx="181">
                  <c:v>2.9494845662396269E-12</c:v>
                </c:pt>
                <c:pt idx="182">
                  <c:v>2.9494845662396269E-12</c:v>
                </c:pt>
                <c:pt idx="183">
                  <c:v>2.9494845662396269E-12</c:v>
                </c:pt>
                <c:pt idx="184">
                  <c:v>2.9494845662396269E-12</c:v>
                </c:pt>
                <c:pt idx="185">
                  <c:v>2.9494845662396269E-12</c:v>
                </c:pt>
                <c:pt idx="186">
                  <c:v>2.9494845662396269E-12</c:v>
                </c:pt>
                <c:pt idx="187">
                  <c:v>2.9494845662396269E-12</c:v>
                </c:pt>
                <c:pt idx="188">
                  <c:v>2.9494845662396269E-12</c:v>
                </c:pt>
                <c:pt idx="189">
                  <c:v>2.9494845662396269E-12</c:v>
                </c:pt>
                <c:pt idx="190">
                  <c:v>2.9494845662396269E-12</c:v>
                </c:pt>
                <c:pt idx="191">
                  <c:v>2.9494845662396269E-12</c:v>
                </c:pt>
                <c:pt idx="192">
                  <c:v>2.9494845662396269E-12</c:v>
                </c:pt>
                <c:pt idx="193">
                  <c:v>2.9494845662396269E-12</c:v>
                </c:pt>
                <c:pt idx="194">
                  <c:v>2.9494845662396269E-12</c:v>
                </c:pt>
                <c:pt idx="195">
                  <c:v>2.9494845662396269E-12</c:v>
                </c:pt>
                <c:pt idx="196">
                  <c:v>2.9494845662396269E-12</c:v>
                </c:pt>
                <c:pt idx="197">
                  <c:v>2.9494845662396269E-12</c:v>
                </c:pt>
                <c:pt idx="198">
                  <c:v>2.9494845662396269E-12</c:v>
                </c:pt>
                <c:pt idx="199">
                  <c:v>2.9494845662396269E-12</c:v>
                </c:pt>
                <c:pt idx="200">
                  <c:v>2.9494845662396269E-12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4" zoomScale="80" zoomScaleNormal="80" workbookViewId="0">
      <selection activeCell="K18" sqref="K18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1.85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18</v>
      </c>
      <c r="C9" s="32">
        <v>0.74</v>
      </c>
      <c r="D9" s="33">
        <f t="shared" ref="D9:D18" si="0">C9*$C$5</f>
        <v>1.369</v>
      </c>
      <c r="E9" s="34">
        <v>65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20</v>
      </c>
      <c r="C10" s="32">
        <v>0.26</v>
      </c>
      <c r="D10" s="33">
        <f t="shared" si="0"/>
        <v>0.48100000000000004</v>
      </c>
      <c r="E10" s="34">
        <v>53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1.85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15</v>
      </c>
      <c r="B36" s="60">
        <v>126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8.4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20</v>
      </c>
      <c r="B37" s="60">
        <v>238</v>
      </c>
      <c r="C37" s="60">
        <v>2</v>
      </c>
      <c r="D37" s="60">
        <v>0</v>
      </c>
      <c r="E37" s="51"/>
      <c r="F37" s="51"/>
      <c r="G37" s="51"/>
      <c r="H37" s="51"/>
      <c r="I37" s="53">
        <f>IF(A37&lt;&gt;0,(B37-(B36-D36))/(A37-A36),"")</f>
        <v>22.4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25</v>
      </c>
      <c r="B38" s="60">
        <v>372</v>
      </c>
      <c r="C38" s="60">
        <v>3</v>
      </c>
      <c r="D38" s="60">
        <v>21</v>
      </c>
      <c r="E38" s="51"/>
      <c r="F38" s="51">
        <v>0.6</v>
      </c>
      <c r="G38" s="51">
        <v>0.4</v>
      </c>
      <c r="H38" s="51"/>
      <c r="I38" s="53">
        <f>IF(A38&lt;&gt;0,(B38-(B37-D37))/(A38-A37),"")</f>
        <v>26.8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30</v>
      </c>
      <c r="B39" s="60">
        <v>484</v>
      </c>
      <c r="C39" s="60">
        <v>4</v>
      </c>
      <c r="D39" s="60">
        <v>48</v>
      </c>
      <c r="E39" s="51">
        <v>0.2</v>
      </c>
      <c r="F39" s="51">
        <v>0.6</v>
      </c>
      <c r="G39" s="51">
        <v>0.2</v>
      </c>
      <c r="H39" s="51"/>
      <c r="I39" s="49">
        <f>IF(A39&lt;&gt;0,(B39-(B38-D38))/(A39-A38),"")</f>
        <v>26.6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35</v>
      </c>
      <c r="B40" s="60">
        <v>559</v>
      </c>
      <c r="C40" s="60">
        <v>5</v>
      </c>
      <c r="D40" s="60">
        <v>61</v>
      </c>
      <c r="E40" s="51"/>
      <c r="F40" s="51"/>
      <c r="G40" s="51"/>
      <c r="H40" s="51"/>
      <c r="I40" s="49">
        <f>IF(A40&lt;&gt;0,(B40-(B39-D39))/(A40-A39),"")</f>
        <v>24.6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40</v>
      </c>
      <c r="B41" s="60">
        <v>607</v>
      </c>
      <c r="C41" s="60">
        <v>6</v>
      </c>
      <c r="D41" s="60">
        <v>64</v>
      </c>
      <c r="E41" s="51"/>
      <c r="F41" s="51"/>
      <c r="G41" s="51"/>
      <c r="H41" s="51"/>
      <c r="I41" s="53">
        <f>IF(A41&lt;&gt;0,(B41-(B40-D40))/(A41-A40),"")</f>
        <v>21.8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45</v>
      </c>
      <c r="B42" s="60">
        <v>642</v>
      </c>
      <c r="C42" s="60">
        <v>7</v>
      </c>
      <c r="D42" s="60">
        <v>70</v>
      </c>
      <c r="E42" s="51"/>
      <c r="F42" s="51"/>
      <c r="G42" s="51"/>
      <c r="H42" s="51"/>
      <c r="I42" s="53">
        <f>IF(A42&lt;&gt;0,(B42-(B41-D41))/(A42-A41),"")</f>
        <v>19.8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50</v>
      </c>
      <c r="B43" s="60">
        <v>663</v>
      </c>
      <c r="C43" s="60">
        <v>8</v>
      </c>
      <c r="D43" s="60">
        <v>73</v>
      </c>
      <c r="E43" s="51"/>
      <c r="F43" s="51"/>
      <c r="G43" s="51"/>
      <c r="H43" s="51"/>
      <c r="I43" s="49">
        <f>IF(A43&lt;&gt;0,(B43-(B42-D42))/(A43-A42),"")</f>
        <v>18.2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55</v>
      </c>
      <c r="B44" s="60">
        <v>675</v>
      </c>
      <c r="C44" s="60">
        <v>9</v>
      </c>
      <c r="D44" s="60">
        <v>67</v>
      </c>
      <c r="E44" s="51"/>
      <c r="F44" s="51"/>
      <c r="G44" s="51"/>
      <c r="H44" s="51"/>
      <c r="I44" s="49">
        <f>IF(A44&lt;&gt;0,(B44-(B43-D43))/(A44-A43),"")</f>
        <v>17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60</v>
      </c>
      <c r="B45" s="60">
        <v>687</v>
      </c>
      <c r="C45" s="60">
        <v>10</v>
      </c>
      <c r="D45" s="60">
        <v>61</v>
      </c>
      <c r="E45" s="51"/>
      <c r="F45" s="51"/>
      <c r="G45" s="51"/>
      <c r="H45" s="51"/>
      <c r="I45" s="49">
        <f>IF(A45&lt;&gt;0,(B45-(B44-D44))/(A45-A44),"")</f>
        <v>15.8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65</v>
      </c>
      <c r="B46" s="60">
        <v>700</v>
      </c>
      <c r="C46" s="60">
        <v>11</v>
      </c>
      <c r="D46" s="60">
        <v>700</v>
      </c>
      <c r="E46" s="51"/>
      <c r="F46" s="51"/>
      <c r="G46" s="51"/>
      <c r="H46" s="51"/>
      <c r="I46" s="49">
        <f>IF(A46&lt;&gt;0,(B46-(B45-D45))/(A46-A45),"")</f>
        <v>14.8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>IF(A47&lt;&gt;0,(B47-(B46-D46))/(A47-A46),"")</f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>IF(A48&lt;&gt;0,(B48-(B47-D47))/(A48-A47),"")</f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ref="I49:I55" si="1">IF(A49&lt;&gt;0,(B49-(B48-D48))/(A49-A48),"")</f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Epicéa de Sitka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23</v>
      </c>
      <c r="B62" s="60">
        <v>165</v>
      </c>
      <c r="C62" s="60">
        <v>1</v>
      </c>
      <c r="D62" s="60">
        <v>55</v>
      </c>
      <c r="E62" s="51"/>
      <c r="F62" s="51">
        <v>0.8</v>
      </c>
      <c r="G62" s="51">
        <v>0.2</v>
      </c>
      <c r="H62" s="51"/>
      <c r="I62" s="53">
        <f>IFERROR(B62/A62,"")</f>
        <v>7.1739130434782608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27</v>
      </c>
      <c r="B63" s="60">
        <v>235</v>
      </c>
      <c r="C63" s="60">
        <v>2</v>
      </c>
      <c r="D63" s="60">
        <v>64</v>
      </c>
      <c r="E63" s="51">
        <v>0.2</v>
      </c>
      <c r="F63" s="51">
        <v>0.6</v>
      </c>
      <c r="G63" s="51">
        <v>0.2</v>
      </c>
      <c r="H63" s="51"/>
      <c r="I63" s="49">
        <f>IF(A63&lt;&gt;0,(B63-(B62-D62))/(A63-A62),"")</f>
        <v>31.25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31</v>
      </c>
      <c r="B64" s="60">
        <v>315</v>
      </c>
      <c r="C64" s="60">
        <v>3</v>
      </c>
      <c r="D64" s="60">
        <v>57</v>
      </c>
      <c r="E64" s="51"/>
      <c r="F64" s="51"/>
      <c r="G64" s="51"/>
      <c r="H64" s="51"/>
      <c r="I64" s="49">
        <f>IF(A64&lt;&gt;0,(B64-(B63-D63))/(A64-A63),"")</f>
        <v>36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35</v>
      </c>
      <c r="B65" s="60">
        <v>408</v>
      </c>
      <c r="C65" s="60">
        <v>4</v>
      </c>
      <c r="D65" s="60">
        <v>54</v>
      </c>
      <c r="E65" s="51"/>
      <c r="F65" s="51"/>
      <c r="G65" s="51"/>
      <c r="H65" s="51"/>
      <c r="I65" s="49">
        <f>IF(A65&lt;&gt;0,(B65-(B64-D64))/(A65-A64),"")</f>
        <v>37.5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39</v>
      </c>
      <c r="B66" s="60">
        <v>487</v>
      </c>
      <c r="C66" s="60">
        <v>5</v>
      </c>
      <c r="D66" s="60">
        <v>50</v>
      </c>
      <c r="E66" s="51"/>
      <c r="F66" s="51"/>
      <c r="G66" s="51"/>
      <c r="H66" s="51"/>
      <c r="I66" s="49">
        <f t="shared" ref="I66:I81" si="2">IF(A66&lt;&gt;0,(B66-(B65-D65))/(A66-A65),"")</f>
        <v>33.25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44</v>
      </c>
      <c r="B67" s="60">
        <v>596</v>
      </c>
      <c r="C67" s="60">
        <v>6</v>
      </c>
      <c r="D67" s="60">
        <v>57</v>
      </c>
      <c r="E67" s="51"/>
      <c r="F67" s="51"/>
      <c r="G67" s="51"/>
      <c r="H67" s="51"/>
      <c r="I67" s="49">
        <f t="shared" si="2"/>
        <v>31.8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50</v>
      </c>
      <c r="B68" s="60">
        <v>697</v>
      </c>
      <c r="C68" s="60">
        <v>7</v>
      </c>
      <c r="D68" s="60">
        <v>67</v>
      </c>
      <c r="E68" s="51"/>
      <c r="F68" s="51"/>
      <c r="G68" s="51"/>
      <c r="H68" s="51"/>
      <c r="I68" s="49">
        <f t="shared" si="2"/>
        <v>26.333333333333332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53</v>
      </c>
      <c r="B69" s="50">
        <v>697</v>
      </c>
      <c r="C69" s="50">
        <v>8</v>
      </c>
      <c r="D69" s="50">
        <v>697</v>
      </c>
      <c r="E69" s="51"/>
      <c r="F69" s="51"/>
      <c r="G69" s="51"/>
      <c r="H69" s="51"/>
      <c r="I69" s="49">
        <f t="shared" si="2"/>
        <v>22.333333333333332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9" sqref="F9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Epicéa de Sitka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512.21337090113502</v>
      </c>
      <c r="T3" s="59">
        <f>IF('Données projet'!E9&gt;30,$R$33-$H$33,LOOKUP('Données projet'!$E$9,$A$3:$A$203,R3:R203)-LOOKUP('Données projet'!$E$9,$A$3:$A$203,$H$3:$H$203))</f>
        <v>621.03633124474163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294.78071095255143</v>
      </c>
      <c r="AO3" s="59">
        <f>IF('Données projet'!E10&gt;30,$AM$33-$H$33,LOOKUP('Données projet'!$E$10,$A$3:$A$203,AM3:AM203)-LOOKUP('Données projet'!$E$10,$A$3:$A$203,$H$3:$H$203))</f>
        <v>323.52003392365867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8.4</v>
      </c>
      <c r="N4" s="13">
        <f>IF('Données projet'!$A$36&gt;35,N3+M4-V3,IF(A4&lt;'Données projet'!$A$36,$K$205^A4,IF(A4='Données projet'!$A$36,'Données projet'!$B$36,N3+M4-V3)))</f>
        <v>1.3804627841663464</v>
      </c>
      <c r="O4" s="13">
        <f>N4*VLOOKUP('Données projet'!$B$9,Paramètres!$A$1:$I$89,3,0)*VLOOKUP('Données projet'!$B$9,Paramètres!$A$1:$I$89,5,0)</f>
        <v>0.77167869634898767</v>
      </c>
      <c r="P4" s="13">
        <f>EXP(-1.0587+0.8836*LN(O4)+0.284)</f>
        <v>0.36651433549739537</v>
      </c>
      <c r="Q4" s="20">
        <f t="shared" ref="Q4:Q34" si="2">(O4+P4)*0.475*44/12</f>
        <v>1.982352863799117</v>
      </c>
      <c r="R4" s="59">
        <f t="shared" si="0"/>
        <v>259.87124175268798</v>
      </c>
      <c r="S4" s="59">
        <f ca="1">AVERAGE(OFFSET($R$3,0,0,'Données projet'!$E$9+1,1))-AVERAGE(OFFSET($H$3,0,0,'Données projet'!$E$9+1,1))</f>
        <v>512.21337090113502</v>
      </c>
      <c r="T4" s="59">
        <f>$T$3</f>
        <v>621.03633124474163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7.1739130434782608</v>
      </c>
      <c r="AI4" s="13">
        <f>IF('Données projet'!$A$62&gt;35,AI3+AH4-AQ3,IF(A4&lt;'Données projet'!$A$62,$AF$205^A4,IF(A4='Données projet'!$A$62,'Données projet'!$B$62,AI3+AH4-AQ3)))</f>
        <v>1.2485684178796581</v>
      </c>
      <c r="AJ4" s="13">
        <f>AI4*VLOOKUP('Données projet'!$B$10,Paramètres!$A$1:$I$89,3,0)*VLOOKUP('Données projet'!$B$10,Paramètres!$A$1:$I$89,5,0)</f>
        <v>0.58433001956768005</v>
      </c>
      <c r="AK4" s="13">
        <f>EXP(-1.0587+0.8836*LN(AJ4)+0.284)</f>
        <v>0.28666274091291899</v>
      </c>
      <c r="AL4" s="20">
        <f t="shared" ref="AL4:AL67" si="4">(AJ4+AK4)*0.475*44/12</f>
        <v>1.5169790578370435</v>
      </c>
      <c r="AM4" s="59">
        <f t="shared" ref="AM4:AM67" si="5">AL4+(AD4+AE4)*44/12</f>
        <v>259.40586794672589</v>
      </c>
      <c r="AN4" s="59">
        <f ca="1">AVERAGE(OFFSET($AM$3,0,0,'Données projet'!$E$10+1,1))-AVERAGE(OFFSET($H$3,0,0,'Données projet'!$E$10+1,1))</f>
        <v>294.78071095255143</v>
      </c>
      <c r="AO4" s="59">
        <f>$AO$3</f>
        <v>323.52003392365867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8.4</v>
      </c>
      <c r="N5" s="13">
        <f>IF('Données projet'!$A$36&gt;35,N4+M5-V4,IF(A5&lt;'Données projet'!$A$36,$K$205^A5,IF(A5='Données projet'!$A$36,'Données projet'!$B$36,N4+M5-V4)))</f>
        <v>1.9056774984683007</v>
      </c>
      <c r="O5" s="13">
        <f>N5*VLOOKUP('Données projet'!$B$9,Paramètres!$A$1:$I$89,3,0)*VLOOKUP('Données projet'!$B$9,Paramètres!$A$1:$I$89,5,0)</f>
        <v>1.0652737216437802</v>
      </c>
      <c r="P5" s="13">
        <f t="shared" ref="P5:P68" si="33">EXP(-1.0587+0.8836*LN(O5)+0.284)</f>
        <v>0.4873228702573687</v>
      </c>
      <c r="Q5" s="20">
        <f t="shared" si="2"/>
        <v>2.7041057308945007</v>
      </c>
      <c r="R5" s="59">
        <f t="shared" si="0"/>
        <v>261.81521684200567</v>
      </c>
      <c r="S5" s="59">
        <f ca="1">AVERAGE(OFFSET($R$3,0,0,'Données projet'!$E$9+1,1))-AVERAGE(OFFSET($H$3,0,0,'Données projet'!$E$9+1,1))</f>
        <v>512.21337090113502</v>
      </c>
      <c r="T5" s="59">
        <f t="shared" ref="T5:T68" si="34">$T$3</f>
        <v>621.03633124474163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7.1739130434782608</v>
      </c>
      <c r="AI5" s="13">
        <f>IF('Données projet'!$A$62&gt;35,AI4+AH5-AQ4,IF(A5&lt;'Données projet'!$A$62,$AF$205^A5,IF(A5='Données projet'!$A$62,'Données projet'!$B$62,AI4+AH5-AQ4)))</f>
        <v>1.5589230941265126</v>
      </c>
      <c r="AJ5" s="13">
        <f>AI5*VLOOKUP('Données projet'!$B$10,Paramètres!$A$1:$I$89,3,0)*VLOOKUP('Données projet'!$B$10,Paramètres!$A$1:$I$89,5,0)</f>
        <v>0.72957600805120781</v>
      </c>
      <c r="AK5" s="13">
        <f t="shared" ref="AK5:AK68" si="35">EXP(-1.0587+0.8836*LN(AJ5)+0.284)</f>
        <v>0.34878772915648432</v>
      </c>
      <c r="AL5" s="20">
        <f t="shared" si="4"/>
        <v>1.8781501756367305</v>
      </c>
      <c r="AM5" s="59">
        <f t="shared" si="5"/>
        <v>260.98926128674788</v>
      </c>
      <c r="AN5" s="59">
        <f ca="1">AVERAGE(OFFSET($AM$3,0,0,'Données projet'!$E$10+1,1))-AVERAGE(OFFSET($H$3,0,0,'Données projet'!$E$10+1,1))</f>
        <v>294.78071095255143</v>
      </c>
      <c r="AO5" s="59">
        <f t="shared" ref="AO5:AO68" si="36">$AO$3</f>
        <v>323.52003392365867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8.4</v>
      </c>
      <c r="N6" s="13">
        <f>IF('Données projet'!$A$36&gt;35,N5+M6-V5,IF(A6&lt;'Données projet'!$A$36,$K$205^A6,IF(A6='Données projet'!$A$36,'Données projet'!$B$36,N5+M6-V5)))</f>
        <v>2.6307168652587087</v>
      </c>
      <c r="O6" s="13">
        <f>N6*VLOOKUP('Données projet'!$B$9,Paramètres!$A$1:$I$89,3,0)*VLOOKUP('Données projet'!$B$9,Paramètres!$A$1:$I$89,5,0)</f>
        <v>1.4705707276796183</v>
      </c>
      <c r="P6" s="13">
        <f t="shared" si="33"/>
        <v>0.64795168121757629</v>
      </c>
      <c r="Q6" s="20">
        <f t="shared" si="2"/>
        <v>3.6897598621626138</v>
      </c>
      <c r="R6" s="59">
        <f t="shared" si="0"/>
        <v>264.0230931954959</v>
      </c>
      <c r="S6" s="59">
        <f ca="1">AVERAGE(OFFSET($R$3,0,0,'Données projet'!$E$9+1,1))-AVERAGE(OFFSET($H$3,0,0,'Données projet'!$E$9+1,1))</f>
        <v>512.21337090113502</v>
      </c>
      <c r="T6" s="59">
        <f t="shared" si="34"/>
        <v>621.03633124474163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7.1739130434782608</v>
      </c>
      <c r="AI6" s="13">
        <f>IF('Données projet'!$A$62&gt;35,AI5+AH6-AQ5,IF(A6&lt;'Données projet'!$A$62,$AF$205^A6,IF(A6='Données projet'!$A$62,'Données projet'!$B$62,AI5+AH6-AQ5)))</f>
        <v>1.9464221412296012</v>
      </c>
      <c r="AJ6" s="13">
        <f>AI6*VLOOKUP('Données projet'!$B$10,Paramètres!$A$1:$I$89,3,0)*VLOOKUP('Données projet'!$B$10,Paramètres!$A$1:$I$89,5,0)</f>
        <v>0.91092556209545339</v>
      </c>
      <c r="AK6" s="13">
        <f t="shared" si="35"/>
        <v>0.42437632328050684</v>
      </c>
      <c r="AL6" s="20">
        <f t="shared" si="4"/>
        <v>2.3256507836964637</v>
      </c>
      <c r="AM6" s="59">
        <f t="shared" si="5"/>
        <v>262.65898411702977</v>
      </c>
      <c r="AN6" s="59">
        <f ca="1">AVERAGE(OFFSET($AM$3,0,0,'Données projet'!$E$10+1,1))-AVERAGE(OFFSET($H$3,0,0,'Données projet'!$E$10+1,1))</f>
        <v>294.78071095255143</v>
      </c>
      <c r="AO6" s="59">
        <f t="shared" si="36"/>
        <v>323.52003392365867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8.4</v>
      </c>
      <c r="N7" s="13">
        <f>IF('Données projet'!$A$36&gt;35,N6+M7-V6,IF(A7&lt;'Données projet'!$A$36,$K$205^A7,IF(A7='Données projet'!$A$36,'Données projet'!$B$36,N6+M7-V6)))</f>
        <v>3.6316067281684004</v>
      </c>
      <c r="O7" s="13">
        <f>N7*VLOOKUP('Données projet'!$B$9,Paramètres!$A$1:$I$89,3,0)*VLOOKUP('Données projet'!$B$9,Paramètres!$A$1:$I$89,5,0)</f>
        <v>2.030068161046136</v>
      </c>
      <c r="P7" s="13">
        <f t="shared" si="33"/>
        <v>0.86152611916398214</v>
      </c>
      <c r="Q7" s="20">
        <f t="shared" si="2"/>
        <v>5.0361933713659557</v>
      </c>
      <c r="R7" s="59">
        <f t="shared" si="0"/>
        <v>266.59174892692153</v>
      </c>
      <c r="S7" s="59">
        <f ca="1">AVERAGE(OFFSET($R$3,0,0,'Données projet'!$E$9+1,1))-AVERAGE(OFFSET($H$3,0,0,'Données projet'!$E$9+1,1))</f>
        <v>512.21337090113502</v>
      </c>
      <c r="T7" s="59">
        <f t="shared" si="34"/>
        <v>621.03633124474163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7.1739130434782608</v>
      </c>
      <c r="AI7" s="13">
        <f>IF('Données projet'!$A$62&gt;35,AI6+AH7-AQ6,IF(A7&lt;'Données projet'!$A$62,$AF$205^A7,IF(A7='Données projet'!$A$62,'Données projet'!$B$62,AI6+AH7-AQ6)))</f>
        <v>2.4302412134009796</v>
      </c>
      <c r="AJ7" s="13">
        <f>AI7*VLOOKUP('Données projet'!$B$10,Paramètres!$A$1:$I$89,3,0)*VLOOKUP('Données projet'!$B$10,Paramètres!$A$1:$I$89,5,0)</f>
        <v>1.1373528878716586</v>
      </c>
      <c r="AK7" s="13">
        <f t="shared" si="35"/>
        <v>0.51634632960462079</v>
      </c>
      <c r="AL7" s="20">
        <f t="shared" si="4"/>
        <v>2.8801928037711861</v>
      </c>
      <c r="AM7" s="59">
        <f t="shared" si="5"/>
        <v>264.43574835932674</v>
      </c>
      <c r="AN7" s="59">
        <f ca="1">AVERAGE(OFFSET($AM$3,0,0,'Données projet'!$E$10+1,1))-AVERAGE(OFFSET($H$3,0,0,'Données projet'!$E$10+1,1))</f>
        <v>294.78071095255143</v>
      </c>
      <c r="AO7" s="59">
        <f t="shared" si="36"/>
        <v>323.52003392365867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8.4</v>
      </c>
      <c r="N8" s="13">
        <f>IF('Données projet'!$A$36&gt;35,N7+M8-V7,IF(A8&lt;'Données projet'!$A$36,$K$205^A8,IF(A8='Données projet'!$A$36,'Données projet'!$B$36,N7+M8-V7)))</f>
        <v>5.0132979349645854</v>
      </c>
      <c r="O8" s="13">
        <f>N8*VLOOKUP('Données projet'!$B$9,Paramètres!$A$1:$I$89,3,0)*VLOOKUP('Données projet'!$B$9,Paramètres!$A$1:$I$89,5,0)</f>
        <v>2.802433545645203</v>
      </c>
      <c r="P8" s="13">
        <f t="shared" si="33"/>
        <v>1.1454978442327994</v>
      </c>
      <c r="Q8" s="20">
        <f t="shared" si="2"/>
        <v>6.8759805040375204</v>
      </c>
      <c r="R8" s="59">
        <f t="shared" si="0"/>
        <v>269.65375828181527</v>
      </c>
      <c r="S8" s="59">
        <f ca="1">AVERAGE(OFFSET($R$3,0,0,'Données projet'!$E$9+1,1))-AVERAGE(OFFSET($H$3,0,0,'Données projet'!$E$9+1,1))</f>
        <v>512.21337090113502</v>
      </c>
      <c r="T8" s="59">
        <f t="shared" si="34"/>
        <v>621.03633124474163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7.1739130434782608</v>
      </c>
      <c r="AI8" s="13">
        <f>IF('Données projet'!$A$62&gt;35,AI7+AH8-AQ7,IF(A8&lt;'Données projet'!$A$62,$AF$205^A8,IF(A8='Données projet'!$A$62,'Données projet'!$B$62,AI7+AH8-AQ7)))</f>
        <v>3.0343224268820017</v>
      </c>
      <c r="AJ8" s="13">
        <f>AI8*VLOOKUP('Données projet'!$B$10,Paramètres!$A$1:$I$89,3,0)*VLOOKUP('Données projet'!$B$10,Paramètres!$A$1:$I$89,5,0)</f>
        <v>1.4200628957807768</v>
      </c>
      <c r="AK8" s="13">
        <f t="shared" si="35"/>
        <v>0.62824789572422923</v>
      </c>
      <c r="AL8" s="20">
        <f t="shared" si="4"/>
        <v>3.5674746285378856</v>
      </c>
      <c r="AM8" s="59">
        <f t="shared" si="5"/>
        <v>266.34525240631564</v>
      </c>
      <c r="AN8" s="59">
        <f ca="1">AVERAGE(OFFSET($AM$3,0,0,'Données projet'!$E$10+1,1))-AVERAGE(OFFSET($H$3,0,0,'Données projet'!$E$10+1,1))</f>
        <v>294.78071095255143</v>
      </c>
      <c r="AO8" s="59">
        <f t="shared" si="36"/>
        <v>323.52003392365867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8.4</v>
      </c>
      <c r="N9" s="13">
        <f>IF('Données projet'!$A$36&gt;35,N8+M9-V8,IF(A9&lt;'Données projet'!$A$36,$K$205^A9,IF(A9='Données projet'!$A$36,'Données projet'!$B$36,N8+M9-V8)))</f>
        <v>6.9206712251566076</v>
      </c>
      <c r="O9" s="13">
        <f>N9*VLOOKUP('Données projet'!$B$9,Paramètres!$A$1:$I$89,3,0)*VLOOKUP('Données projet'!$B$9,Paramètres!$A$1:$I$89,5,0)</f>
        <v>3.8686552148625433</v>
      </c>
      <c r="P9" s="13">
        <f t="shared" si="33"/>
        <v>1.5230708413289964</v>
      </c>
      <c r="Q9" s="20">
        <f t="shared" si="2"/>
        <v>9.3905895478669326</v>
      </c>
      <c r="R9" s="59">
        <f t="shared" si="0"/>
        <v>273.39058954786691</v>
      </c>
      <c r="S9" s="59">
        <f ca="1">AVERAGE(OFFSET($R$3,0,0,'Données projet'!$E$9+1,1))-AVERAGE(OFFSET($H$3,0,0,'Données projet'!$E$9+1,1))</f>
        <v>512.21337090113502</v>
      </c>
      <c r="T9" s="59">
        <f t="shared" si="34"/>
        <v>621.03633124474163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7.1739130434782608</v>
      </c>
      <c r="AI9" s="13">
        <f>IF('Données projet'!$A$62&gt;35,AI8+AH9-AQ8,IF(A9&lt;'Données projet'!$A$62,$AF$205^A9,IF(A9='Données projet'!$A$62,'Données projet'!$B$62,AI8+AH9-AQ8)))</f>
        <v>3.7885591518688257</v>
      </c>
      <c r="AJ9" s="13">
        <f>AI9*VLOOKUP('Données projet'!$B$10,Paramètres!$A$1:$I$89,3,0)*VLOOKUP('Données projet'!$B$10,Paramètres!$A$1:$I$89,5,0)</f>
        <v>1.7730456830746104</v>
      </c>
      <c r="AK9" s="13">
        <f t="shared" si="35"/>
        <v>0.7644005502743676</v>
      </c>
      <c r="AL9" s="20">
        <f t="shared" si="4"/>
        <v>4.419385523082803</v>
      </c>
      <c r="AM9" s="59">
        <f t="shared" si="5"/>
        <v>268.41938552308278</v>
      </c>
      <c r="AN9" s="59">
        <f ca="1">AVERAGE(OFFSET($AM$3,0,0,'Données projet'!$E$10+1,1))-AVERAGE(OFFSET($H$3,0,0,'Données projet'!$E$10+1,1))</f>
        <v>294.78071095255143</v>
      </c>
      <c r="AO9" s="59">
        <f t="shared" si="36"/>
        <v>323.52003392365867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8.4</v>
      </c>
      <c r="N10" s="13">
        <f>IF('Données projet'!$A$36&gt;35,N9+M10-V9,IF(A10&lt;'Données projet'!$A$36,$K$205^A10,IF(A10='Données projet'!$A$36,'Données projet'!$B$36,N9+M10-V9)))</f>
        <v>9.5537290677796101</v>
      </c>
      <c r="O10" s="13">
        <f>N10*VLOOKUP('Données projet'!$B$9,Paramètres!$A$1:$I$89,3,0)*VLOOKUP('Données projet'!$B$9,Paramètres!$A$1:$I$89,5,0)</f>
        <v>5.3405345488888027</v>
      </c>
      <c r="P10" s="13">
        <f t="shared" si="33"/>
        <v>2.0250974712748349</v>
      </c>
      <c r="Q10" s="20">
        <f t="shared" si="2"/>
        <v>12.828475768451668</v>
      </c>
      <c r="R10" s="59">
        <f t="shared" si="0"/>
        <v>278.05069799067388</v>
      </c>
      <c r="S10" s="59">
        <f ca="1">AVERAGE(OFFSET($R$3,0,0,'Données projet'!$E$9+1,1))-AVERAGE(OFFSET($H$3,0,0,'Données projet'!$E$9+1,1))</f>
        <v>512.21337090113502</v>
      </c>
      <c r="T10" s="59">
        <f t="shared" si="34"/>
        <v>621.03633124474163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7.1739130434782608</v>
      </c>
      <c r="AI10" s="13">
        <f>IF('Données projet'!$A$62&gt;35,AI9+AH10-AQ9,IF(A10&lt;'Données projet'!$A$62,$AF$205^A10,IF(A10='Données projet'!$A$62,'Données projet'!$B$62,AI9+AH10-AQ9)))</f>
        <v>4.7302753062923593</v>
      </c>
      <c r="AJ10" s="13">
        <f>AI10*VLOOKUP('Données projet'!$B$10,Paramètres!$A$1:$I$89,3,0)*VLOOKUP('Données projet'!$B$10,Paramètres!$A$1:$I$89,5,0)</f>
        <v>2.2137688433448242</v>
      </c>
      <c r="AK10" s="13">
        <f t="shared" si="35"/>
        <v>0.93005994168301886</v>
      </c>
      <c r="AL10" s="20">
        <f t="shared" si="4"/>
        <v>5.475501800590159</v>
      </c>
      <c r="AM10" s="59">
        <f t="shared" si="5"/>
        <v>270.69772402281239</v>
      </c>
      <c r="AN10" s="59">
        <f ca="1">AVERAGE(OFFSET($AM$3,0,0,'Données projet'!$E$10+1,1))-AVERAGE(OFFSET($H$3,0,0,'Données projet'!$E$10+1,1))</f>
        <v>294.78071095255143</v>
      </c>
      <c r="AO10" s="59">
        <f t="shared" si="36"/>
        <v>323.52003392365867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8.4</v>
      </c>
      <c r="N11" s="13">
        <f>IF('Données projet'!$A$36&gt;35,N10+M11-V10,IF(A11&lt;'Données projet'!$A$36,$K$205^A11,IF(A11='Données projet'!$A$36,'Données projet'!$B$36,N10+M11-V10)))</f>
        <v>13.188567428077993</v>
      </c>
      <c r="O11" s="13">
        <f>N11*VLOOKUP('Données projet'!$B$9,Paramètres!$A$1:$I$89,3,0)*VLOOKUP('Données projet'!$B$9,Paramètres!$A$1:$I$89,5,0)</f>
        <v>7.3724091922955983</v>
      </c>
      <c r="P11" s="13">
        <f t="shared" si="33"/>
        <v>2.6925994884028341</v>
      </c>
      <c r="Q11" s="20">
        <f t="shared" si="2"/>
        <v>17.529890118883106</v>
      </c>
      <c r="R11" s="59">
        <f t="shared" si="0"/>
        <v>283.97433456332755</v>
      </c>
      <c r="S11" s="59">
        <f ca="1">AVERAGE(OFFSET($R$3,0,0,'Données projet'!$E$9+1,1))-AVERAGE(OFFSET($H$3,0,0,'Données projet'!$E$9+1,1))</f>
        <v>512.21337090113502</v>
      </c>
      <c r="T11" s="59">
        <f t="shared" si="34"/>
        <v>621.03633124474163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7.1739130434782608</v>
      </c>
      <c r="AI11" s="13">
        <f>IF('Données projet'!$A$62&gt;35,AI10+AH11-AQ10,IF(A11&lt;'Données projet'!$A$62,$AF$205^A11,IF(A11='Données projet'!$A$62,'Données projet'!$B$62,AI10+AH11-AQ10)))</f>
        <v>5.9060723553126655</v>
      </c>
      <c r="AJ11" s="13">
        <f>AI11*VLOOKUP('Données projet'!$B$10,Paramètres!$A$1:$I$89,3,0)*VLOOKUP('Données projet'!$B$10,Paramètres!$A$1:$I$89,5,0)</f>
        <v>2.7640418622863274</v>
      </c>
      <c r="AK11" s="13">
        <f t="shared" si="35"/>
        <v>1.1316207122207593</v>
      </c>
      <c r="AL11" s="20">
        <f t="shared" si="4"/>
        <v>6.784945650599842</v>
      </c>
      <c r="AM11" s="59">
        <f t="shared" si="5"/>
        <v>273.22939009504432</v>
      </c>
      <c r="AN11" s="59">
        <f ca="1">AVERAGE(OFFSET($AM$3,0,0,'Données projet'!$E$10+1,1))-AVERAGE(OFFSET($H$3,0,0,'Données projet'!$E$10+1,1))</f>
        <v>294.78071095255143</v>
      </c>
      <c r="AO11" s="59">
        <f t="shared" si="36"/>
        <v>323.52003392365867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8.4</v>
      </c>
      <c r="N12" s="13">
        <f>IF('Données projet'!$A$36&gt;35,N11+M12-V11,IF(A12&lt;'Données projet'!$A$36,$K$205^A12,IF(A12='Données projet'!$A$36,'Données projet'!$B$36,N11+M12-V11)))</f>
        <v>18.206326510930136</v>
      </c>
      <c r="O12" s="13">
        <f>N12*VLOOKUP('Données projet'!$B$9,Paramètres!$A$1:$I$89,3,0)*VLOOKUP('Données projet'!$B$9,Paramètres!$A$1:$I$89,5,0)</f>
        <v>10.177336519609947</v>
      </c>
      <c r="P12" s="13">
        <f t="shared" si="33"/>
        <v>3.5801200227577907</v>
      </c>
      <c r="Q12" s="20">
        <f t="shared" si="2"/>
        <v>23.960903477957146</v>
      </c>
      <c r="R12" s="59">
        <f t="shared" si="0"/>
        <v>291.62757014462386</v>
      </c>
      <c r="S12" s="59">
        <f ca="1">AVERAGE(OFFSET($R$3,0,0,'Données projet'!$E$9+1,1))-AVERAGE(OFFSET($H$3,0,0,'Données projet'!$E$9+1,1))</f>
        <v>512.21337090113502</v>
      </c>
      <c r="T12" s="59">
        <f t="shared" si="34"/>
        <v>621.03633124474163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7.1739130434782608</v>
      </c>
      <c r="AI12" s="13">
        <f>IF('Données projet'!$A$62&gt;35,AI11+AH12-AQ11,IF(A12&lt;'Données projet'!$A$62,$AF$205^A12,IF(A12='Données projet'!$A$62,'Données projet'!$B$62,AI11+AH12-AQ11)))</f>
        <v>7.3741354165555206</v>
      </c>
      <c r="AJ12" s="13">
        <f>AI12*VLOOKUP('Données projet'!$B$10,Paramètres!$A$1:$I$89,3,0)*VLOOKUP('Données projet'!$B$10,Paramètres!$A$1:$I$89,5,0)</f>
        <v>3.4510953749479834</v>
      </c>
      <c r="AK12" s="13">
        <f t="shared" si="35"/>
        <v>1.376863338517442</v>
      </c>
      <c r="AL12" s="20">
        <f t="shared" si="4"/>
        <v>8.4086947592856145</v>
      </c>
      <c r="AM12" s="59">
        <f t="shared" si="5"/>
        <v>276.07536142595228</v>
      </c>
      <c r="AN12" s="59">
        <f ca="1">AVERAGE(OFFSET($AM$3,0,0,'Données projet'!$E$10+1,1))-AVERAGE(OFFSET($H$3,0,0,'Données projet'!$E$10+1,1))</f>
        <v>294.78071095255143</v>
      </c>
      <c r="AO12" s="59">
        <f t="shared" si="36"/>
        <v>323.52003392365867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8.4</v>
      </c>
      <c r="N13" s="13">
        <f>IF('Données projet'!$A$36&gt;35,N12+M13-V12,IF(A13&lt;'Données projet'!$A$36,$K$205^A13,IF(A13='Données projet'!$A$36,'Données projet'!$B$36,N12+M13-V12)))</f>
        <v>25.133156184720182</v>
      </c>
      <c r="O13" s="13">
        <f>N13*VLOOKUP('Données projet'!$B$9,Paramètres!$A$1:$I$89,3,0)*VLOOKUP('Données projet'!$B$9,Paramètres!$A$1:$I$89,5,0)</f>
        <v>14.049434307258583</v>
      </c>
      <c r="P13" s="13">
        <f t="shared" si="33"/>
        <v>4.7601804251080955</v>
      </c>
      <c r="Q13" s="20">
        <f t="shared" si="2"/>
        <v>32.760078992205301</v>
      </c>
      <c r="R13" s="59">
        <f t="shared" si="0"/>
        <v>301.64896788109417</v>
      </c>
      <c r="S13" s="59">
        <f ca="1">AVERAGE(OFFSET($R$3,0,0,'Données projet'!$E$9+1,1))-AVERAGE(OFFSET($H$3,0,0,'Données projet'!$E$9+1,1))</f>
        <v>512.21337090113502</v>
      </c>
      <c r="T13" s="59">
        <f t="shared" si="34"/>
        <v>621.03633124474163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7.1739130434782608</v>
      </c>
      <c r="AI13" s="13">
        <f>IF('Données projet'!$A$62&gt;35,AI12+AH13-AQ12,IF(A13&lt;'Données projet'!$A$62,$AF$205^A13,IF(A13='Données projet'!$A$62,'Données projet'!$B$62,AI12+AH13-AQ12)))</f>
        <v>9.2071125902790811</v>
      </c>
      <c r="AJ13" s="13">
        <f>AI13*VLOOKUP('Données projet'!$B$10,Paramètres!$A$1:$I$89,3,0)*VLOOKUP('Données projet'!$B$10,Paramètres!$A$1:$I$89,5,0)</f>
        <v>4.3089286922506105</v>
      </c>
      <c r="AK13" s="13">
        <f t="shared" si="35"/>
        <v>1.6752544668726144</v>
      </c>
      <c r="AL13" s="20">
        <f t="shared" si="4"/>
        <v>10.422452335472949</v>
      </c>
      <c r="AM13" s="59">
        <f t="shared" si="5"/>
        <v>279.3113412243618</v>
      </c>
      <c r="AN13" s="59">
        <f ca="1">AVERAGE(OFFSET($AM$3,0,0,'Données projet'!$E$10+1,1))-AVERAGE(OFFSET($H$3,0,0,'Données projet'!$E$10+1,1))</f>
        <v>294.78071095255143</v>
      </c>
      <c r="AO13" s="59">
        <f t="shared" si="36"/>
        <v>323.52003392365867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8.4</v>
      </c>
      <c r="N14" s="13">
        <f>IF('Données projet'!$A$36&gt;35,N13+M14-V13,IF(A14&lt;'Données projet'!$A$36,$K$205^A14,IF(A14='Données projet'!$A$36,'Données projet'!$B$36,N13+M14-V13)))</f>
        <v>34.695386761646446</v>
      </c>
      <c r="O14" s="13">
        <f>N14*VLOOKUP('Données projet'!$B$9,Paramètres!$A$1:$I$89,3,0)*VLOOKUP('Données projet'!$B$9,Paramètres!$A$1:$I$89,5,0)</f>
        <v>19.394721199760365</v>
      </c>
      <c r="P14" s="13">
        <f t="shared" si="33"/>
        <v>6.3292061538561635</v>
      </c>
      <c r="Q14" s="20">
        <f t="shared" si="2"/>
        <v>44.802506807548788</v>
      </c>
      <c r="R14" s="59">
        <f t="shared" si="0"/>
        <v>314.91361791865995</v>
      </c>
      <c r="S14" s="59">
        <f ca="1">AVERAGE(OFFSET($R$3,0,0,'Données projet'!$E$9+1,1))-AVERAGE(OFFSET($H$3,0,0,'Données projet'!$E$9+1,1))</f>
        <v>512.21337090113502</v>
      </c>
      <c r="T14" s="59">
        <f t="shared" si="34"/>
        <v>621.03633124474163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7.1739130434782608</v>
      </c>
      <c r="AI14" s="13">
        <f>IF('Données projet'!$A$62&gt;35,AI13+AH14-AQ13,IF(A14&lt;'Données projet'!$A$62,$AF$205^A14,IF(A14='Données projet'!$A$62,'Données projet'!$B$62,AI13+AH14-AQ13)))</f>
        <v>11.495710000084632</v>
      </c>
      <c r="AJ14" s="13">
        <f>AI14*VLOOKUP('Données projet'!$B$10,Paramètres!$A$1:$I$89,3,0)*VLOOKUP('Données projet'!$B$10,Paramètres!$A$1:$I$89,5,0)</f>
        <v>5.3799922800396081</v>
      </c>
      <c r="AK14" s="13">
        <f t="shared" si="35"/>
        <v>2.0383123366466882</v>
      </c>
      <c r="AL14" s="20">
        <f t="shared" si="4"/>
        <v>12.920213874061965</v>
      </c>
      <c r="AM14" s="59">
        <f t="shared" si="5"/>
        <v>283.03132498517311</v>
      </c>
      <c r="AN14" s="59">
        <f ca="1">AVERAGE(OFFSET($AM$3,0,0,'Données projet'!$E$10+1,1))-AVERAGE(OFFSET($H$3,0,0,'Données projet'!$E$10+1,1))</f>
        <v>294.78071095255143</v>
      </c>
      <c r="AO14" s="59">
        <f t="shared" si="36"/>
        <v>323.52003392365867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8.4</v>
      </c>
      <c r="N15" s="13">
        <f>IF('Données projet'!$A$36&gt;35,N14+M15-V14,IF(A15&lt;'Données projet'!$A$36,$K$205^A15,IF(A15='Données projet'!$A$36,'Données projet'!$B$36,N14+M15-V14)))</f>
        <v>47.895690206710654</v>
      </c>
      <c r="O15" s="13">
        <f>N15*VLOOKUP('Données projet'!$B$9,Paramètres!$A$1:$I$89,3,0)*VLOOKUP('Données projet'!$B$9,Paramètres!$A$1:$I$89,5,0)</f>
        <v>26.77369082555126</v>
      </c>
      <c r="P15" s="13">
        <f t="shared" si="33"/>
        <v>8.415405921741101</v>
      </c>
      <c r="Q15" s="20">
        <f t="shared" si="2"/>
        <v>61.287676834867518</v>
      </c>
      <c r="R15" s="59">
        <f t="shared" si="0"/>
        <v>332.62101016820083</v>
      </c>
      <c r="S15" s="59">
        <f ca="1">AVERAGE(OFFSET($R$3,0,0,'Données projet'!$E$9+1,1))-AVERAGE(OFFSET($H$3,0,0,'Données projet'!$E$9+1,1))</f>
        <v>512.21337090113502</v>
      </c>
      <c r="T15" s="59">
        <f t="shared" si="34"/>
        <v>621.03633124474163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7.1739130434782608</v>
      </c>
      <c r="AI15" s="13">
        <f>IF('Données projet'!$A$62&gt;35,AI14+AH15-AQ14,IF(A15&lt;'Données projet'!$A$62,$AF$205^A15,IF(A15='Données projet'!$A$62,'Données projet'!$B$62,AI14+AH15-AQ14)))</f>
        <v>14.353180447209034</v>
      </c>
      <c r="AJ15" s="13">
        <f>AI15*VLOOKUP('Données projet'!$B$10,Paramètres!$A$1:$I$89,3,0)*VLOOKUP('Données projet'!$B$10,Paramètres!$A$1:$I$89,5,0)</f>
        <v>6.7172884492938278</v>
      </c>
      <c r="AK15" s="13">
        <f t="shared" si="35"/>
        <v>2.4800513974943508</v>
      </c>
      <c r="AL15" s="20">
        <f t="shared" si="4"/>
        <v>16.018700233156078</v>
      </c>
      <c r="AM15" s="59">
        <f t="shared" si="5"/>
        <v>287.35203356648941</v>
      </c>
      <c r="AN15" s="59">
        <f ca="1">AVERAGE(OFFSET($AM$3,0,0,'Données projet'!$E$10+1,1))-AVERAGE(OFFSET($H$3,0,0,'Données projet'!$E$10+1,1))</f>
        <v>294.78071095255143</v>
      </c>
      <c r="AO15" s="59">
        <f t="shared" si="36"/>
        <v>323.52003392365867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8.4</v>
      </c>
      <c r="N16" s="13">
        <f>IF('Données projet'!$A$36&gt;35,N15+M16-V15,IF(A16&lt;'Données projet'!$A$36,$K$205^A16,IF(A16='Données projet'!$A$36,'Données projet'!$B$36,N15+M16-V15)))</f>
        <v>66.118217852324591</v>
      </c>
      <c r="O16" s="13">
        <f>N16*VLOOKUP('Données projet'!$B$9,Paramètres!$A$1:$I$89,3,0)*VLOOKUP('Données projet'!$B$9,Paramètres!$A$1:$I$89,5,0)</f>
        <v>36.960083779449448</v>
      </c>
      <c r="P16" s="13">
        <f t="shared" si="33"/>
        <v>11.189247925591365</v>
      </c>
      <c r="Q16" s="20">
        <f t="shared" si="2"/>
        <v>83.860086052946073</v>
      </c>
      <c r="R16" s="59">
        <f t="shared" si="0"/>
        <v>356.41564160850163</v>
      </c>
      <c r="S16" s="59">
        <f ca="1">AVERAGE(OFFSET($R$3,0,0,'Données projet'!$E$9+1,1))-AVERAGE(OFFSET($H$3,0,0,'Données projet'!$E$9+1,1))</f>
        <v>512.21337090113502</v>
      </c>
      <c r="T16" s="59">
        <f t="shared" si="34"/>
        <v>621.03633124474163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7.1739130434782608</v>
      </c>
      <c r="AI16" s="13">
        <f>IF('Données projet'!$A$62&gt;35,AI15+AH16-AQ15,IF(A16&lt;'Données projet'!$A$62,$AF$205^A16,IF(A16='Données projet'!$A$62,'Données projet'!$B$62,AI15+AH16-AQ15)))</f>
        <v>17.920927802513027</v>
      </c>
      <c r="AJ16" s="13">
        <f>AI16*VLOOKUP('Données projet'!$B$10,Paramètres!$A$1:$I$89,3,0)*VLOOKUP('Données projet'!$B$10,Paramètres!$A$1:$I$89,5,0)</f>
        <v>8.3869942115760967</v>
      </c>
      <c r="AK16" s="13">
        <f t="shared" si="35"/>
        <v>3.0175232831747367</v>
      </c>
      <c r="AL16" s="20">
        <f t="shared" si="4"/>
        <v>19.862867970024372</v>
      </c>
      <c r="AM16" s="59">
        <f t="shared" si="5"/>
        <v>292.4184235255799</v>
      </c>
      <c r="AN16" s="59">
        <f ca="1">AVERAGE(OFFSET($AM$3,0,0,'Données projet'!$E$10+1,1))-AVERAGE(OFFSET($H$3,0,0,'Données projet'!$E$10+1,1))</f>
        <v>294.78071095255143</v>
      </c>
      <c r="AO16" s="59">
        <f t="shared" si="36"/>
        <v>323.52003392365867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8.4</v>
      </c>
      <c r="N17" s="13">
        <f>IF('Données projet'!$A$36&gt;35,N16+M17-V16,IF(A17&lt;'Données projet'!$A$36,$K$205^A17,IF(A17='Données projet'!$A$36,'Données projet'!$B$36,N16+M17-V16)))</f>
        <v>91.273739100537057</v>
      </c>
      <c r="O17" s="13">
        <f>N17*VLOOKUP('Données projet'!$B$9,Paramètres!$A$1:$I$89,3,0)*VLOOKUP('Données projet'!$B$9,Paramètres!$A$1:$I$89,5,0)</f>
        <v>51.02202015720021</v>
      </c>
      <c r="P17" s="13">
        <f t="shared" si="33"/>
        <v>14.877389196033896</v>
      </c>
      <c r="Q17" s="20">
        <f t="shared" si="2"/>
        <v>114.7748046235494</v>
      </c>
      <c r="R17" s="59">
        <f t="shared" si="0"/>
        <v>388.55258240132719</v>
      </c>
      <c r="S17" s="59">
        <f ca="1">AVERAGE(OFFSET($R$3,0,0,'Données projet'!$E$9+1,1))-AVERAGE(OFFSET($H$3,0,0,'Données projet'!$E$9+1,1))</f>
        <v>512.21337090113502</v>
      </c>
      <c r="T17" s="59">
        <f t="shared" si="34"/>
        <v>621.03633124474163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7.1739130434782608</v>
      </c>
      <c r="AI17" s="13">
        <f>IF('Données projet'!$A$62&gt;35,AI16+AH17-AQ16,IF(A17&lt;'Données projet'!$A$62,$AF$205^A17,IF(A17='Données projet'!$A$62,'Données projet'!$B$62,AI16+AH17-AQ16)))</f>
        <v>22.375504473319271</v>
      </c>
      <c r="AJ17" s="13">
        <f>AI17*VLOOKUP('Données projet'!$B$10,Paramètres!$A$1:$I$89,3,0)*VLOOKUP('Données projet'!$B$10,Paramètres!$A$1:$I$89,5,0)</f>
        <v>10.471736093513419</v>
      </c>
      <c r="AK17" s="13">
        <f t="shared" si="35"/>
        <v>3.6714750241471097</v>
      </c>
      <c r="AL17" s="20">
        <f t="shared" si="4"/>
        <v>24.632759363258756</v>
      </c>
      <c r="AM17" s="59">
        <f t="shared" si="5"/>
        <v>298.41053714103651</v>
      </c>
      <c r="AN17" s="59">
        <f ca="1">AVERAGE(OFFSET($AM$3,0,0,'Données projet'!$E$10+1,1))-AVERAGE(OFFSET($H$3,0,0,'Données projet'!$E$10+1,1))</f>
        <v>294.78071095255143</v>
      </c>
      <c r="AO17" s="59">
        <f t="shared" si="36"/>
        <v>323.52003392365867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126</v>
      </c>
      <c r="L18" s="12">
        <f>VLOOKUP(A18,'Données projet'!$A$35:$I$55,9,0)</f>
        <v>8.4</v>
      </c>
      <c r="M18" s="12">
        <f t="array" ref="M18">INDEX(L:L,MIN(IF(ISNUMBER(L18:L214),ROW(L18:L214),"")))</f>
        <v>8.4</v>
      </c>
      <c r="N18" s="13">
        <f>IF('Données projet'!$A$36&gt;35,N17+M18-V17,IF(A18&lt;'Données projet'!$A$36,$K$205^A18,IF(A18='Données projet'!$A$36,'Données projet'!$B$36,N17+M18-V17)))</f>
        <v>126</v>
      </c>
      <c r="O18" s="13">
        <f>N18*VLOOKUP('Données projet'!$B$9,Paramètres!$A$1:$I$89,3,0)*VLOOKUP('Données projet'!$B$9,Paramètres!$A$1:$I$89,5,0)</f>
        <v>70.433999999999997</v>
      </c>
      <c r="P18" s="13">
        <f t="shared" si="33"/>
        <v>19.78119626646561</v>
      </c>
      <c r="Q18" s="20">
        <f t="shared" si="2"/>
        <v>157.12480016409424</v>
      </c>
      <c r="R18" s="59">
        <f t="shared" si="0"/>
        <v>432.12480016409427</v>
      </c>
      <c r="S18" s="59">
        <f ca="1">AVERAGE(OFFSET($R$3,0,0,'Données projet'!$E$9+1,1))-AVERAGE(OFFSET($H$3,0,0,'Données projet'!$E$9+1,1))</f>
        <v>512.21337090113502</v>
      </c>
      <c r="T18" s="59">
        <f t="shared" si="34"/>
        <v>621.03633124474163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7.1739130434782608</v>
      </c>
      <c r="AI18" s="13">
        <f>IF('Données projet'!$A$62&gt;35,AI17+AH18-AQ17,IF(A18&lt;'Données projet'!$A$62,$AF$205^A18,IF(A18='Données projet'!$A$62,'Données projet'!$B$62,AI17+AH18-AQ17)))</f>
        <v>27.937348219511456</v>
      </c>
      <c r="AJ18" s="13">
        <f>AI18*VLOOKUP('Données projet'!$B$10,Paramètres!$A$1:$I$89,3,0)*VLOOKUP('Données projet'!$B$10,Paramètres!$A$1:$I$89,5,0)</f>
        <v>13.074678966731362</v>
      </c>
      <c r="AK18" s="13">
        <f t="shared" si="35"/>
        <v>4.4671499067122324</v>
      </c>
      <c r="AL18" s="20">
        <f t="shared" si="4"/>
        <v>30.552018621247594</v>
      </c>
      <c r="AM18" s="59">
        <f t="shared" si="5"/>
        <v>305.55201862124761</v>
      </c>
      <c r="AN18" s="59">
        <f ca="1">AVERAGE(OFFSET($AM$3,0,0,'Données projet'!$E$10+1,1))-AVERAGE(OFFSET($H$3,0,0,'Données projet'!$E$10+1,1))</f>
        <v>294.78071095255143</v>
      </c>
      <c r="AO18" s="59">
        <f t="shared" si="36"/>
        <v>323.52003392365867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22.4</v>
      </c>
      <c r="N19" s="13">
        <f>IF('Données projet'!$A$36&gt;35,N18+M19-V18,IF(A19&lt;'Données projet'!$A$36,$K$205^A19,IF(A19='Données projet'!$A$36,'Données projet'!$B$36,N18+M19-V18)))</f>
        <v>148.4</v>
      </c>
      <c r="O19" s="13">
        <f>N19*VLOOKUP('Données projet'!$B$9,Paramètres!$A$1:$I$89,3,0)*VLOOKUP('Données projet'!$B$9,Paramètres!$A$1:$I$89,5,0)</f>
        <v>82.955600000000004</v>
      </c>
      <c r="P19" s="13">
        <f t="shared" si="33"/>
        <v>22.858310787063903</v>
      </c>
      <c r="Q19" s="20">
        <f t="shared" si="2"/>
        <v>184.29256128746965</v>
      </c>
      <c r="R19" s="59">
        <f t="shared" si="0"/>
        <v>460.51478350969188</v>
      </c>
      <c r="S19" s="59">
        <f ca="1">AVERAGE(OFFSET($R$3,0,0,'Données projet'!$E$9+1,1))-AVERAGE(OFFSET($H$3,0,0,'Données projet'!$E$9+1,1))</f>
        <v>512.21337090113502</v>
      </c>
      <c r="T19" s="59">
        <f t="shared" si="34"/>
        <v>621.03633124474163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7.1739130434782608</v>
      </c>
      <c r="AI19" s="13">
        <f>IF('Données projet'!$A$62&gt;35,AI18+AH19-AQ18,IF(A19&lt;'Données projet'!$A$62,$AF$205^A19,IF(A19='Données projet'!$A$62,'Données projet'!$B$62,AI18+AH19-AQ18)))</f>
        <v>34.881690666188497</v>
      </c>
      <c r="AJ19" s="13">
        <f>AI19*VLOOKUP('Données projet'!$B$10,Paramètres!$A$1:$I$89,3,0)*VLOOKUP('Données projet'!$B$10,Paramètres!$A$1:$I$89,5,0)</f>
        <v>16.324631231776216</v>
      </c>
      <c r="AK19" s="13">
        <f t="shared" si="35"/>
        <v>5.4352618927796694</v>
      </c>
      <c r="AL19" s="20">
        <f t="shared" si="4"/>
        <v>37.89848052526817</v>
      </c>
      <c r="AM19" s="59">
        <f t="shared" si="5"/>
        <v>314.12070274749038</v>
      </c>
      <c r="AN19" s="59">
        <f ca="1">AVERAGE(OFFSET($AM$3,0,0,'Données projet'!$E$10+1,1))-AVERAGE(OFFSET($H$3,0,0,'Données projet'!$E$10+1,1))</f>
        <v>294.78071095255143</v>
      </c>
      <c r="AO19" s="59">
        <f t="shared" si="36"/>
        <v>323.52003392365867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22.4</v>
      </c>
      <c r="N20" s="13">
        <f>IF('Données projet'!$A$36&gt;35,N19+M20-V19,IF(A20&lt;'Données projet'!$A$36,$K$205^A20,IF(A20='Données projet'!$A$36,'Données projet'!$B$36,N19+M20-V19)))</f>
        <v>170.8</v>
      </c>
      <c r="O20" s="13">
        <f>N20*VLOOKUP('Données projet'!$B$9,Paramètres!$A$1:$I$89,3,0)*VLOOKUP('Données projet'!$B$9,Paramètres!$A$1:$I$89,5,0)</f>
        <v>95.477200000000011</v>
      </c>
      <c r="P20" s="13">
        <f t="shared" si="33"/>
        <v>25.881617647431607</v>
      </c>
      <c r="Q20" s="20">
        <f t="shared" si="2"/>
        <v>211.36660740261004</v>
      </c>
      <c r="R20" s="59">
        <f t="shared" si="0"/>
        <v>488.8110518470545</v>
      </c>
      <c r="S20" s="59">
        <f ca="1">AVERAGE(OFFSET($R$3,0,0,'Données projet'!$E$9+1,1))-AVERAGE(OFFSET($H$3,0,0,'Données projet'!$E$9+1,1))</f>
        <v>512.21337090113502</v>
      </c>
      <c r="T20" s="59">
        <f t="shared" si="34"/>
        <v>621.03633124474163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7.1739130434782608</v>
      </c>
      <c r="AI20" s="13">
        <f>IF('Données projet'!$A$62&gt;35,AI19+AH20-AQ19,IF(A20&lt;'Données projet'!$A$62,$AF$205^A20,IF(A20='Données projet'!$A$62,'Données projet'!$B$62,AI19+AH20-AQ19)))</f>
        <v>43.552177328050611</v>
      </c>
      <c r="AJ20" s="13">
        <f>AI20*VLOOKUP('Données projet'!$B$10,Paramètres!$A$1:$I$89,3,0)*VLOOKUP('Données projet'!$B$10,Paramètres!$A$1:$I$89,5,0)</f>
        <v>20.382418989527686</v>
      </c>
      <c r="AK20" s="13">
        <f t="shared" si="35"/>
        <v>6.6131812139802273</v>
      </c>
      <c r="AL20" s="20">
        <f t="shared" si="4"/>
        <v>47.017337021109604</v>
      </c>
      <c r="AM20" s="59">
        <f t="shared" si="5"/>
        <v>324.46178146555405</v>
      </c>
      <c r="AN20" s="59">
        <f ca="1">AVERAGE(OFFSET($AM$3,0,0,'Données projet'!$E$10+1,1))-AVERAGE(OFFSET($H$3,0,0,'Données projet'!$E$10+1,1))</f>
        <v>294.78071095255143</v>
      </c>
      <c r="AO20" s="59">
        <f t="shared" si="36"/>
        <v>323.52003392365867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22.4</v>
      </c>
      <c r="N21" s="13">
        <f>IF('Données projet'!$A$36&gt;35,N20+M21-V20,IF(A21&lt;'Données projet'!$A$36,$K$205^A21,IF(A21='Données projet'!$A$36,'Données projet'!$B$36,N20+M21-V20)))</f>
        <v>193.20000000000002</v>
      </c>
      <c r="O21" s="13">
        <f>N21*VLOOKUP('Données projet'!$B$9,Paramètres!$A$1:$I$89,3,0)*VLOOKUP('Données projet'!$B$9,Paramètres!$A$1:$I$89,5,0)</f>
        <v>107.99880000000002</v>
      </c>
      <c r="P21" s="13">
        <f t="shared" si="33"/>
        <v>28.858983600701585</v>
      </c>
      <c r="Q21" s="20">
        <f t="shared" si="2"/>
        <v>238.36063977122194</v>
      </c>
      <c r="R21" s="59">
        <f t="shared" si="0"/>
        <v>517.02730643788868</v>
      </c>
      <c r="S21" s="59">
        <f ca="1">AVERAGE(OFFSET($R$3,0,0,'Données projet'!$E$9+1,1))-AVERAGE(OFFSET($H$3,0,0,'Données projet'!$E$9+1,1))</f>
        <v>512.21337090113502</v>
      </c>
      <c r="T21" s="59">
        <f t="shared" si="34"/>
        <v>621.03633124474163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7.1739130434782608</v>
      </c>
      <c r="AI21" s="13">
        <f>IF('Données projet'!$A$62&gt;35,AI20+AH21-AQ20,IF(A21&lt;'Données projet'!$A$62,$AF$205^A21,IF(A21='Données projet'!$A$62,'Données projet'!$B$62,AI20+AH21-AQ20)))</f>
        <v>54.377873141698466</v>
      </c>
      <c r="AJ21" s="13">
        <f>AI21*VLOOKUP('Données projet'!$B$10,Paramètres!$A$1:$I$89,3,0)*VLOOKUP('Données projet'!$B$10,Paramètres!$A$1:$I$89,5,0)</f>
        <v>25.448844630314881</v>
      </c>
      <c r="AK21" s="13">
        <f t="shared" si="35"/>
        <v>8.0463769054143359</v>
      </c>
      <c r="AL21" s="20">
        <f t="shared" si="4"/>
        <v>58.337510841395044</v>
      </c>
      <c r="AM21" s="59">
        <f t="shared" si="5"/>
        <v>337.00417750806173</v>
      </c>
      <c r="AN21" s="59">
        <f ca="1">AVERAGE(OFFSET($AM$3,0,0,'Données projet'!$E$10+1,1))-AVERAGE(OFFSET($H$3,0,0,'Données projet'!$E$10+1,1))</f>
        <v>294.78071095255143</v>
      </c>
      <c r="AO21" s="59">
        <f t="shared" si="36"/>
        <v>323.52003392365867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22.4</v>
      </c>
      <c r="N22" s="13">
        <f>IF('Données projet'!$A$36&gt;35,N21+M22-V21,IF(A22&lt;'Données projet'!$A$36,$K$205^A22,IF(A22='Données projet'!$A$36,'Données projet'!$B$36,N21+M22-V21)))</f>
        <v>215.60000000000002</v>
      </c>
      <c r="O22" s="13">
        <f>N22*VLOOKUP('Données projet'!$B$9,Paramètres!$A$1:$I$89,3,0)*VLOOKUP('Données projet'!$B$9,Paramètres!$A$1:$I$89,5,0)</f>
        <v>120.52040000000002</v>
      </c>
      <c r="P22" s="13">
        <f t="shared" si="33"/>
        <v>31.796343463250214</v>
      </c>
      <c r="Q22" s="20">
        <f t="shared" si="2"/>
        <v>265.2849948651608</v>
      </c>
      <c r="R22" s="59">
        <f t="shared" si="0"/>
        <v>545.17388375404971</v>
      </c>
      <c r="S22" s="59">
        <f ca="1">AVERAGE(OFFSET($R$3,0,0,'Données projet'!$E$9+1,1))-AVERAGE(OFFSET($H$3,0,0,'Données projet'!$E$9+1,1))</f>
        <v>512.21337090113502</v>
      </c>
      <c r="T22" s="59">
        <f t="shared" si="34"/>
        <v>621.03633124474163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7.1739130434782608</v>
      </c>
      <c r="AI22" s="13">
        <f>IF('Données projet'!$A$62&gt;35,AI21+AH22-AQ21,IF(A22&lt;'Données projet'!$A$62,$AF$205^A22,IF(A22='Données projet'!$A$62,'Données projet'!$B$62,AI21+AH22-AQ21)))</f>
        <v>67.894495036191216</v>
      </c>
      <c r="AJ22" s="13">
        <f>AI22*VLOOKUP('Données projet'!$B$10,Paramètres!$A$1:$I$89,3,0)*VLOOKUP('Données projet'!$B$10,Paramètres!$A$1:$I$89,5,0)</f>
        <v>31.774623676937491</v>
      </c>
      <c r="AK22" s="13">
        <f t="shared" si="35"/>
        <v>9.7901719624915806</v>
      </c>
      <c r="AL22" s="20">
        <f t="shared" si="4"/>
        <v>72.392019072005624</v>
      </c>
      <c r="AM22" s="59">
        <f t="shared" si="5"/>
        <v>352.28090796089447</v>
      </c>
      <c r="AN22" s="59">
        <f ca="1">AVERAGE(OFFSET($AM$3,0,0,'Données projet'!$E$10+1,1))-AVERAGE(OFFSET($H$3,0,0,'Données projet'!$E$10+1,1))</f>
        <v>294.78071095255143</v>
      </c>
      <c r="AO22" s="59">
        <f t="shared" si="36"/>
        <v>323.52003392365867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238</v>
      </c>
      <c r="L23" s="12">
        <f>VLOOKUP(A23,'Données projet'!$A$35:$I$55,9,0)</f>
        <v>22.4</v>
      </c>
      <c r="M23" s="12">
        <f t="array" ref="M23">INDEX(L:L,MIN(IF(ISNUMBER(L23:L219),ROW(L23:L219),"")))</f>
        <v>22.4</v>
      </c>
      <c r="N23" s="13">
        <f>IF('Données projet'!$A$36&gt;35,N22+M23-V22,IF(A23&lt;'Données projet'!$A$36,$K$205^A23,IF(A23='Données projet'!$A$36,'Données projet'!$B$36,N22+M23-V22)))</f>
        <v>238.00000000000003</v>
      </c>
      <c r="O23" s="13">
        <f>N23*VLOOKUP('Données projet'!$B$9,Paramètres!$A$1:$I$89,3,0)*VLOOKUP('Données projet'!$B$9,Paramètres!$A$1:$I$89,5,0)</f>
        <v>133.04200000000003</v>
      </c>
      <c r="P23" s="13">
        <f t="shared" si="33"/>
        <v>34.69832716285007</v>
      </c>
      <c r="Q23" s="20">
        <f t="shared" si="2"/>
        <v>292.14773647529722</v>
      </c>
      <c r="R23" s="59">
        <f t="shared" si="0"/>
        <v>573.25884758640836</v>
      </c>
      <c r="S23" s="59">
        <f ca="1">AVERAGE(OFFSET($R$3,0,0,'Données projet'!$E$9+1,1))-AVERAGE(OFFSET($H$3,0,0,'Données projet'!$E$9+1,1))</f>
        <v>512.21337090113502</v>
      </c>
      <c r="T23" s="59">
        <f t="shared" si="34"/>
        <v>621.03633124474163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7.1739130434782608</v>
      </c>
      <c r="AI23" s="13">
        <f>IF('Données projet'!$A$62&gt;35,AI22+AH23-AQ22,IF(A23&lt;'Données projet'!$A$62,$AF$205^A23,IF(A23='Données projet'!$A$62,'Données projet'!$B$62,AI22+AH23-AQ22)))</f>
        <v>84.770922250075557</v>
      </c>
      <c r="AJ23" s="13">
        <f>AI23*VLOOKUP('Données projet'!$B$10,Paramètres!$A$1:$I$89,3,0)*VLOOKUP('Données projet'!$B$10,Paramètres!$A$1:$I$89,5,0)</f>
        <v>39.672791613035358</v>
      </c>
      <c r="AK23" s="13">
        <f t="shared" si="35"/>
        <v>11.911878871925735</v>
      </c>
      <c r="AL23" s="20">
        <f t="shared" si="4"/>
        <v>89.843301094640552</v>
      </c>
      <c r="AM23" s="59">
        <f t="shared" si="5"/>
        <v>370.95441220575168</v>
      </c>
      <c r="AN23" s="59">
        <f ca="1">AVERAGE(OFFSET($AM$3,0,0,'Données projet'!$E$10+1,1))-AVERAGE(OFFSET($H$3,0,0,'Données projet'!$E$10+1,1))</f>
        <v>294.78071095255143</v>
      </c>
      <c r="AO23" s="59">
        <f t="shared" si="36"/>
        <v>323.52003392365867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26.8</v>
      </c>
      <c r="N24" s="13">
        <f>IF('Données projet'!$A$36&gt;35,N23+M24-V23,IF(A24&lt;'Données projet'!$A$36,$K$205^A24,IF(A24='Données projet'!$A$36,'Données projet'!$B$36,N23+M24-V23)))</f>
        <v>264.8</v>
      </c>
      <c r="O24" s="13">
        <f>N24*VLOOKUP('Données projet'!$B$9,Paramètres!$A$1:$I$89,3,0)*VLOOKUP('Données projet'!$B$9,Paramètres!$A$1:$I$89,5,0)</f>
        <v>148.0232</v>
      </c>
      <c r="P24" s="13">
        <f t="shared" si="33"/>
        <v>38.129004463240541</v>
      </c>
      <c r="Q24" s="20">
        <f t="shared" si="2"/>
        <v>324.21508944014391</v>
      </c>
      <c r="R24" s="59">
        <f t="shared" si="0"/>
        <v>606.54842277347723</v>
      </c>
      <c r="S24" s="59">
        <f ca="1">AVERAGE(OFFSET($R$3,0,0,'Données projet'!$E$9+1,1))-AVERAGE(OFFSET($H$3,0,0,'Données projet'!$E$9+1,1))</f>
        <v>512.21337090113502</v>
      </c>
      <c r="T24" s="59">
        <f t="shared" si="34"/>
        <v>621.03633124474163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7.1739130434782608</v>
      </c>
      <c r="AI24" s="13">
        <f>IF('Données projet'!$A$62&gt;35,AI23+AH24-AQ23,IF(A24&lt;'Données projet'!$A$62,$AF$205^A24,IF(A24='Données projet'!$A$62,'Données projet'!$B$62,AI23+AH24-AQ23)))</f>
        <v>105.84229627597635</v>
      </c>
      <c r="AJ24" s="13">
        <f>AI24*VLOOKUP('Données projet'!$B$10,Paramètres!$A$1:$I$89,3,0)*VLOOKUP('Données projet'!$B$10,Paramètres!$A$1:$I$89,5,0)</f>
        <v>49.534194657156931</v>
      </c>
      <c r="AK24" s="13">
        <f t="shared" si="35"/>
        <v>14.493397950828152</v>
      </c>
      <c r="AL24" s="20">
        <f t="shared" si="4"/>
        <v>111.51472379224067</v>
      </c>
      <c r="AM24" s="59">
        <f t="shared" si="5"/>
        <v>393.84805712557397</v>
      </c>
      <c r="AN24" s="59">
        <f ca="1">AVERAGE(OFFSET($AM$3,0,0,'Données projet'!$E$10+1,1))-AVERAGE(OFFSET($H$3,0,0,'Données projet'!$E$10+1,1))</f>
        <v>294.78071095255143</v>
      </c>
      <c r="AO24" s="59">
        <f t="shared" si="36"/>
        <v>323.52003392365867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26.8</v>
      </c>
      <c r="N25" s="13">
        <f>IF('Données projet'!$A$36&gt;35,N24+M25-V24,IF(A25&lt;'Données projet'!$A$36,$K$205^A25,IF(A25='Données projet'!$A$36,'Données projet'!$B$36,N24+M25-V24)))</f>
        <v>291.60000000000002</v>
      </c>
      <c r="O25" s="13">
        <f>N25*VLOOKUP('Données projet'!$B$9,Paramètres!$A$1:$I$89,3,0)*VLOOKUP('Données projet'!$B$9,Paramètres!$A$1:$I$89,5,0)</f>
        <v>163.0044</v>
      </c>
      <c r="P25" s="13">
        <f t="shared" si="33"/>
        <v>41.519430766049162</v>
      </c>
      <c r="Q25" s="20">
        <f t="shared" si="2"/>
        <v>356.21233858420231</v>
      </c>
      <c r="R25" s="59">
        <f t="shared" si="0"/>
        <v>639.7678941397578</v>
      </c>
      <c r="S25" s="59">
        <f ca="1">AVERAGE(OFFSET($R$3,0,0,'Données projet'!$E$9+1,1))-AVERAGE(OFFSET($H$3,0,0,'Données projet'!$E$9+1,1))</f>
        <v>512.21337090113502</v>
      </c>
      <c r="T25" s="59">
        <f t="shared" si="34"/>
        <v>621.03633124474163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7.1739130434782608</v>
      </c>
      <c r="AI25" s="13">
        <f>IF('Données projet'!$A$62&gt;35,AI24+AH25-AQ24,IF(A25&lt;'Données projet'!$A$62,$AF$205^A25,IF(A25='Données projet'!$A$62,'Données projet'!$B$62,AI24+AH25-AQ24)))</f>
        <v>132.15134840604583</v>
      </c>
      <c r="AJ25" s="13">
        <f>AI25*VLOOKUP('Données projet'!$B$10,Paramètres!$A$1:$I$89,3,0)*VLOOKUP('Données projet'!$B$10,Paramètres!$A$1:$I$89,5,0)</f>
        <v>61.846831054029444</v>
      </c>
      <c r="AK25" s="13">
        <f t="shared" si="35"/>
        <v>17.634378792764753</v>
      </c>
      <c r="AL25" s="20">
        <f t="shared" si="4"/>
        <v>138.42977381649987</v>
      </c>
      <c r="AM25" s="59">
        <f t="shared" si="5"/>
        <v>421.98532937205539</v>
      </c>
      <c r="AN25" s="59">
        <f ca="1">AVERAGE(OFFSET($AM$3,0,0,'Données projet'!$E$10+1,1))-AVERAGE(OFFSET($H$3,0,0,'Données projet'!$E$10+1,1))</f>
        <v>294.78071095255143</v>
      </c>
      <c r="AO25" s="59">
        <f t="shared" si="36"/>
        <v>323.52003392365867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26.8</v>
      </c>
      <c r="N26" s="13">
        <f>IF('Données projet'!$A$36&gt;35,N25+M26-V25,IF(A26&lt;'Données projet'!$A$36,$K$205^A26,IF(A26='Données projet'!$A$36,'Données projet'!$B$36,N25+M26-V25)))</f>
        <v>318.40000000000003</v>
      </c>
      <c r="O26" s="13">
        <f>N26*VLOOKUP('Données projet'!$B$9,Paramètres!$A$1:$I$89,3,0)*VLOOKUP('Données projet'!$B$9,Paramètres!$A$1:$I$89,5,0)</f>
        <v>177.98560000000001</v>
      </c>
      <c r="P26" s="13">
        <f t="shared" si="33"/>
        <v>44.873726155533582</v>
      </c>
      <c r="Q26" s="20">
        <f t="shared" si="2"/>
        <v>388.14665972088761</v>
      </c>
      <c r="R26" s="59">
        <f t="shared" si="0"/>
        <v>672.92443749866538</v>
      </c>
      <c r="S26" s="59">
        <f ca="1">AVERAGE(OFFSET($R$3,0,0,'Données projet'!$E$9+1,1))-AVERAGE(OFFSET($H$3,0,0,'Données projet'!$E$9+1,1))</f>
        <v>512.21337090113502</v>
      </c>
      <c r="T26" s="59">
        <f t="shared" si="34"/>
        <v>621.03633124474163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>
        <f>VLOOKUP(A26,'Données projet'!$A$61:$I$81,2,0)</f>
        <v>165</v>
      </c>
      <c r="AG26" s="12">
        <f>VLOOKUP(A26,'Données projet'!$A$61:$I$81,9,0)</f>
        <v>7.1739130434782608</v>
      </c>
      <c r="AH26" s="12">
        <f t="array" ref="AH26">INDEX(AG:AG,MIN(IF(ISNUMBER(AG26:AG222),ROW(AG26:AG222),"")))</f>
        <v>7.1739130434782608</v>
      </c>
      <c r="AI26" s="13">
        <f>IF('Données projet'!$A$62&gt;35,AI25+AH26-AQ25,IF(A26&lt;'Données projet'!$A$62,$AF$205^A26,IF(A26='Données projet'!$A$62,'Données projet'!$B$62,AI25+AH26-AQ25)))</f>
        <v>165</v>
      </c>
      <c r="AJ26" s="13">
        <f>AI26*VLOOKUP('Données projet'!$B$10,Paramètres!$A$1:$I$89,3,0)*VLOOKUP('Données projet'!$B$10,Paramètres!$A$1:$I$89,5,0)</f>
        <v>77.22</v>
      </c>
      <c r="AK26" s="13">
        <f t="shared" si="35"/>
        <v>21.456066856215884</v>
      </c>
      <c r="AL26" s="20">
        <f t="shared" si="4"/>
        <v>171.86081644124263</v>
      </c>
      <c r="AM26" s="59">
        <f t="shared" si="5"/>
        <v>456.63859421902043</v>
      </c>
      <c r="AN26" s="59">
        <f ca="1">AVERAGE(OFFSET($AM$3,0,0,'Données projet'!$E$10+1,1))-AVERAGE(OFFSET($H$3,0,0,'Données projet'!$E$10+1,1))</f>
        <v>294.78071095255143</v>
      </c>
      <c r="AO26" s="59">
        <f t="shared" si="36"/>
        <v>323.52003392365867</v>
      </c>
      <c r="AP26" s="15">
        <f>IF(ISNA(VLOOKUP(A26,'Données projet'!$A$61:$I$81,3,0)),0,VLOOKUP(A26,'Données projet'!$A$61:$I$81,3,0))</f>
        <v>1</v>
      </c>
      <c r="AQ26" s="15">
        <f>IF(ISNA(VLOOKUP(A26,'Données projet'!$A$61:$I$81,4,0)),0,VLOOKUP(A26,'Données projet'!$A$61:$I$81,4,0))</f>
        <v>55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0.44000000000000006</v>
      </c>
      <c r="AT26" s="16">
        <f>IF(ISNA(VLOOKUP(A26,'Données projet'!$A$61:$I$81,7,0)),0%,VLOOKUP(A26,'Données projet'!$A$61:$I$81,7,0))</f>
        <v>0.2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14.964982639013401</v>
      </c>
      <c r="AW26" s="21">
        <f>EXP(-LN(2)/2)*AW25+(1-EXP(-LN(2)/2))/(LN(2)/2)*AQ26*AT26*VLOOKUP('Données projet'!$B$10,Paramètres!$A$1:$I$89,3,0)*0.475*44/12</f>
        <v>5.8287318676662467</v>
      </c>
      <c r="AX26" s="21">
        <f t="shared" si="6"/>
        <v>20.793714506679649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26.8</v>
      </c>
      <c r="N27" s="13">
        <f>IF('Données projet'!$A$36&gt;35,N26+M27-V26,IF(A27&lt;'Données projet'!$A$36,$K$205^A27,IF(A27='Données projet'!$A$36,'Données projet'!$B$36,N26+M27-V26)))</f>
        <v>345.20000000000005</v>
      </c>
      <c r="O27" s="13">
        <f>N27*VLOOKUP('Données projet'!$B$9,Paramètres!$A$1:$I$89,3,0)*VLOOKUP('Données projet'!$B$9,Paramètres!$A$1:$I$89,5,0)</f>
        <v>192.96680000000001</v>
      </c>
      <c r="P27" s="13">
        <f t="shared" si="33"/>
        <v>48.19527756026767</v>
      </c>
      <c r="Q27" s="20">
        <f t="shared" si="2"/>
        <v>420.02395175079954</v>
      </c>
      <c r="R27" s="59">
        <f t="shared" si="0"/>
        <v>706.0239517507996</v>
      </c>
      <c r="S27" s="59">
        <f ca="1">AVERAGE(OFFSET($R$3,0,0,'Données projet'!$E$9+1,1))-AVERAGE(OFFSET($H$3,0,0,'Données projet'!$E$9+1,1))</f>
        <v>512.21337090113502</v>
      </c>
      <c r="T27" s="59">
        <f t="shared" si="34"/>
        <v>621.03633124474163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31.25</v>
      </c>
      <c r="AI27" s="13">
        <f>IF('Données projet'!$A$62&gt;35,AI26+AH27-AQ26,IF(A27&lt;'Données projet'!$A$62,$AF$205^A27,IF(A27='Données projet'!$A$62,'Données projet'!$B$62,AI26+AH27-AQ26)))</f>
        <v>141.25</v>
      </c>
      <c r="AJ27" s="13">
        <f>AI27*VLOOKUP('Données projet'!$B$10,Paramètres!$A$1:$I$89,3,0)*VLOOKUP('Données projet'!$B$10,Paramètres!$A$1:$I$89,5,0)</f>
        <v>66.105000000000004</v>
      </c>
      <c r="AK27" s="13">
        <f t="shared" si="35"/>
        <v>18.702992547207845</v>
      </c>
      <c r="AL27" s="20">
        <f t="shared" si="4"/>
        <v>147.70725368638702</v>
      </c>
      <c r="AM27" s="59">
        <f t="shared" si="5"/>
        <v>433.70725368638705</v>
      </c>
      <c r="AN27" s="59">
        <f ca="1">AVERAGE(OFFSET($AM$3,0,0,'Données projet'!$E$10+1,1))-AVERAGE(OFFSET($H$3,0,0,'Données projet'!$E$10+1,1))</f>
        <v>294.78071095255143</v>
      </c>
      <c r="AO27" s="59">
        <f t="shared" si="36"/>
        <v>323.52003392365867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14.555764401775345</v>
      </c>
      <c r="AW27" s="21">
        <f>EXP(-LN(2)/2)*AW26+(1-EXP(-LN(2)/2))/(LN(2)/2)*AQ27*AT27*VLOOKUP('Données projet'!$B$10,Paramètres!$A$1:$I$89,3,0)*0.475*44/12</f>
        <v>4.1215358293449338</v>
      </c>
      <c r="AX27" s="21">
        <f t="shared" si="6"/>
        <v>18.677300231120277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372</v>
      </c>
      <c r="L28" s="12">
        <f>VLOOKUP(A28,'Données projet'!$A$35:$I$55,9,0)</f>
        <v>26.8</v>
      </c>
      <c r="M28" s="12">
        <f t="array" ref="M28">INDEX(L:L,MIN(IF(ISNUMBER(L28:L224),ROW(L28:L224),"")))</f>
        <v>26.8</v>
      </c>
      <c r="N28" s="13">
        <f>IF('Données projet'!$A$36&gt;35,N27+M28-V27,IF(A28&lt;'Données projet'!$A$36,$K$205^A28,IF(A28='Données projet'!$A$36,'Données projet'!$B$36,N27+M28-V27)))</f>
        <v>372.00000000000006</v>
      </c>
      <c r="O28" s="13">
        <f>N28*VLOOKUP('Données projet'!$B$9,Paramètres!$A$1:$I$89,3,0)*VLOOKUP('Données projet'!$B$9,Paramètres!$A$1:$I$89,5,0)</f>
        <v>207.94800000000001</v>
      </c>
      <c r="P28" s="13">
        <f t="shared" si="33"/>
        <v>51.486916127068838</v>
      </c>
      <c r="Q28" s="20">
        <f t="shared" si="2"/>
        <v>451.84914558797823</v>
      </c>
      <c r="R28" s="59">
        <f t="shared" si="0"/>
        <v>739.0713678102004</v>
      </c>
      <c r="S28" s="59">
        <f ca="1">AVERAGE(OFFSET($R$3,0,0,'Données projet'!$E$9+1,1))-AVERAGE(OFFSET($H$3,0,0,'Données projet'!$E$9+1,1))</f>
        <v>512.21337090113502</v>
      </c>
      <c r="T28" s="59">
        <f t="shared" si="34"/>
        <v>621.03633124474163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21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0.33</v>
      </c>
      <c r="Y28" s="16">
        <f>IF(ISNA(VLOOKUP(A28,'Données projet'!$A$35:$I$55,7,0)),0%,VLOOKUP(A28,'Données projet'!$A$35:$I$55,7,0))</f>
        <v>0.4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5.1187042890261738</v>
      </c>
      <c r="AB28" s="21">
        <f>EXP(-LN(2)/2)*AB27+(1-EXP(-LN(2)/2))/(LN(2)/2)*V28*Y28*VLOOKUP('Données projet'!$B$9,Paramètres!$A$1:$I$89,3,0)*0.475*44/12</f>
        <v>5.3165099762652739</v>
      </c>
      <c r="AC28" s="22">
        <f t="shared" si="3"/>
        <v>10.435214265291448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31.25</v>
      </c>
      <c r="AI28" s="13">
        <f>IF('Données projet'!$A$62&gt;35,AI27+AH28-AQ27,IF(A28&lt;'Données projet'!$A$62,$AF$205^A28,IF(A28='Données projet'!$A$62,'Données projet'!$B$62,AI27+AH28-AQ27)))</f>
        <v>172.5</v>
      </c>
      <c r="AJ28" s="13">
        <f>AI28*VLOOKUP('Données projet'!$B$10,Paramètres!$A$1:$I$89,3,0)*VLOOKUP('Données projet'!$B$10,Paramètres!$A$1:$I$89,5,0)</f>
        <v>80.72999999999999</v>
      </c>
      <c r="AK28" s="13">
        <f t="shared" si="35"/>
        <v>22.315578453114171</v>
      </c>
      <c r="AL28" s="20">
        <f t="shared" si="4"/>
        <v>179.47104913917383</v>
      </c>
      <c r="AM28" s="59">
        <f t="shared" si="5"/>
        <v>466.69327136139606</v>
      </c>
      <c r="AN28" s="59">
        <f ca="1">AVERAGE(OFFSET($AM$3,0,0,'Données projet'!$E$10+1,1))-AVERAGE(OFFSET($H$3,0,0,'Données projet'!$E$10+1,1))</f>
        <v>294.78071095255143</v>
      </c>
      <c r="AO28" s="59">
        <f t="shared" si="36"/>
        <v>323.52003392365867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14.157736258754417</v>
      </c>
      <c r="AW28" s="21">
        <f>EXP(-LN(2)/2)*AW27+(1-EXP(-LN(2)/2))/(LN(2)/2)*AQ28*AT28*VLOOKUP('Données projet'!$B$10,Paramètres!$A$1:$I$89,3,0)*0.475*44/12</f>
        <v>2.9143659338331238</v>
      </c>
      <c r="AX28" s="21">
        <f t="shared" si="6"/>
        <v>17.07210219258754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26.6</v>
      </c>
      <c r="N29" s="13">
        <f>IF('Données projet'!$A$36&gt;35,N28+M29-V28,IF(A29&lt;'Données projet'!$A$36,$K$205^A29,IF(A29='Données projet'!$A$36,'Données projet'!$B$36,N28+M29-V28)))</f>
        <v>377.60000000000008</v>
      </c>
      <c r="O29" s="13">
        <f>N29*VLOOKUP('Données projet'!$B$9,Paramètres!$A$1:$I$89,3,0)*VLOOKUP('Données projet'!$B$9,Paramètres!$A$1:$I$89,5,0)</f>
        <v>211.07840000000004</v>
      </c>
      <c r="P29" s="13">
        <f t="shared" si="33"/>
        <v>52.171172933509965</v>
      </c>
      <c r="Q29" s="20">
        <f t="shared" si="2"/>
        <v>458.49300619252995</v>
      </c>
      <c r="R29" s="59">
        <f t="shared" si="0"/>
        <v>746.9374506369744</v>
      </c>
      <c r="S29" s="59">
        <f ca="1">AVERAGE(OFFSET($R$3,0,0,'Données projet'!$E$9+1,1))-AVERAGE(OFFSET($H$3,0,0,'Données projet'!$E$9+1,1))</f>
        <v>512.21337090113502</v>
      </c>
      <c r="T29" s="59">
        <f t="shared" si="34"/>
        <v>621.03633124474163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4.9787330510617931</v>
      </c>
      <c r="AB29" s="21">
        <f>EXP(-LN(2)/2)*AB28+(1-EXP(-LN(2)/2))/(LN(2)/2)*V29*Y29*VLOOKUP('Données projet'!$B$9,Paramètres!$A$1:$I$89,3,0)*0.475*44/12</f>
        <v>3.7593402564631062</v>
      </c>
      <c r="AC29" s="22">
        <f t="shared" si="3"/>
        <v>8.7380733075248997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31.25</v>
      </c>
      <c r="AI29" s="13">
        <f>IF('Données projet'!$A$62&gt;35,AI28+AH29-AQ28,IF(A29&lt;'Données projet'!$A$62,$AF$205^A29,IF(A29='Données projet'!$A$62,'Données projet'!$B$62,AI28+AH29-AQ28)))</f>
        <v>203.75</v>
      </c>
      <c r="AJ29" s="13">
        <f>AI29*VLOOKUP('Données projet'!$B$10,Paramètres!$A$1:$I$89,3,0)*VLOOKUP('Données projet'!$B$10,Paramètres!$A$1:$I$89,5,0)</f>
        <v>95.35499999999999</v>
      </c>
      <c r="AK29" s="13">
        <f t="shared" si="35"/>
        <v>25.852345740177842</v>
      </c>
      <c r="AL29" s="20">
        <f t="shared" si="4"/>
        <v>211.1027938308097</v>
      </c>
      <c r="AM29" s="59">
        <f t="shared" si="5"/>
        <v>499.54723827525413</v>
      </c>
      <c r="AN29" s="59">
        <f ca="1">AVERAGE(OFFSET($AM$3,0,0,'Données projet'!$E$10+1,1))-AVERAGE(OFFSET($H$3,0,0,'Données projet'!$E$10+1,1))</f>
        <v>294.78071095255143</v>
      </c>
      <c r="AO29" s="59">
        <f t="shared" si="36"/>
        <v>323.52003392365867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13.770592216235785</v>
      </c>
      <c r="AW29" s="21">
        <f>EXP(-LN(2)/2)*AW28+(1-EXP(-LN(2)/2))/(LN(2)/2)*AQ29*AT29*VLOOKUP('Données projet'!$B$10,Paramètres!$A$1:$I$89,3,0)*0.475*44/12</f>
        <v>2.0607679146724669</v>
      </c>
      <c r="AX29" s="21">
        <f t="shared" si="6"/>
        <v>15.831360130908251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26.6</v>
      </c>
      <c r="N30" s="13">
        <f>IF('Données projet'!$A$36&gt;35,N29+M30-V29,IF(A30&lt;'Données projet'!$A$36,$K$205^A30,IF(A30='Données projet'!$A$36,'Données projet'!$B$36,N29+M30-V29)))</f>
        <v>404.2000000000001</v>
      </c>
      <c r="O30" s="13">
        <f>N30*VLOOKUP('Données projet'!$B$9,Paramètres!$A$1:$I$89,3,0)*VLOOKUP('Données projet'!$B$9,Paramètres!$A$1:$I$89,5,0)</f>
        <v>225.94780000000006</v>
      </c>
      <c r="P30" s="13">
        <f t="shared" si="33"/>
        <v>55.405596784542439</v>
      </c>
      <c r="Q30" s="20">
        <f t="shared" si="2"/>
        <v>490.02383273307811</v>
      </c>
      <c r="R30" s="59">
        <f t="shared" si="0"/>
        <v>779.69049939974479</v>
      </c>
      <c r="S30" s="59">
        <f ca="1">AVERAGE(OFFSET($R$3,0,0,'Données projet'!$E$9+1,1))-AVERAGE(OFFSET($H$3,0,0,'Données projet'!$E$9+1,1))</f>
        <v>512.21337090113502</v>
      </c>
      <c r="T30" s="59">
        <f t="shared" si="34"/>
        <v>621.03633124474163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4.8425893339603165</v>
      </c>
      <c r="AB30" s="21">
        <f>EXP(-LN(2)/2)*AB29+(1-EXP(-LN(2)/2))/(LN(2)/2)*V30*Y30*VLOOKUP('Données projet'!$B$9,Paramètres!$A$1:$I$89,3,0)*0.475*44/12</f>
        <v>2.6582549881326374</v>
      </c>
      <c r="AC30" s="22">
        <f t="shared" si="3"/>
        <v>7.5008443220929539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>
        <f>VLOOKUP(A30,'Données projet'!$A$61:$I$81,2,0)</f>
        <v>235</v>
      </c>
      <c r="AG30" s="12">
        <f>VLOOKUP(A30,'Données projet'!$A$61:$I$81,9,0)</f>
        <v>31.25</v>
      </c>
      <c r="AH30" s="12">
        <f t="array" ref="AH30">INDEX(AG:AG,MIN(IF(ISNUMBER(AG30:AG226),ROW(AG30:AG226),"")))</f>
        <v>31.25</v>
      </c>
      <c r="AI30" s="13">
        <f>IF('Données projet'!$A$62&gt;35,AI29+AH30-AQ29,IF(A30&lt;'Données projet'!$A$62,$AF$205^A30,IF(A30='Données projet'!$A$62,'Données projet'!$B$62,AI29+AH30-AQ29)))</f>
        <v>235</v>
      </c>
      <c r="AJ30" s="13">
        <f>AI30*VLOOKUP('Données projet'!$B$10,Paramètres!$A$1:$I$89,3,0)*VLOOKUP('Données projet'!$B$10,Paramètres!$A$1:$I$89,5,0)</f>
        <v>109.97999999999999</v>
      </c>
      <c r="AK30" s="13">
        <f t="shared" si="35"/>
        <v>29.326272366698234</v>
      </c>
      <c r="AL30" s="20">
        <f t="shared" si="4"/>
        <v>242.62509103866606</v>
      </c>
      <c r="AM30" s="59">
        <f t="shared" si="5"/>
        <v>532.29175770533277</v>
      </c>
      <c r="AN30" s="59">
        <f ca="1">AVERAGE(OFFSET($AM$3,0,0,'Données projet'!$E$10+1,1))-AVERAGE(OFFSET($H$3,0,0,'Données projet'!$E$10+1,1))</f>
        <v>294.78071095255143</v>
      </c>
      <c r="AO30" s="59">
        <f t="shared" si="36"/>
        <v>323.52003392365867</v>
      </c>
      <c r="AP30" s="15">
        <f>IF(ISNA(VLOOKUP(A30,'Données projet'!$A$61:$I$81,3,0)),0,VLOOKUP(A30,'Données projet'!$A$61:$I$81,3,0))</f>
        <v>2</v>
      </c>
      <c r="AQ30" s="15">
        <f>IF(ISNA(VLOOKUP(A30,'Données projet'!$A$61:$I$81,4,0)),0,VLOOKUP(A30,'Données projet'!$A$61:$I$81,4,0))</f>
        <v>64</v>
      </c>
      <c r="AR30" s="16">
        <f>IF(ISNA(VLOOKUP(A30,'Données projet'!$A$61:$I$81,5,0)),0%,VLOOKUP(A30,'Données projet'!$A$61:$I$81,5,0)*VLOOKUP('Données projet'!$B$10,Paramètres!$A$1:$I$89,7,0))</f>
        <v>0.11000000000000001</v>
      </c>
      <c r="AS30" s="16">
        <f>IF(ISNA(VLOOKUP(A30,'Données projet'!$A$61:$I$81,6,0)),0%,VLOOKUP(A30,'Données projet'!$A$61:$I$81,6,0)*VLOOKUP('Données projet'!$B$10,Paramètres!$A$1:$I$89,7,0))</f>
        <v>0.33</v>
      </c>
      <c r="AT30" s="16">
        <f>IF(ISNA(VLOOKUP(A30,'Données projet'!$A$61:$I$81,7,0)),0%,VLOOKUP(A30,'Données projet'!$A$61:$I$81,7,0))</f>
        <v>0.2</v>
      </c>
      <c r="AU30" s="21">
        <f>EXP(-LN(2)/35)*AU29+(1-EXP(-LN(2)/35))/(LN(2)/35)*AQ30*AR30*VLOOKUP('Données projet'!$B$10,Paramètres!$A$1:$I$89,3,0)*0.475*44/12</f>
        <v>4.3706584426257615</v>
      </c>
      <c r="AV30" s="21">
        <f>EXP(-LN(2)/25)*AV29+(1-EXP(-LN(2)/25))/(LN(2)/25)*Calculateur!AQ30*Calculateur!AS30*VLOOKUP('Données projet'!$B$10,Paramètres!$A$1:$I$89,3,0)*0.475*44/12</f>
        <v>26.454383132875993</v>
      </c>
      <c r="AW30" s="21">
        <f>EXP(-LN(2)/2)*AW29+(1-EXP(-LN(2)/2))/(LN(2)/2)*AQ30*AT30*VLOOKUP('Données projet'!$B$10,Paramètres!$A$1:$I$89,3,0)*0.475*44/12</f>
        <v>8.2397073220191022</v>
      </c>
      <c r="AX30" s="21">
        <f t="shared" si="6"/>
        <v>39.064748897520857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26.6</v>
      </c>
      <c r="N31" s="13">
        <f>IF('Données projet'!$A$36&gt;35,N30+M31-V30,IF(A31&lt;'Données projet'!$A$36,$K$205^A31,IF(A31='Données projet'!$A$36,'Données projet'!$B$36,N30+M31-V30)))</f>
        <v>430.80000000000013</v>
      </c>
      <c r="O31" s="13">
        <f>N31*VLOOKUP('Données projet'!$B$9,Paramètres!$A$1:$I$89,3,0)*VLOOKUP('Données projet'!$B$9,Paramètres!$A$1:$I$89,5,0)</f>
        <v>240.81720000000007</v>
      </c>
      <c r="P31" s="13">
        <f t="shared" si="33"/>
        <v>58.615320243858108</v>
      </c>
      <c r="Q31" s="20">
        <f t="shared" si="2"/>
        <v>521.51163942471965</v>
      </c>
      <c r="R31" s="59">
        <f t="shared" si="0"/>
        <v>812.40052831360845</v>
      </c>
      <c r="S31" s="59">
        <f ca="1">AVERAGE(OFFSET($R$3,0,0,'Données projet'!$E$9+1,1))-AVERAGE(OFFSET($H$3,0,0,'Données projet'!$E$9+1,1))</f>
        <v>512.21337090113502</v>
      </c>
      <c r="T31" s="59">
        <f t="shared" si="34"/>
        <v>621.03633124474163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4.7101684739624661</v>
      </c>
      <c r="AB31" s="21">
        <f>EXP(-LN(2)/2)*AB30+(1-EXP(-LN(2)/2))/(LN(2)/2)*V31*Y31*VLOOKUP('Données projet'!$B$9,Paramètres!$A$1:$I$89,3,0)*0.475*44/12</f>
        <v>1.8796701282315535</v>
      </c>
      <c r="AC31" s="22">
        <f t="shared" si="3"/>
        <v>6.5898386021940194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36</v>
      </c>
      <c r="AI31" s="13">
        <f>IF('Données projet'!$A$62&gt;35,AI30+AH31-AQ30,IF(A31&lt;'Données projet'!$A$62,$AF$205^A31,IF(A31='Données projet'!$A$62,'Données projet'!$B$62,AI30+AH31-AQ30)))</f>
        <v>207</v>
      </c>
      <c r="AJ31" s="13">
        <f>AI31*VLOOKUP('Données projet'!$B$10,Paramètres!$A$1:$I$89,3,0)*VLOOKUP('Données projet'!$B$10,Paramètres!$A$1:$I$89,5,0)</f>
        <v>96.876000000000005</v>
      </c>
      <c r="AK31" s="13">
        <f t="shared" si="35"/>
        <v>26.21637845945024</v>
      </c>
      <c r="AL31" s="20">
        <f t="shared" si="4"/>
        <v>214.38589248354251</v>
      </c>
      <c r="AM31" s="59">
        <f t="shared" si="5"/>
        <v>505.27478137243133</v>
      </c>
      <c r="AN31" s="59">
        <f ca="1">AVERAGE(OFFSET($AM$3,0,0,'Données projet'!$E$10+1,1))-AVERAGE(OFFSET($H$3,0,0,'Données projet'!$E$10+1,1))</f>
        <v>294.78071095255143</v>
      </c>
      <c r="AO31" s="59">
        <f t="shared" si="36"/>
        <v>323.52003392365867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4.2849524964042907</v>
      </c>
      <c r="AV31" s="21">
        <f>EXP(-LN(2)/25)*AV30+(1-EXP(-LN(2)/25))/(LN(2)/25)*Calculateur!AQ31*Calculateur!AS31*VLOOKUP('Données projet'!$B$10,Paramètres!$A$1:$I$89,3,0)*0.475*44/12</f>
        <v>25.730986634931952</v>
      </c>
      <c r="AW31" s="21">
        <f>EXP(-LN(2)/2)*AW30+(1-EXP(-LN(2)/2))/(LN(2)/2)*AQ31*AT31*VLOOKUP('Données projet'!$B$10,Paramètres!$A$1:$I$89,3,0)*0.475*44/12</f>
        <v>5.8263529223921555</v>
      </c>
      <c r="AX31" s="21">
        <f t="shared" si="6"/>
        <v>35.8422920537284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26.6</v>
      </c>
      <c r="N32" s="13">
        <f>IF('Données projet'!$A$36&gt;35,N31+M32-V31,IF(A32&lt;'Données projet'!$A$36,$K$205^A32,IF(A32='Données projet'!$A$36,'Données projet'!$B$36,N31+M32-V31)))</f>
        <v>457.40000000000015</v>
      </c>
      <c r="O32" s="13">
        <f>N32*VLOOKUP('Données projet'!$B$9,Paramètres!$A$1:$I$89,3,0)*VLOOKUP('Données projet'!$B$9,Paramètres!$A$1:$I$89,5,0)</f>
        <v>255.68660000000011</v>
      </c>
      <c r="P32" s="13">
        <f t="shared" si="33"/>
        <v>61.80204209851388</v>
      </c>
      <c r="Q32" s="20">
        <f t="shared" si="2"/>
        <v>552.95938498824523</v>
      </c>
      <c r="R32" s="59">
        <f t="shared" si="0"/>
        <v>845.07049609935643</v>
      </c>
      <c r="S32" s="59">
        <f ca="1">AVERAGE(OFFSET($R$3,0,0,'Données projet'!$E$9+1,1))-AVERAGE(OFFSET($H$3,0,0,'Données projet'!$E$9+1,1))</f>
        <v>512.21337090113502</v>
      </c>
      <c r="T32" s="59">
        <f t="shared" si="34"/>
        <v>621.03633124474163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4.5813686693449673</v>
      </c>
      <c r="AB32" s="21">
        <f>EXP(-LN(2)/2)*AB31+(1-EXP(-LN(2)/2))/(LN(2)/2)*V32*Y32*VLOOKUP('Données projet'!$B$9,Paramètres!$A$1:$I$89,3,0)*0.475*44/12</f>
        <v>1.3291274940663189</v>
      </c>
      <c r="AC32" s="22">
        <f t="shared" si="3"/>
        <v>5.9104961634112865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36</v>
      </c>
      <c r="AI32" s="13">
        <f>IF('Données projet'!$A$62&gt;35,AI31+AH32-AQ31,IF(A32&lt;'Données projet'!$A$62,$AF$205^A32,IF(A32='Données projet'!$A$62,'Données projet'!$B$62,AI31+AH32-AQ31)))</f>
        <v>243</v>
      </c>
      <c r="AJ32" s="13">
        <f>AI32*VLOOKUP('Données projet'!$B$10,Paramètres!$A$1:$I$89,3,0)*VLOOKUP('Données projet'!$B$10,Paramètres!$A$1:$I$89,5,0)</f>
        <v>113.72399999999999</v>
      </c>
      <c r="AK32" s="13">
        <f t="shared" si="35"/>
        <v>30.206680638130489</v>
      </c>
      <c r="AL32" s="20">
        <f t="shared" si="4"/>
        <v>250.67926877807722</v>
      </c>
      <c r="AM32" s="59">
        <f t="shared" si="5"/>
        <v>542.79037988918833</v>
      </c>
      <c r="AN32" s="59">
        <f ca="1">AVERAGE(OFFSET($AM$3,0,0,'Données projet'!$E$10+1,1))-AVERAGE(OFFSET($H$3,0,0,'Données projet'!$E$10+1,1))</f>
        <v>294.78071095255143</v>
      </c>
      <c r="AO32" s="59">
        <f t="shared" si="36"/>
        <v>323.52003392365867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4.2009271915127577</v>
      </c>
      <c r="AV32" s="21">
        <f>EXP(-LN(2)/25)*AV31+(1-EXP(-LN(2)/25))/(LN(2)/25)*Calculateur!AQ32*Calculateur!AS32*VLOOKUP('Données projet'!$B$10,Paramètres!$A$1:$I$89,3,0)*0.475*44/12</f>
        <v>25.02737145226596</v>
      </c>
      <c r="AW32" s="21">
        <f>EXP(-LN(2)/2)*AW31+(1-EXP(-LN(2)/2))/(LN(2)/2)*AQ32*AT32*VLOOKUP('Données projet'!$B$10,Paramètres!$A$1:$I$89,3,0)*0.475*44/12</f>
        <v>4.119853661009552</v>
      </c>
      <c r="AX32" s="21">
        <f t="shared" si="6"/>
        <v>33.348152304788272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484</v>
      </c>
      <c r="L33" s="12">
        <f>VLOOKUP(A33,'Données projet'!$A$35:$I$55,9,0)</f>
        <v>26.6</v>
      </c>
      <c r="M33" s="12">
        <f t="array" ref="M33">INDEX(L:L,MIN(IF(ISNUMBER(L33:L229),ROW(L33:L229),"")))</f>
        <v>26.6</v>
      </c>
      <c r="N33" s="13">
        <f>IF('Données projet'!$A$36&gt;35,N32+M33-V32,IF(A33&lt;'Données projet'!$A$36,$K$205^A33,IF(A33='Données projet'!$A$36,'Données projet'!$B$36,N32+M33-V32)))</f>
        <v>484.00000000000017</v>
      </c>
      <c r="O33" s="13">
        <f>N33*VLOOKUP('Données projet'!$B$9,Paramètres!$A$1:$I$89,3,0)*VLOOKUP('Données projet'!$B$9,Paramètres!$A$1:$I$89,5,0)</f>
        <v>270.5560000000001</v>
      </c>
      <c r="P33" s="13">
        <f t="shared" si="33"/>
        <v>64.967252389325282</v>
      </c>
      <c r="Q33" s="20">
        <f t="shared" si="2"/>
        <v>584.369664578075</v>
      </c>
      <c r="R33" s="59">
        <f t="shared" si="0"/>
        <v>877.70299791140837</v>
      </c>
      <c r="S33" s="59">
        <f ca="1">AVERAGE(OFFSET($R$3,0,0,'Données projet'!$E$9+1,1))-AVERAGE(OFFSET($H$3,0,0,'Données projet'!$E$9+1,1))</f>
        <v>512.21337090113502</v>
      </c>
      <c r="T33" s="59">
        <f t="shared" si="34"/>
        <v>621.03633124474163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48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0.33</v>
      </c>
      <c r="Y33" s="16">
        <f>IF(ISNA(VLOOKUP(A33,'Données projet'!$A$35:$I$55,7,0)),0%,VLOOKUP(A33,'Données projet'!$A$35:$I$55,7,0))</f>
        <v>0.2</v>
      </c>
      <c r="Z33" s="21">
        <f>EXP(-LN(2)/35)*Z32+(1-EXP(-LN(2)/35))/(LN(2)/35)*V33*W33*VLOOKUP('Données projet'!$B$9,Paramètres!$A$1:$I$89,3,0)*0.475*44/12</f>
        <v>3.9153815215189129</v>
      </c>
      <c r="AA33" s="21">
        <f>EXP(-LN(2)/25)*AA32+(1-EXP(-LN(2)/25))/(LN(2)/25)*Calculateur!V33*Calculateur!X33*VLOOKUP('Données projet'!$B$9,Paramètres!$A$1:$I$89,3,0)*0.475*44/12</f>
        <v>16.155986419932137</v>
      </c>
      <c r="AB33" s="21">
        <f>EXP(-LN(2)/2)*AB32+(1-EXP(-LN(2)/2))/(LN(2)/2)*V33*Y33*VLOOKUP('Données projet'!$B$9,Paramètres!$A$1:$I$89,3,0)*0.475*44/12</f>
        <v>7.015846465561804</v>
      </c>
      <c r="AC33" s="22">
        <f t="shared" si="3"/>
        <v>27.087214407012855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36</v>
      </c>
      <c r="AI33" s="13">
        <f>IF('Données projet'!$A$62&gt;35,AI32+AH33-AQ32,IF(A33&lt;'Données projet'!$A$62,$AF$205^A33,IF(A33='Données projet'!$A$62,'Données projet'!$B$62,AI32+AH33-AQ32)))</f>
        <v>279</v>
      </c>
      <c r="AJ33" s="13">
        <f>AI33*VLOOKUP('Données projet'!$B$10,Paramètres!$A$1:$I$89,3,0)*VLOOKUP('Données projet'!$B$10,Paramètres!$A$1:$I$89,5,0)</f>
        <v>130.572</v>
      </c>
      <c r="AK33" s="13">
        <f t="shared" si="35"/>
        <v>34.128497946598308</v>
      </c>
      <c r="AL33" s="20">
        <f t="shared" si="4"/>
        <v>286.85336725699204</v>
      </c>
      <c r="AM33" s="59">
        <f t="shared" si="5"/>
        <v>580.18670059032536</v>
      </c>
      <c r="AN33" s="59">
        <f ca="1">AVERAGE(OFFSET($AM$3,0,0,'Données projet'!$E$10+1,1))-AVERAGE(OFFSET($H$3,0,0,'Données projet'!$E$10+1,1))</f>
        <v>294.78071095255143</v>
      </c>
      <c r="AO33" s="59">
        <f t="shared" si="36"/>
        <v>323.52003392365867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4.1185495715997718</v>
      </c>
      <c r="AV33" s="21">
        <f>EXP(-LN(2)/25)*AV32+(1-EXP(-LN(2)/25))/(LN(2)/25)*Calculateur!AQ33*Calculateur!AS33*VLOOKUP('Données projet'!$B$10,Paramètres!$A$1:$I$89,3,0)*0.475*44/12</f>
        <v>24.342996663771483</v>
      </c>
      <c r="AW33" s="21">
        <f>EXP(-LN(2)/2)*AW32+(1-EXP(-LN(2)/2))/(LN(2)/2)*AQ33*AT33*VLOOKUP('Données projet'!$B$10,Paramètres!$A$1:$I$89,3,0)*0.475*44/12</f>
        <v>2.9131764611960782</v>
      </c>
      <c r="AX33" s="21">
        <f t="shared" si="6"/>
        <v>31.374722696567332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24.6</v>
      </c>
      <c r="N34" s="13">
        <f>IF('Données projet'!$A$36&gt;35,N33+M34-V33,IF(A34&lt;'Données projet'!$A$36,$K$205^A34,IF(A34='Données projet'!$A$36,'Données projet'!$B$36,N33+M34-V33)))</f>
        <v>460.60000000000019</v>
      </c>
      <c r="O34" s="13">
        <f>N34*VLOOKUP('Données projet'!$B$9,Paramètres!$A$1:$I$89,3,0)*VLOOKUP('Données projet'!$B$9,Paramètres!$A$1:$I$89,5,0)</f>
        <v>257.47540000000009</v>
      </c>
      <c r="P34" s="13">
        <f t="shared" si="33"/>
        <v>62.183930036702655</v>
      </c>
      <c r="Q34" s="20">
        <f t="shared" si="2"/>
        <v>556.73999981392387</v>
      </c>
      <c r="R34" s="59">
        <f t="shared" si="0"/>
        <v>850.07333314725724</v>
      </c>
      <c r="S34" s="59">
        <f ca="1">AVERAGE(OFFSET($R$3,0,0,'Données projet'!$E$9+1,1))-AVERAGE(OFFSET($H$3,0,0,'Données projet'!$E$9+1,1))</f>
        <v>512.21337090113502</v>
      </c>
      <c r="T34" s="59">
        <f t="shared" si="34"/>
        <v>621.03633124474163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3.8386032780288453</v>
      </c>
      <c r="AA34" s="21">
        <f>EXP(-LN(2)/25)*AA33+(1-EXP(-LN(2)/25))/(LN(2)/25)*Calculateur!V34*Calculateur!X34*VLOOKUP('Données projet'!$B$9,Paramètres!$A$1:$I$89,3,0)*0.475*44/12</f>
        <v>15.714200121672693</v>
      </c>
      <c r="AB34" s="21">
        <f>EXP(-LN(2)/2)*AB33+(1-EXP(-LN(2)/2))/(LN(2)/2)*V34*Y34*VLOOKUP('Données projet'!$B$9,Paramètres!$A$1:$I$89,3,0)*0.475*44/12</f>
        <v>4.9609526115624236</v>
      </c>
      <c r="AC34" s="22">
        <f t="shared" si="3"/>
        <v>24.513756011263961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>
        <f>VLOOKUP(A34,'Données projet'!$A$61:$I$81,2,0)</f>
        <v>315</v>
      </c>
      <c r="AG34" s="12">
        <f>VLOOKUP(A34,'Données projet'!$A$61:$I$81,9,0)</f>
        <v>36</v>
      </c>
      <c r="AH34" s="12">
        <f t="array" ref="AH34">INDEX(AG:AG,MIN(IF(ISNUMBER(AG34:AG230),ROW(AG34:AG230),"")))</f>
        <v>36</v>
      </c>
      <c r="AI34" s="13">
        <f>IF('Données projet'!$A$62&gt;35,AI33+AH34-AQ33,IF(A34&lt;'Données projet'!$A$62,$AF$205^A34,IF(A34='Données projet'!$A$62,'Données projet'!$B$62,AI33+AH34-AQ33)))</f>
        <v>315</v>
      </c>
      <c r="AJ34" s="13">
        <f>AI34*VLOOKUP('Données projet'!$B$10,Paramètres!$A$1:$I$89,3,0)*VLOOKUP('Données projet'!$B$10,Paramètres!$A$1:$I$89,5,0)</f>
        <v>147.41999999999999</v>
      </c>
      <c r="AK34" s="13">
        <f t="shared" si="35"/>
        <v>37.991680647570291</v>
      </c>
      <c r="AL34" s="20">
        <f t="shared" si="4"/>
        <v>322.92534379451826</v>
      </c>
      <c r="AM34" s="59">
        <f t="shared" si="5"/>
        <v>616.25867712785157</v>
      </c>
      <c r="AN34" s="59">
        <f ca="1">AVERAGE(OFFSET($AM$3,0,0,'Données projet'!$E$10+1,1))-AVERAGE(OFFSET($H$3,0,0,'Données projet'!$E$10+1,1))</f>
        <v>294.78071095255143</v>
      </c>
      <c r="AO34" s="59">
        <f t="shared" si="36"/>
        <v>323.52003392365867</v>
      </c>
      <c r="AP34" s="15">
        <f>IF(ISNA(VLOOKUP(A34,'Données projet'!$A$61:$I$81,3,0)),0,VLOOKUP(A34,'Données projet'!$A$61:$I$81,3,0))</f>
        <v>3</v>
      </c>
      <c r="AQ34" s="15">
        <f>IF(ISNA(VLOOKUP(A34,'Données projet'!$A$61:$I$81,4,0)),0,VLOOKUP(A34,'Données projet'!$A$61:$I$81,4,0))</f>
        <v>57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4.0377873265678925</v>
      </c>
      <c r="AV34" s="21">
        <f>EXP(-LN(2)/25)*AV33+(1-EXP(-LN(2)/25))/(LN(2)/25)*Calculateur!AQ34*Calculateur!AS34*VLOOKUP('Données projet'!$B$10,Paramètres!$A$1:$I$89,3,0)*0.475*44/12</f>
        <v>23.677336139858095</v>
      </c>
      <c r="AW34" s="21">
        <f>EXP(-LN(2)/2)*AW33+(1-EXP(-LN(2)/2))/(LN(2)/2)*AQ34*AT34*VLOOKUP('Données projet'!$B$10,Paramètres!$A$1:$I$89,3,0)*0.475*44/12</f>
        <v>2.0599268305047764</v>
      </c>
      <c r="AX34" s="21">
        <f t="shared" si="6"/>
        <v>29.775050296930761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24.6</v>
      </c>
      <c r="N35" s="13">
        <f>IF('Données projet'!$A$36&gt;35,N34+M35-V34,IF(A35&lt;'Données projet'!$A$36,$K$205^A35,IF(A35='Données projet'!$A$36,'Données projet'!$B$36,N34+M35-V34)))</f>
        <v>485.20000000000022</v>
      </c>
      <c r="O35" s="13">
        <f>N35*VLOOKUP('Données projet'!$B$9,Paramètres!$A$1:$I$89,3,0)*VLOOKUP('Données projet'!$B$9,Paramètres!$A$1:$I$89,5,0)</f>
        <v>271.22680000000014</v>
      </c>
      <c r="P35" s="13">
        <f t="shared" si="33"/>
        <v>65.109558476355161</v>
      </c>
      <c r="Q35" s="20">
        <f t="shared" ref="Q35:Q66" si="53">(O35+P35)*0.475*44/12</f>
        <v>585.7858243463188</v>
      </c>
      <c r="R35" s="59">
        <f t="shared" si="0"/>
        <v>879.11915767965206</v>
      </c>
      <c r="S35" s="59">
        <f ca="1">AVERAGE(OFFSET($R$3,0,0,'Données projet'!$E$9+1,1))-AVERAGE(OFFSET($H$3,0,0,'Données projet'!$E$9+1,1))</f>
        <v>512.21337090113502</v>
      </c>
      <c r="T35" s="59">
        <f t="shared" si="34"/>
        <v>621.03633124474163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3.7633306090635132</v>
      </c>
      <c r="AA35" s="21">
        <f>EXP(-LN(2)/25)*AA34+(1-EXP(-LN(2)/25))/(LN(2)/25)*Calculateur!V35*Calculateur!X35*VLOOKUP('Données projet'!$B$9,Paramètres!$A$1:$I$89,3,0)*0.475*44/12</f>
        <v>15.284494492971683</v>
      </c>
      <c r="AB35" s="21">
        <f>EXP(-LN(2)/2)*AB34+(1-EXP(-LN(2)/2))/(LN(2)/2)*V35*Y35*VLOOKUP('Données projet'!$B$9,Paramètres!$A$1:$I$89,3,0)*0.475*44/12</f>
        <v>3.5079232327809025</v>
      </c>
      <c r="AC35" s="22">
        <f t="shared" si="3"/>
        <v>22.555748334816101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37.5</v>
      </c>
      <c r="AI35" s="13">
        <f>IF('Données projet'!$A$62&gt;35,AI34+AH35-AQ34,IF(A35&lt;'Données projet'!$A$62,$AF$205^A35,IF(A35='Données projet'!$A$62,'Données projet'!$B$62,AI34+AH35-AQ34)))</f>
        <v>295.5</v>
      </c>
      <c r="AJ35" s="13">
        <f>AI35*VLOOKUP('Données projet'!$B$10,Paramètres!$A$1:$I$89,3,0)*VLOOKUP('Données projet'!$B$10,Paramètres!$A$1:$I$89,5,0)</f>
        <v>138.29400000000001</v>
      </c>
      <c r="AK35" s="13">
        <f t="shared" si="35"/>
        <v>35.905906413030237</v>
      </c>
      <c r="AL35" s="20">
        <f t="shared" si="4"/>
        <v>303.39817033602765</v>
      </c>
      <c r="AM35" s="59">
        <f t="shared" si="5"/>
        <v>596.73150366936102</v>
      </c>
      <c r="AN35" s="59">
        <f ca="1">AVERAGE(OFFSET($AM$3,0,0,'Données projet'!$E$10+1,1))-AVERAGE(OFFSET($H$3,0,0,'Données projet'!$E$10+1,1))</f>
        <v>294.78071095255143</v>
      </c>
      <c r="AO35" s="59">
        <f t="shared" si="36"/>
        <v>323.52003392365867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3.9586087799009833</v>
      </c>
      <c r="AV35" s="21">
        <f>EXP(-LN(2)/25)*AV34+(1-EXP(-LN(2)/25))/(LN(2)/25)*Calculateur!AQ35*Calculateur!AS35*VLOOKUP('Données projet'!$B$10,Paramètres!$A$1:$I$89,3,0)*0.475*44/12</f>
        <v>23.029878137976684</v>
      </c>
      <c r="AW35" s="21">
        <f>EXP(-LN(2)/2)*AW34+(1-EXP(-LN(2)/2))/(LN(2)/2)*AQ35*AT35*VLOOKUP('Données projet'!$B$10,Paramètres!$A$1:$I$89,3,0)*0.475*44/12</f>
        <v>1.4565882305980393</v>
      </c>
      <c r="AX35" s="21">
        <f t="shared" si="6"/>
        <v>28.445075148475709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24.6</v>
      </c>
      <c r="N36" s="13">
        <f>IF('Données projet'!$A$36&gt;35,N35+M36-V35,IF(A36&lt;'Données projet'!$A$36,$K$205^A36,IF(A36='Données projet'!$A$36,'Données projet'!$B$36,N35+M36-V35)))</f>
        <v>509.80000000000024</v>
      </c>
      <c r="O36" s="13">
        <f>N36*VLOOKUP('Données projet'!$B$9,Paramètres!$A$1:$I$89,3,0)*VLOOKUP('Données projet'!$B$9,Paramètres!$A$1:$I$89,5,0)</f>
        <v>284.97820000000013</v>
      </c>
      <c r="P36" s="13">
        <f t="shared" si="33"/>
        <v>68.017964183169582</v>
      </c>
      <c r="Q36" s="20">
        <f t="shared" si="53"/>
        <v>614.8016526190205</v>
      </c>
      <c r="R36" s="59">
        <f t="shared" si="0"/>
        <v>908.13498595235387</v>
      </c>
      <c r="S36" s="59">
        <f ca="1">AVERAGE(OFFSET($R$3,0,0,'Données projet'!$E$9+1,1))-AVERAGE(OFFSET($H$3,0,0,'Données projet'!$E$9+1,1))</f>
        <v>512.21337090113502</v>
      </c>
      <c r="T36" s="59">
        <f t="shared" si="34"/>
        <v>621.03633124474163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3.6895339912247969</v>
      </c>
      <c r="AA36" s="21">
        <f>EXP(-LN(2)/25)*AA35+(1-EXP(-LN(2)/25))/(LN(2)/25)*Calculateur!V36*Calculateur!X36*VLOOKUP('Données projet'!$B$9,Paramètres!$A$1:$I$89,3,0)*0.475*44/12</f>
        <v>14.86653918728474</v>
      </c>
      <c r="AB36" s="21">
        <f>EXP(-LN(2)/2)*AB35+(1-EXP(-LN(2)/2))/(LN(2)/2)*V36*Y36*VLOOKUP('Données projet'!$B$9,Paramètres!$A$1:$I$89,3,0)*0.475*44/12</f>
        <v>2.4804763057812123</v>
      </c>
      <c r="AC36" s="22">
        <f t="shared" si="3"/>
        <v>21.036549484290749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37.5</v>
      </c>
      <c r="AI36" s="13">
        <f>IF('Données projet'!$A$62&gt;35,AI35+AH36-AQ35,IF(A36&lt;'Données projet'!$A$62,$AF$205^A36,IF(A36='Données projet'!$A$62,'Données projet'!$B$62,AI35+AH36-AQ35)))</f>
        <v>333</v>
      </c>
      <c r="AJ36" s="13">
        <f>AI36*VLOOKUP('Données projet'!$B$10,Paramètres!$A$1:$I$89,3,0)*VLOOKUP('Données projet'!$B$10,Paramètres!$A$1:$I$89,5,0)</f>
        <v>155.84399999999999</v>
      </c>
      <c r="AK36" s="13">
        <f t="shared" si="35"/>
        <v>39.903687010744221</v>
      </c>
      <c r="AL36" s="20">
        <f t="shared" si="4"/>
        <v>340.92722154371285</v>
      </c>
      <c r="AM36" s="59">
        <f t="shared" si="5"/>
        <v>634.26055487704616</v>
      </c>
      <c r="AN36" s="59">
        <f ca="1">AVERAGE(OFFSET($AM$3,0,0,'Données projet'!$E$10+1,1))-AVERAGE(OFFSET($H$3,0,0,'Données projet'!$E$10+1,1))</f>
        <v>294.78071095255143</v>
      </c>
      <c r="AO36" s="59">
        <f t="shared" si="36"/>
        <v>323.52003392365867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3.8809828762400675</v>
      </c>
      <c r="AV36" s="21">
        <f>EXP(-LN(2)/25)*AV35+(1-EXP(-LN(2)/25))/(LN(2)/25)*Calculateur!AQ36*Calculateur!AS36*VLOOKUP('Données projet'!$B$10,Paramètres!$A$1:$I$89,3,0)*0.475*44/12</f>
        <v>22.400124909205058</v>
      </c>
      <c r="AW36" s="21">
        <f>EXP(-LN(2)/2)*AW35+(1-EXP(-LN(2)/2))/(LN(2)/2)*AQ36*AT36*VLOOKUP('Données projet'!$B$10,Paramètres!$A$1:$I$89,3,0)*0.475*44/12</f>
        <v>1.0299634152523882</v>
      </c>
      <c r="AX36" s="21">
        <f t="shared" si="6"/>
        <v>27.311071200697516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24.6</v>
      </c>
      <c r="N37" s="13">
        <f>IF('Données projet'!$A$36&gt;35,N36+M37-V36,IF(A37&lt;'Données projet'!$A$36,$K$205^A37,IF(A37='Données projet'!$A$36,'Données projet'!$B$36,N36+M37-V36)))</f>
        <v>534.4000000000002</v>
      </c>
      <c r="O37" s="13">
        <f>N37*VLOOKUP('Données projet'!$B$9,Paramètres!$A$1:$I$89,3,0)*VLOOKUP('Données projet'!$B$9,Paramètres!$A$1:$I$89,5,0)</f>
        <v>298.72960000000012</v>
      </c>
      <c r="P37" s="13">
        <f t="shared" si="33"/>
        <v>70.910073097686976</v>
      </c>
      <c r="Q37" s="20">
        <f t="shared" si="53"/>
        <v>643.78909731180499</v>
      </c>
      <c r="R37" s="59">
        <f t="shared" si="0"/>
        <v>937.12243064513837</v>
      </c>
      <c r="S37" s="59">
        <f ca="1">AVERAGE(OFFSET($R$3,0,0,'Données projet'!$E$9+1,1))-AVERAGE(OFFSET($H$3,0,0,'Données projet'!$E$9+1,1))</f>
        <v>512.21337090113502</v>
      </c>
      <c r="T37" s="59">
        <f t="shared" si="34"/>
        <v>621.03633124474163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3.6171844800504052</v>
      </c>
      <c r="AA37" s="21">
        <f>EXP(-LN(2)/25)*AA36+(1-EXP(-LN(2)/25))/(LN(2)/25)*Calculateur!V37*Calculateur!X37*VLOOKUP('Données projet'!$B$9,Paramètres!$A$1:$I$89,3,0)*0.475*44/12</f>
        <v>14.460012891411122</v>
      </c>
      <c r="AB37" s="21">
        <f>EXP(-LN(2)/2)*AB36+(1-EXP(-LN(2)/2))/(LN(2)/2)*V37*Y37*VLOOKUP('Données projet'!$B$9,Paramètres!$A$1:$I$89,3,0)*0.475*44/12</f>
        <v>1.7539616163904515</v>
      </c>
      <c r="AC37" s="22">
        <f t="shared" si="3"/>
        <v>19.831158987851978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37.5</v>
      </c>
      <c r="AI37" s="13">
        <f>IF('Données projet'!$A$62&gt;35,AI36+AH37-AQ36,IF(A37&lt;'Données projet'!$A$62,$AF$205^A37,IF(A37='Données projet'!$A$62,'Données projet'!$B$62,AI36+AH37-AQ36)))</f>
        <v>370.5</v>
      </c>
      <c r="AJ37" s="13">
        <f>AI37*VLOOKUP('Données projet'!$B$10,Paramètres!$A$1:$I$89,3,0)*VLOOKUP('Données projet'!$B$10,Paramètres!$A$1:$I$89,5,0)</f>
        <v>173.39400000000001</v>
      </c>
      <c r="AK37" s="13">
        <f t="shared" si="35"/>
        <v>43.849289930196633</v>
      </c>
      <c r="AL37" s="20">
        <f t="shared" si="4"/>
        <v>378.36539662842574</v>
      </c>
      <c r="AM37" s="59">
        <f t="shared" si="5"/>
        <v>671.698729961759</v>
      </c>
      <c r="AN37" s="59">
        <f ca="1">AVERAGE(OFFSET($AM$3,0,0,'Données projet'!$E$10+1,1))-AVERAGE(OFFSET($H$3,0,0,'Données projet'!$E$10+1,1))</f>
        <v>294.78071095255143</v>
      </c>
      <c r="AO37" s="59">
        <f t="shared" si="36"/>
        <v>323.52003392365867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3.8048791692028163</v>
      </c>
      <c r="AV37" s="21">
        <f>EXP(-LN(2)/25)*AV36+(1-EXP(-LN(2)/25))/(LN(2)/25)*Calculateur!AQ37*Calculateur!AS37*VLOOKUP('Données projet'!$B$10,Paramètres!$A$1:$I$89,3,0)*0.475*44/12</f>
        <v>21.787592315591471</v>
      </c>
      <c r="AW37" s="21">
        <f>EXP(-LN(2)/2)*AW36+(1-EXP(-LN(2)/2))/(LN(2)/2)*AQ37*AT37*VLOOKUP('Données projet'!$B$10,Paramètres!$A$1:$I$89,3,0)*0.475*44/12</f>
        <v>0.72829411529901966</v>
      </c>
      <c r="AX37" s="21">
        <f t="shared" si="6"/>
        <v>26.320765600093306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559</v>
      </c>
      <c r="L38" s="12">
        <f>VLOOKUP(A38,'Données projet'!$A$35:$I$55,9,0)</f>
        <v>24.6</v>
      </c>
      <c r="M38" s="12">
        <f t="array" ref="M38">INDEX(L:L,MIN(IF(ISNUMBER(L38:L234),ROW(L38:L234),"")))</f>
        <v>24.6</v>
      </c>
      <c r="N38" s="13">
        <f>IF('Données projet'!$A$36&gt;35,N37+M38-V37,IF(A38&lt;'Données projet'!$A$36,$K$205^A38,IF(A38='Données projet'!$A$36,'Données projet'!$B$36,N37+M38-V37)))</f>
        <v>559.00000000000023</v>
      </c>
      <c r="O38" s="13">
        <f>N38*VLOOKUP('Données projet'!$B$9,Paramètres!$A$1:$I$89,3,0)*VLOOKUP('Données projet'!$B$9,Paramètres!$A$1:$I$89,5,0)</f>
        <v>312.48100000000011</v>
      </c>
      <c r="P38" s="13">
        <f t="shared" si="33"/>
        <v>73.786721094721486</v>
      </c>
      <c r="Q38" s="20">
        <f t="shared" si="53"/>
        <v>672.74961423997343</v>
      </c>
      <c r="R38" s="59">
        <f t="shared" si="0"/>
        <v>966.08294757330668</v>
      </c>
      <c r="S38" s="59">
        <f ca="1">AVERAGE(OFFSET($R$3,0,0,'Données projet'!$E$9+1,1))-AVERAGE(OFFSET($H$3,0,0,'Données projet'!$E$9+1,1))</f>
        <v>512.21337090113502</v>
      </c>
      <c r="T38" s="59">
        <f t="shared" si="34"/>
        <v>621.03633124474163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61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3.5462536986612991</v>
      </c>
      <c r="AA38" s="21">
        <f>EXP(-LN(2)/25)*AA37+(1-EXP(-LN(2)/25))/(LN(2)/25)*Calculateur!V38*Calculateur!X38*VLOOKUP('Données projet'!$B$9,Paramètres!$A$1:$I$89,3,0)*0.475*44/12</f>
        <v>14.064603078476456</v>
      </c>
      <c r="AB38" s="21">
        <f>EXP(-LN(2)/2)*AB37+(1-EXP(-LN(2)/2))/(LN(2)/2)*V38*Y38*VLOOKUP('Données projet'!$B$9,Paramètres!$A$1:$I$89,3,0)*0.475*44/12</f>
        <v>1.2402381528906063</v>
      </c>
      <c r="AC38" s="22">
        <f t="shared" si="3"/>
        <v>18.85109493002836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408</v>
      </c>
      <c r="AG38" s="12">
        <f>VLOOKUP(A38,'Données projet'!$A$61:$I$81,9,0)</f>
        <v>37.5</v>
      </c>
      <c r="AH38" s="12">
        <f t="array" ref="AH38">INDEX(AG:AG,MIN(IF(ISNUMBER(AG38:AG234),ROW(AG38:AG234),"")))</f>
        <v>37.5</v>
      </c>
      <c r="AI38" s="13">
        <f>IF('Données projet'!$A$62&gt;35,AI37+AH38-AQ37,IF(A38&lt;'Données projet'!$A$62,$AF$205^A38,IF(A38='Données projet'!$A$62,'Données projet'!$B$62,AI37+AH38-AQ37)))</f>
        <v>408</v>
      </c>
      <c r="AJ38" s="13">
        <f>AI38*VLOOKUP('Données projet'!$B$10,Paramètres!$A$1:$I$89,3,0)*VLOOKUP('Données projet'!$B$10,Paramètres!$A$1:$I$89,5,0)</f>
        <v>190.94399999999999</v>
      </c>
      <c r="AK38" s="13">
        <f t="shared" si="35"/>
        <v>47.748597609826597</v>
      </c>
      <c r="AL38" s="20">
        <f t="shared" si="4"/>
        <v>415.72294083711455</v>
      </c>
      <c r="AM38" s="59">
        <f t="shared" si="5"/>
        <v>709.05627417044786</v>
      </c>
      <c r="AN38" s="59">
        <f ca="1">AVERAGE(OFFSET($AM$3,0,0,'Données projet'!$E$10+1,1))-AVERAGE(OFFSET($H$3,0,0,'Données projet'!$E$10+1,1))</f>
        <v>294.78071095255143</v>
      </c>
      <c r="AO38" s="59">
        <f t="shared" si="36"/>
        <v>323.52003392365867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54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3.7302678094418877</v>
      </c>
      <c r="AV38" s="21">
        <f>EXP(-LN(2)/25)*AV37+(1-EXP(-LN(2)/25))/(LN(2)/25)*Calculateur!AQ38*Calculateur!AS38*VLOOKUP('Données projet'!$B$10,Paramètres!$A$1:$I$89,3,0)*0.475*44/12</f>
        <v>21.191809457961938</v>
      </c>
      <c r="AW38" s="21">
        <f>EXP(-LN(2)/2)*AW37+(1-EXP(-LN(2)/2))/(LN(2)/2)*AQ38*AT38*VLOOKUP('Données projet'!$B$10,Paramètres!$A$1:$I$89,3,0)*0.475*44/12</f>
        <v>0.51498170762619411</v>
      </c>
      <c r="AX38" s="21">
        <f t="shared" si="6"/>
        <v>25.43705897503002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21.8</v>
      </c>
      <c r="N39" s="13">
        <f>IF('Données projet'!$A$36&gt;35,N38+M39-V38,IF(A39&lt;'Données projet'!$A$36,$K$205^A39,IF(A39='Données projet'!$A$36,'Données projet'!$B$36,N38+M39-V38)))</f>
        <v>519.80000000000018</v>
      </c>
      <c r="O39" s="13">
        <f>N39*VLOOKUP('Données projet'!$B$9,Paramètres!$A$1:$I$89,3,0)*VLOOKUP('Données projet'!$B$9,Paramètres!$A$1:$I$89,5,0)</f>
        <v>290.5682000000001</v>
      </c>
      <c r="P39" s="13">
        <f t="shared" si="33"/>
        <v>69.195534926178652</v>
      </c>
      <c r="Q39" s="20">
        <f t="shared" si="53"/>
        <v>626.58850499642801</v>
      </c>
      <c r="R39" s="59">
        <f t="shared" si="0"/>
        <v>919.92183832976139</v>
      </c>
      <c r="S39" s="59">
        <f ca="1">AVERAGE(OFFSET($R$3,0,0,'Données projet'!$E$9+1,1))-AVERAGE(OFFSET($H$3,0,0,'Données projet'!$E$9+1,1))</f>
        <v>512.21337090113502</v>
      </c>
      <c r="T39" s="59">
        <f t="shared" si="34"/>
        <v>621.03633124474163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3.4767138266317286</v>
      </c>
      <c r="AA39" s="21">
        <f>EXP(-LN(2)/25)*AA38+(1-EXP(-LN(2)/25))/(LN(2)/25)*Calculateur!V39*Calculateur!X39*VLOOKUP('Données projet'!$B$9,Paramètres!$A$1:$I$89,3,0)*0.475*44/12</f>
        <v>13.680005767670187</v>
      </c>
      <c r="AB39" s="21">
        <f>EXP(-LN(2)/2)*AB38+(1-EXP(-LN(2)/2))/(LN(2)/2)*V39*Y39*VLOOKUP('Données projet'!$B$9,Paramètres!$A$1:$I$89,3,0)*0.475*44/12</f>
        <v>0.87698080819522595</v>
      </c>
      <c r="AC39" s="22">
        <f t="shared" si="3"/>
        <v>18.033700402497139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33.25</v>
      </c>
      <c r="AI39" s="13">
        <f>IF('Données projet'!$A$62&gt;35,AI38+AH39-AQ38,IF(A39&lt;'Données projet'!$A$62,$AF$205^A39,IF(A39='Données projet'!$A$62,'Données projet'!$B$62,AI38+AH39-AQ38)))</f>
        <v>387.25</v>
      </c>
      <c r="AJ39" s="13">
        <f>AI39*VLOOKUP('Données projet'!$B$10,Paramètres!$A$1:$I$89,3,0)*VLOOKUP('Données projet'!$B$10,Paramètres!$A$1:$I$89,5,0)</f>
        <v>181.233</v>
      </c>
      <c r="AK39" s="13">
        <f t="shared" si="35"/>
        <v>45.596396864591711</v>
      </c>
      <c r="AL39" s="20">
        <f t="shared" si="4"/>
        <v>395.06119953916391</v>
      </c>
      <c r="AM39" s="59">
        <f t="shared" si="5"/>
        <v>688.39453287249717</v>
      </c>
      <c r="AN39" s="59">
        <f ca="1">AVERAGE(OFFSET($AM$3,0,0,'Données projet'!$E$10+1,1))-AVERAGE(OFFSET($H$3,0,0,'Données projet'!$E$10+1,1))</f>
        <v>294.78071095255143</v>
      </c>
      <c r="AO39" s="59">
        <f t="shared" si="36"/>
        <v>323.52003392365867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3.6571195329374349</v>
      </c>
      <c r="AV39" s="21">
        <f>EXP(-LN(2)/25)*AV38+(1-EXP(-LN(2)/25))/(LN(2)/25)*Calculateur!AQ39*Calculateur!AS39*VLOOKUP('Données projet'!$B$10,Paramètres!$A$1:$I$89,3,0)*0.475*44/12</f>
        <v>20.612318313905142</v>
      </c>
      <c r="AW39" s="21">
        <f>EXP(-LN(2)/2)*AW38+(1-EXP(-LN(2)/2))/(LN(2)/2)*AQ39*AT39*VLOOKUP('Données projet'!$B$10,Paramètres!$A$1:$I$89,3,0)*0.475*44/12</f>
        <v>0.36414705764950983</v>
      </c>
      <c r="AX39" s="21">
        <f t="shared" si="6"/>
        <v>24.633584904492089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21.8</v>
      </c>
      <c r="N40" s="13">
        <f>IF('Données projet'!$A$36&gt;35,N39+M40-V39,IF(A40&lt;'Données projet'!$A$36,$K$205^A40,IF(A40='Données projet'!$A$36,'Données projet'!$B$36,N39+M40-V39)))</f>
        <v>541.60000000000014</v>
      </c>
      <c r="O40" s="13">
        <f>N40*VLOOKUP('Données projet'!$B$9,Paramètres!$A$1:$I$89,3,0)*VLOOKUP('Données projet'!$B$9,Paramètres!$A$1:$I$89,5,0)</f>
        <v>302.75440000000009</v>
      </c>
      <c r="P40" s="13">
        <f t="shared" si="33"/>
        <v>71.753584011735882</v>
      </c>
      <c r="Q40" s="20">
        <f t="shared" si="53"/>
        <v>652.26807215377346</v>
      </c>
      <c r="R40" s="59">
        <f t="shared" si="0"/>
        <v>945.60140548710683</v>
      </c>
      <c r="S40" s="59">
        <f ca="1">AVERAGE(OFFSET($R$3,0,0,'Données projet'!$E$9+1,1))-AVERAGE(OFFSET($H$3,0,0,'Données projet'!$E$9+1,1))</f>
        <v>512.21337090113502</v>
      </c>
      <c r="T40" s="59">
        <f t="shared" si="34"/>
        <v>621.03633124474163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3.408537589077524</v>
      </c>
      <c r="AA40" s="21">
        <f>EXP(-LN(2)/25)*AA39+(1-EXP(-LN(2)/25))/(LN(2)/25)*Calculateur!V40*Calculateur!X40*VLOOKUP('Données projet'!$B$9,Paramètres!$A$1:$I$89,3,0)*0.475*44/12</f>
        <v>13.305925290553008</v>
      </c>
      <c r="AB40" s="21">
        <f>EXP(-LN(2)/2)*AB39+(1-EXP(-LN(2)/2))/(LN(2)/2)*V40*Y40*VLOOKUP('Données projet'!$B$9,Paramètres!$A$1:$I$89,3,0)*0.475*44/12</f>
        <v>0.62011907644530329</v>
      </c>
      <c r="AC40" s="22">
        <f t="shared" si="3"/>
        <v>17.334581956075834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33.25</v>
      </c>
      <c r="AI40" s="13">
        <f>IF('Données projet'!$A$62&gt;35,AI39+AH40-AQ39,IF(A40&lt;'Données projet'!$A$62,$AF$205^A40,IF(A40='Données projet'!$A$62,'Données projet'!$B$62,AI39+AH40-AQ39)))</f>
        <v>420.5</v>
      </c>
      <c r="AJ40" s="13">
        <f>AI40*VLOOKUP('Données projet'!$B$10,Paramètres!$A$1:$I$89,3,0)*VLOOKUP('Données projet'!$B$10,Paramètres!$A$1:$I$89,5,0)</f>
        <v>196.79400000000001</v>
      </c>
      <c r="AK40" s="13">
        <f t="shared" si="35"/>
        <v>49.038924669809596</v>
      </c>
      <c r="AL40" s="20">
        <f t="shared" si="4"/>
        <v>428.15901046658502</v>
      </c>
      <c r="AM40" s="59">
        <f t="shared" si="5"/>
        <v>721.49234379991833</v>
      </c>
      <c r="AN40" s="59">
        <f ca="1">AVERAGE(OFFSET($AM$3,0,0,'Données projet'!$E$10+1,1))-AVERAGE(OFFSET($H$3,0,0,'Données projet'!$E$10+1,1))</f>
        <v>294.78071095255143</v>
      </c>
      <c r="AO40" s="59">
        <f t="shared" si="36"/>
        <v>323.52003392365867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3.5854056495191911</v>
      </c>
      <c r="AV40" s="21">
        <f>EXP(-LN(2)/25)*AV39+(1-EXP(-LN(2)/25))/(LN(2)/25)*Calculateur!AQ40*Calculateur!AS40*VLOOKUP('Données projet'!$B$10,Paramètres!$A$1:$I$89,3,0)*0.475*44/12</f>
        <v>20.048673385656695</v>
      </c>
      <c r="AW40" s="21">
        <f>EXP(-LN(2)/2)*AW39+(1-EXP(-LN(2)/2))/(LN(2)/2)*AQ40*AT40*VLOOKUP('Données projet'!$B$10,Paramètres!$A$1:$I$89,3,0)*0.475*44/12</f>
        <v>0.25749085381309705</v>
      </c>
      <c r="AX40" s="21">
        <f t="shared" si="6"/>
        <v>23.891569888988982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21.8</v>
      </c>
      <c r="N41" s="13">
        <f>IF('Données projet'!$A$36&gt;35,N40+M41-V40,IF(A41&lt;'Données projet'!$A$36,$K$205^A41,IF(A41='Données projet'!$A$36,'Données projet'!$B$36,N40+M41-V40)))</f>
        <v>563.40000000000009</v>
      </c>
      <c r="O41" s="13">
        <f>N41*VLOOKUP('Données projet'!$B$9,Paramètres!$A$1:$I$89,3,0)*VLOOKUP('Données projet'!$B$9,Paramètres!$A$1:$I$89,5,0)</f>
        <v>314.94060000000007</v>
      </c>
      <c r="P41" s="13">
        <f t="shared" si="33"/>
        <v>74.299672673282714</v>
      </c>
      <c r="Q41" s="20">
        <f t="shared" si="53"/>
        <v>677.92680823930084</v>
      </c>
      <c r="R41" s="59">
        <f t="shared" si="0"/>
        <v>971.26014157263421</v>
      </c>
      <c r="S41" s="59">
        <f ca="1">AVERAGE(OFFSET($R$3,0,0,'Données projet'!$E$9+1,1))-AVERAGE(OFFSET($H$3,0,0,'Données projet'!$E$9+1,1))</f>
        <v>512.21337090113502</v>
      </c>
      <c r="T41" s="59">
        <f t="shared" si="34"/>
        <v>621.03633124474163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3.3416982459583586</v>
      </c>
      <c r="AA41" s="21">
        <f>EXP(-LN(2)/25)*AA40+(1-EXP(-LN(2)/25))/(LN(2)/25)*Calculateur!V41*Calculateur!X41*VLOOKUP('Données projet'!$B$9,Paramètres!$A$1:$I$89,3,0)*0.475*44/12</f>
        <v>12.942074063754635</v>
      </c>
      <c r="AB41" s="21">
        <f>EXP(-LN(2)/2)*AB40+(1-EXP(-LN(2)/2))/(LN(2)/2)*V41*Y41*VLOOKUP('Données projet'!$B$9,Paramètres!$A$1:$I$89,3,0)*0.475*44/12</f>
        <v>0.43849040409761303</v>
      </c>
      <c r="AC41" s="22">
        <f t="shared" si="3"/>
        <v>16.722262713810608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33.25</v>
      </c>
      <c r="AI41" s="13">
        <f>IF('Données projet'!$A$62&gt;35,AI40+AH41-AQ40,IF(A41&lt;'Données projet'!$A$62,$AF$205^A41,IF(A41='Données projet'!$A$62,'Données projet'!$B$62,AI40+AH41-AQ40)))</f>
        <v>453.75</v>
      </c>
      <c r="AJ41" s="13">
        <f>AI41*VLOOKUP('Données projet'!$B$10,Paramètres!$A$1:$I$89,3,0)*VLOOKUP('Données projet'!$B$10,Paramètres!$A$1:$I$89,5,0)</f>
        <v>212.35499999999999</v>
      </c>
      <c r="AK41" s="13">
        <f t="shared" si="35"/>
        <v>52.449877960508331</v>
      </c>
      <c r="AL41" s="20">
        <f t="shared" si="4"/>
        <v>461.20182911455191</v>
      </c>
      <c r="AM41" s="59">
        <f t="shared" si="5"/>
        <v>754.53516244788523</v>
      </c>
      <c r="AN41" s="59">
        <f ca="1">AVERAGE(OFFSET($AM$3,0,0,'Données projet'!$E$10+1,1))-AVERAGE(OFFSET($H$3,0,0,'Données projet'!$E$10+1,1))</f>
        <v>294.78071095255143</v>
      </c>
      <c r="AO41" s="59">
        <f t="shared" si="36"/>
        <v>323.52003392365867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3.5150980316136291</v>
      </c>
      <c r="AV41" s="21">
        <f>EXP(-LN(2)/25)*AV40+(1-EXP(-LN(2)/25))/(LN(2)/25)*Calculateur!AQ41*Calculateur!AS41*VLOOKUP('Données projet'!$B$10,Paramètres!$A$1:$I$89,3,0)*0.475*44/12</f>
        <v>19.500441357612001</v>
      </c>
      <c r="AW41" s="21">
        <f>EXP(-LN(2)/2)*AW40+(1-EXP(-LN(2)/2))/(LN(2)/2)*AQ41*AT41*VLOOKUP('Données projet'!$B$10,Paramètres!$A$1:$I$89,3,0)*0.475*44/12</f>
        <v>0.18207352882475492</v>
      </c>
      <c r="AX41" s="21">
        <f t="shared" si="6"/>
        <v>23.197612918050385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21.8</v>
      </c>
      <c r="N42" s="13">
        <f>IF('Données projet'!$A$36&gt;35,N41+M42-V41,IF(A42&lt;'Données projet'!$A$36,$K$205^A42,IF(A42='Données projet'!$A$36,'Données projet'!$B$36,N41+M42-V41)))</f>
        <v>585.20000000000005</v>
      </c>
      <c r="O42" s="13">
        <f>N42*VLOOKUP('Données projet'!$B$9,Paramètres!$A$1:$I$89,3,0)*VLOOKUP('Données projet'!$B$9,Paramètres!$A$1:$I$89,5,0)</f>
        <v>327.12680000000006</v>
      </c>
      <c r="P42" s="13">
        <f t="shared" si="33"/>
        <v>76.834316672603649</v>
      </c>
      <c r="Q42" s="20">
        <f t="shared" si="53"/>
        <v>703.56561153811811</v>
      </c>
      <c r="R42" s="59">
        <f t="shared" si="0"/>
        <v>996.89894487145148</v>
      </c>
      <c r="S42" s="59">
        <f ca="1">AVERAGE(OFFSET($R$3,0,0,'Données projet'!$E$9+1,1))-AVERAGE(OFFSET($H$3,0,0,'Données projet'!$E$9+1,1))</f>
        <v>512.21337090113502</v>
      </c>
      <c r="T42" s="59">
        <f t="shared" si="34"/>
        <v>621.03633124474163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3.2761695815897864</v>
      </c>
      <c r="AA42" s="21">
        <f>EXP(-LN(2)/25)*AA41+(1-EXP(-LN(2)/25))/(LN(2)/25)*Calculateur!V42*Calculateur!X42*VLOOKUP('Données projet'!$B$9,Paramètres!$A$1:$I$89,3,0)*0.475*44/12</f>
        <v>12.58817236788717</v>
      </c>
      <c r="AB42" s="21">
        <f>EXP(-LN(2)/2)*AB41+(1-EXP(-LN(2)/2))/(LN(2)/2)*V42*Y42*VLOOKUP('Données projet'!$B$9,Paramètres!$A$1:$I$89,3,0)*0.475*44/12</f>
        <v>0.3100595382226517</v>
      </c>
      <c r="AC42" s="22">
        <f t="shared" si="3"/>
        <v>16.174401487699608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>
        <f>VLOOKUP(A42,'Données projet'!$A$61:$I$81,2,0)</f>
        <v>487</v>
      </c>
      <c r="AG42" s="12">
        <f>VLOOKUP(A42,'Données projet'!$A$61:$I$81,9,0)</f>
        <v>33.25</v>
      </c>
      <c r="AH42" s="12">
        <f t="array" ref="AH42">INDEX(AG:AG,MIN(IF(ISNUMBER(AG42:AG238),ROW(AG42:AG238),"")))</f>
        <v>33.25</v>
      </c>
      <c r="AI42" s="13">
        <f>IF('Données projet'!$A$62&gt;35,AI41+AH42-AQ41,IF(A42&lt;'Données projet'!$A$62,$AF$205^A42,IF(A42='Données projet'!$A$62,'Données projet'!$B$62,AI41+AH42-AQ41)))</f>
        <v>487</v>
      </c>
      <c r="AJ42" s="13">
        <f>AI42*VLOOKUP('Données projet'!$B$10,Paramètres!$A$1:$I$89,3,0)*VLOOKUP('Données projet'!$B$10,Paramètres!$A$1:$I$89,5,0)</f>
        <v>227.916</v>
      </c>
      <c r="AK42" s="13">
        <f t="shared" si="35"/>
        <v>55.831833576509503</v>
      </c>
      <c r="AL42" s="20">
        <f t="shared" si="4"/>
        <v>494.19414347908742</v>
      </c>
      <c r="AM42" s="59">
        <f t="shared" si="5"/>
        <v>787.52747681242067</v>
      </c>
      <c r="AN42" s="59">
        <f ca="1">AVERAGE(OFFSET($AM$3,0,0,'Données projet'!$E$10+1,1))-AVERAGE(OFFSET($H$3,0,0,'Données projet'!$E$10+1,1))</f>
        <v>294.78071095255143</v>
      </c>
      <c r="AO42" s="59">
        <f t="shared" si="36"/>
        <v>323.52003392365867</v>
      </c>
      <c r="AP42" s="15">
        <f>IF(ISNA(VLOOKUP(A42,'Données projet'!$A$61:$I$81,3,0)),0,VLOOKUP(A42,'Données projet'!$A$61:$I$81,3,0))</f>
        <v>5</v>
      </c>
      <c r="AQ42" s="15">
        <f>IF(ISNA(VLOOKUP(A42,'Données projet'!$A$61:$I$81,4,0)),0,VLOOKUP(A42,'Données projet'!$A$61:$I$81,4,0))</f>
        <v>50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3.4461691032117829</v>
      </c>
      <c r="AV42" s="21">
        <f>EXP(-LN(2)/25)*AV41+(1-EXP(-LN(2)/25))/(LN(2)/25)*Calculateur!AQ42*Calculateur!AS42*VLOOKUP('Données projet'!$B$10,Paramètres!$A$1:$I$89,3,0)*0.475*44/12</f>
        <v>18.96720076320446</v>
      </c>
      <c r="AW42" s="21">
        <f>EXP(-LN(2)/2)*AW41+(1-EXP(-LN(2)/2))/(LN(2)/2)*AQ42*AT42*VLOOKUP('Données projet'!$B$10,Paramètres!$A$1:$I$89,3,0)*0.475*44/12</f>
        <v>0.12874542690654853</v>
      </c>
      <c r="AX42" s="21">
        <f t="shared" si="6"/>
        <v>22.542115293322791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607</v>
      </c>
      <c r="L43" s="12">
        <f>VLOOKUP(A43,'Données projet'!$A$35:$I$55,9,0)</f>
        <v>21.8</v>
      </c>
      <c r="M43" s="12">
        <f t="array" ref="M43">INDEX(L:L,MIN(IF(ISNUMBER(L43:L239),ROW(L43:L239),"")))</f>
        <v>21.8</v>
      </c>
      <c r="N43" s="13">
        <f>IF('Données projet'!$A$36&gt;35,N42+M43-V42,IF(A43&lt;'Données projet'!$A$36,$K$205^A43,IF(A43='Données projet'!$A$36,'Données projet'!$B$36,N42+M43-V42)))</f>
        <v>607</v>
      </c>
      <c r="O43" s="13">
        <f>N43*VLOOKUP('Données projet'!$B$9,Paramètres!$A$1:$I$89,3,0)*VLOOKUP('Données projet'!$B$9,Paramètres!$A$1:$I$89,5,0)</f>
        <v>339.31299999999999</v>
      </c>
      <c r="P43" s="13">
        <f t="shared" si="33"/>
        <v>79.357991167872044</v>
      </c>
      <c r="Q43" s="20">
        <f t="shared" si="53"/>
        <v>729.18530961737713</v>
      </c>
      <c r="R43" s="59">
        <f t="shared" si="0"/>
        <v>1022.5186429507105</v>
      </c>
      <c r="S43" s="59">
        <f ca="1">AVERAGE(OFFSET($R$3,0,0,'Données projet'!$E$9+1,1))-AVERAGE(OFFSET($H$3,0,0,'Données projet'!$E$9+1,1))</f>
        <v>512.21337090113502</v>
      </c>
      <c r="T43" s="59">
        <f t="shared" si="34"/>
        <v>621.03633124474163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64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3.211925894360943</v>
      </c>
      <c r="AA43" s="21">
        <f>EXP(-LN(2)/25)*AA42+(1-EXP(-LN(2)/25))/(LN(2)/25)*Calculateur!V43*Calculateur!X43*VLOOKUP('Données projet'!$B$9,Paramètres!$A$1:$I$89,3,0)*0.475*44/12</f>
        <v>12.24394813250408</v>
      </c>
      <c r="AB43" s="21">
        <f>EXP(-LN(2)/2)*AB42+(1-EXP(-LN(2)/2))/(LN(2)/2)*V43*Y43*VLOOKUP('Données projet'!$B$9,Paramètres!$A$1:$I$89,3,0)*0.475*44/12</f>
        <v>0.21924520204880657</v>
      </c>
      <c r="AC43" s="22">
        <f t="shared" si="3"/>
        <v>15.675119228913831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31.8</v>
      </c>
      <c r="AI43" s="13">
        <f>IF('Données projet'!$A$62&gt;35,AI42+AH43-AQ42,IF(A43&lt;'Données projet'!$A$62,$AF$205^A43,IF(A43='Données projet'!$A$62,'Données projet'!$B$62,AI42+AH43-AQ42)))</f>
        <v>468.79999999999995</v>
      </c>
      <c r="AJ43" s="13">
        <f>AI43*VLOOKUP('Données projet'!$B$10,Paramètres!$A$1:$I$89,3,0)*VLOOKUP('Données projet'!$B$10,Paramètres!$A$1:$I$89,5,0)</f>
        <v>219.39839999999998</v>
      </c>
      <c r="AK43" s="13">
        <f t="shared" si="35"/>
        <v>53.984110102082042</v>
      </c>
      <c r="AL43" s="20">
        <f t="shared" si="4"/>
        <v>476.14120509445956</v>
      </c>
      <c r="AM43" s="59">
        <f t="shared" si="5"/>
        <v>769.47453842779282</v>
      </c>
      <c r="AN43" s="59">
        <f ca="1">AVERAGE(OFFSET($AM$3,0,0,'Données projet'!$E$10+1,1))-AVERAGE(OFFSET($H$3,0,0,'Données projet'!$E$10+1,1))</f>
        <v>294.78071095255143</v>
      </c>
      <c r="AO43" s="59">
        <f t="shared" si="36"/>
        <v>323.52003392365867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3.3785918290534021</v>
      </c>
      <c r="AV43" s="21">
        <f>EXP(-LN(2)/25)*AV42+(1-EXP(-LN(2)/25))/(LN(2)/25)*Calculateur!AQ43*Calculateur!AS43*VLOOKUP('Données projet'!$B$10,Paramètres!$A$1:$I$89,3,0)*0.475*44/12</f>
        <v>18.448541660892896</v>
      </c>
      <c r="AW43" s="21">
        <f>EXP(-LN(2)/2)*AW42+(1-EXP(-LN(2)/2))/(LN(2)/2)*AQ43*AT43*VLOOKUP('Données projet'!$B$10,Paramètres!$A$1:$I$89,3,0)*0.475*44/12</f>
        <v>9.1036764412377458E-2</v>
      </c>
      <c r="AX43" s="21">
        <f t="shared" si="6"/>
        <v>21.918170254358674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19.8</v>
      </c>
      <c r="N44" s="13">
        <f>IF('Données projet'!$A$36&gt;35,N43+M44-V43,IF(A44&lt;'Données projet'!$A$36,$K$205^A44,IF(A44='Données projet'!$A$36,'Données projet'!$B$36,N43+M44-V43)))</f>
        <v>562.79999999999995</v>
      </c>
      <c r="O44" s="13">
        <f>N44*VLOOKUP('Données projet'!$B$9,Paramètres!$A$1:$I$89,3,0)*VLOOKUP('Données projet'!$B$9,Paramètres!$A$1:$I$89,5,0)</f>
        <v>314.60520000000002</v>
      </c>
      <c r="P44" s="13">
        <f t="shared" si="33"/>
        <v>74.229752266996258</v>
      </c>
      <c r="Q44" s="20">
        <f t="shared" si="53"/>
        <v>677.22087519835191</v>
      </c>
      <c r="R44" s="59">
        <f t="shared" si="0"/>
        <v>970.55420853168516</v>
      </c>
      <c r="S44" s="59">
        <f ca="1">AVERAGE(OFFSET($R$3,0,0,'Données projet'!$E$9+1,1))-AVERAGE(OFFSET($H$3,0,0,'Données projet'!$E$9+1,1))</f>
        <v>512.21337090113502</v>
      </c>
      <c r="T44" s="59">
        <f t="shared" si="34"/>
        <v>621.03633124474163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3.148941986653877</v>
      </c>
      <c r="AA44" s="21">
        <f>EXP(-LN(2)/25)*AA43+(1-EXP(-LN(2)/25))/(LN(2)/25)*Calculateur!V44*Calculateur!X44*VLOOKUP('Données projet'!$B$9,Paramètres!$A$1:$I$89,3,0)*0.475*44/12</f>
        <v>11.909136726939508</v>
      </c>
      <c r="AB44" s="21">
        <f>EXP(-LN(2)/2)*AB43+(1-EXP(-LN(2)/2))/(LN(2)/2)*V44*Y44*VLOOKUP('Données projet'!$B$9,Paramètres!$A$1:$I$89,3,0)*0.475*44/12</f>
        <v>0.15502976911132588</v>
      </c>
      <c r="AC44" s="22">
        <f t="shared" si="3"/>
        <v>15.213108482704712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31.8</v>
      </c>
      <c r="AI44" s="13">
        <f>IF('Données projet'!$A$62&gt;35,AI43+AH44-AQ43,IF(A44&lt;'Données projet'!$A$62,$AF$205^A44,IF(A44='Données projet'!$A$62,'Données projet'!$B$62,AI43+AH44-AQ43)))</f>
        <v>500.59999999999997</v>
      </c>
      <c r="AJ44" s="13">
        <f>AI44*VLOOKUP('Données projet'!$B$10,Paramètres!$A$1:$I$89,3,0)*VLOOKUP('Données projet'!$B$10,Paramètres!$A$1:$I$89,5,0)</f>
        <v>234.28079999999997</v>
      </c>
      <c r="AK44" s="13">
        <f t="shared" si="35"/>
        <v>57.207294807077886</v>
      </c>
      <c r="AL44" s="20">
        <f t="shared" si="4"/>
        <v>507.67509845566065</v>
      </c>
      <c r="AM44" s="59">
        <f t="shared" si="5"/>
        <v>801.0084317889939</v>
      </c>
      <c r="AN44" s="59">
        <f ca="1">AVERAGE(OFFSET($AM$3,0,0,'Données projet'!$E$10+1,1))-AVERAGE(OFFSET($H$3,0,0,'Données projet'!$E$10+1,1))</f>
        <v>294.78071095255143</v>
      </c>
      <c r="AO44" s="59">
        <f t="shared" si="36"/>
        <v>323.52003392365867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3.3123397040231994</v>
      </c>
      <c r="AV44" s="21">
        <f>EXP(-LN(2)/25)*AV43+(1-EXP(-LN(2)/25))/(LN(2)/25)*Calculateur!AQ44*Calculateur!AS44*VLOOKUP('Données projet'!$B$10,Paramètres!$A$1:$I$89,3,0)*0.475*44/12</f>
        <v>17.944065319009137</v>
      </c>
      <c r="AW44" s="21">
        <f>EXP(-LN(2)/2)*AW43+(1-EXP(-LN(2)/2))/(LN(2)/2)*AQ44*AT44*VLOOKUP('Données projet'!$B$10,Paramètres!$A$1:$I$89,3,0)*0.475*44/12</f>
        <v>6.4372713453274263E-2</v>
      </c>
      <c r="AX44" s="21">
        <f t="shared" si="6"/>
        <v>21.32077773648561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19.8</v>
      </c>
      <c r="N45" s="13">
        <f>IF('Données projet'!$A$36&gt;35,N44+M45-V44,IF(A45&lt;'Données projet'!$A$36,$K$205^A45,IF(A45='Données projet'!$A$36,'Données projet'!$B$36,N44+M45-V44)))</f>
        <v>582.59999999999991</v>
      </c>
      <c r="O45" s="13">
        <f>N45*VLOOKUP('Données projet'!$B$9,Paramètres!$A$1:$I$89,3,0)*VLOOKUP('Données projet'!$B$9,Paramètres!$A$1:$I$89,5,0)</f>
        <v>325.67339999999996</v>
      </c>
      <c r="P45" s="13">
        <f t="shared" si="33"/>
        <v>76.53260477134495</v>
      </c>
      <c r="Q45" s="20">
        <f t="shared" si="53"/>
        <v>700.50879164342575</v>
      </c>
      <c r="R45" s="59">
        <f t="shared" si="0"/>
        <v>993.84212497675912</v>
      </c>
      <c r="S45" s="59">
        <f ca="1">AVERAGE(OFFSET($R$3,0,0,'Données projet'!$E$9+1,1))-AVERAGE(OFFSET($H$3,0,0,'Données projet'!$E$9+1,1))</f>
        <v>512.21337090113502</v>
      </c>
      <c r="T45" s="59">
        <f t="shared" si="34"/>
        <v>621.03633124474163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3.0871931549605565</v>
      </c>
      <c r="AA45" s="21">
        <f>EXP(-LN(2)/25)*AA44+(1-EXP(-LN(2)/25))/(LN(2)/25)*Calculateur!V45*Calculateur!X45*VLOOKUP('Données projet'!$B$9,Paramètres!$A$1:$I$89,3,0)*0.475*44/12</f>
        <v>11.583480756867065</v>
      </c>
      <c r="AB45" s="21">
        <f>EXP(-LN(2)/2)*AB44+(1-EXP(-LN(2)/2))/(LN(2)/2)*V45*Y45*VLOOKUP('Données projet'!$B$9,Paramètres!$A$1:$I$89,3,0)*0.475*44/12</f>
        <v>0.1096226010244033</v>
      </c>
      <c r="AC45" s="22">
        <f t="shared" si="3"/>
        <v>14.780296512852024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31.8</v>
      </c>
      <c r="AI45" s="13">
        <f>IF('Données projet'!$A$62&gt;35,AI44+AH45-AQ44,IF(A45&lt;'Données projet'!$A$62,$AF$205^A45,IF(A45='Données projet'!$A$62,'Données projet'!$B$62,AI44+AH45-AQ44)))</f>
        <v>532.4</v>
      </c>
      <c r="AJ45" s="13">
        <f>AI45*VLOOKUP('Données projet'!$B$10,Paramètres!$A$1:$I$89,3,0)*VLOOKUP('Données projet'!$B$10,Paramètres!$A$1:$I$89,5,0)</f>
        <v>249.16319999999999</v>
      </c>
      <c r="AK45" s="13">
        <f t="shared" si="35"/>
        <v>60.406717776063964</v>
      </c>
      <c r="AL45" s="20">
        <f t="shared" si="4"/>
        <v>539.16760679331139</v>
      </c>
      <c r="AM45" s="59">
        <f t="shared" si="5"/>
        <v>832.50094012664476</v>
      </c>
      <c r="AN45" s="59">
        <f ca="1">AVERAGE(OFFSET($AM$3,0,0,'Données projet'!$E$10+1,1))-AVERAGE(OFFSET($H$3,0,0,'Données projet'!$E$10+1,1))</f>
        <v>294.78071095255143</v>
      </c>
      <c r="AO45" s="59">
        <f t="shared" si="36"/>
        <v>323.52003392365867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3.2473867427550331</v>
      </c>
      <c r="AV45" s="21">
        <f>EXP(-LN(2)/25)*AV44+(1-EXP(-LN(2)/25))/(LN(2)/25)*Calculateur!AQ45*Calculateur!AS45*VLOOKUP('Données projet'!$B$10,Paramètres!$A$1:$I$89,3,0)*0.475*44/12</f>
        <v>17.453383909223451</v>
      </c>
      <c r="AW45" s="21">
        <f>EXP(-LN(2)/2)*AW44+(1-EXP(-LN(2)/2))/(LN(2)/2)*AQ45*AT45*VLOOKUP('Données projet'!$B$10,Paramètres!$A$1:$I$89,3,0)*0.475*44/12</f>
        <v>4.5518382206188729E-2</v>
      </c>
      <c r="AX45" s="21">
        <f t="shared" si="6"/>
        <v>20.746289034184674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19.8</v>
      </c>
      <c r="N46" s="13">
        <f>IF('Données projet'!$A$36&gt;35,N45+M46-V45,IF(A46&lt;'Données projet'!$A$36,$K$205^A46,IF(A46='Données projet'!$A$36,'Données projet'!$B$36,N45+M46-V45)))</f>
        <v>602.39999999999986</v>
      </c>
      <c r="O46" s="13">
        <f>N46*VLOOKUP('Données projet'!$B$9,Paramètres!$A$1:$I$89,3,0)*VLOOKUP('Données projet'!$B$9,Paramètres!$A$1:$I$89,5,0)</f>
        <v>336.74159999999989</v>
      </c>
      <c r="P46" s="13">
        <f t="shared" si="33"/>
        <v>78.826363517408936</v>
      </c>
      <c r="Q46" s="20">
        <f t="shared" si="53"/>
        <v>723.78086979282034</v>
      </c>
      <c r="R46" s="59">
        <f t="shared" si="0"/>
        <v>1017.1142031261536</v>
      </c>
      <c r="S46" s="59">
        <f ca="1">AVERAGE(OFFSET($R$3,0,0,'Données projet'!$E$9+1,1))-AVERAGE(OFFSET($H$3,0,0,'Données projet'!$E$9+1,1))</f>
        <v>512.21337090113502</v>
      </c>
      <c r="T46" s="59">
        <f t="shared" si="34"/>
        <v>621.03633124474163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3.0266551801936736</v>
      </c>
      <c r="AA46" s="21">
        <f>EXP(-LN(2)/25)*AA45+(1-EXP(-LN(2)/25))/(LN(2)/25)*Calculateur!V46*Calculateur!X46*VLOOKUP('Données projet'!$B$9,Paramètres!$A$1:$I$89,3,0)*0.475*44/12</f>
        <v>11.266729866421755</v>
      </c>
      <c r="AB46" s="21">
        <f>EXP(-LN(2)/2)*AB45+(1-EXP(-LN(2)/2))/(LN(2)/2)*V46*Y46*VLOOKUP('Données projet'!$B$9,Paramètres!$A$1:$I$89,3,0)*0.475*44/12</f>
        <v>7.7514884555662952E-2</v>
      </c>
      <c r="AC46" s="22">
        <f t="shared" si="3"/>
        <v>14.370899931171092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31.8</v>
      </c>
      <c r="AI46" s="13">
        <f>IF('Données projet'!$A$62&gt;35,AI45+AH46-AQ45,IF(A46&lt;'Données projet'!$A$62,$AF$205^A46,IF(A46='Données projet'!$A$62,'Données projet'!$B$62,AI45+AH46-AQ45)))</f>
        <v>564.19999999999993</v>
      </c>
      <c r="AJ46" s="13">
        <f>AI46*VLOOKUP('Données projet'!$B$10,Paramètres!$A$1:$I$89,3,0)*VLOOKUP('Données projet'!$B$10,Paramètres!$A$1:$I$89,5,0)</f>
        <v>264.04559999999998</v>
      </c>
      <c r="AK46" s="13">
        <f t="shared" si="35"/>
        <v>63.583959929973737</v>
      </c>
      <c r="AL46" s="20">
        <f t="shared" si="4"/>
        <v>570.62148354470423</v>
      </c>
      <c r="AM46" s="59">
        <f t="shared" si="5"/>
        <v>863.95481687803749</v>
      </c>
      <c r="AN46" s="59">
        <f ca="1">AVERAGE(OFFSET($AM$3,0,0,'Données projet'!$E$10+1,1))-AVERAGE(OFFSET($H$3,0,0,'Données projet'!$E$10+1,1))</f>
        <v>294.78071095255143</v>
      </c>
      <c r="AO46" s="59">
        <f t="shared" si="36"/>
        <v>323.52003392365867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3.1837074694399412</v>
      </c>
      <c r="AV46" s="21">
        <f>EXP(-LN(2)/25)*AV45+(1-EXP(-LN(2)/25))/(LN(2)/25)*Calculateur!AQ46*Calculateur!AS46*VLOOKUP('Données projet'!$B$10,Paramètres!$A$1:$I$89,3,0)*0.475*44/12</f>
        <v>16.976120208392167</v>
      </c>
      <c r="AW46" s="21">
        <f>EXP(-LN(2)/2)*AW45+(1-EXP(-LN(2)/2))/(LN(2)/2)*AQ46*AT46*VLOOKUP('Données projet'!$B$10,Paramètres!$A$1:$I$89,3,0)*0.475*44/12</f>
        <v>3.2186356726637132E-2</v>
      </c>
      <c r="AX46" s="21">
        <f t="shared" si="6"/>
        <v>20.192014034558746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19.8</v>
      </c>
      <c r="N47" s="13">
        <f>IF('Données projet'!$A$36&gt;35,N46+M47-V46,IF(A47&lt;'Données projet'!$A$36,$K$205^A47,IF(A47='Données projet'!$A$36,'Données projet'!$B$36,N46+M47-V46)))</f>
        <v>622.19999999999982</v>
      </c>
      <c r="O47" s="13">
        <f>N47*VLOOKUP('Données projet'!$B$9,Paramètres!$A$1:$I$89,3,0)*VLOOKUP('Données projet'!$B$9,Paramètres!$A$1:$I$89,5,0)</f>
        <v>347.80979999999994</v>
      </c>
      <c r="P47" s="13">
        <f t="shared" si="33"/>
        <v>81.111361679698661</v>
      </c>
      <c r="Q47" s="20">
        <f t="shared" si="53"/>
        <v>747.03768992547487</v>
      </c>
      <c r="R47" s="59">
        <f t="shared" si="0"/>
        <v>1040.3710232588082</v>
      </c>
      <c r="S47" s="59">
        <f ca="1">AVERAGE(OFFSET($R$3,0,0,'Données projet'!$E$9+1,1))-AVERAGE(OFFSET($H$3,0,0,'Données projet'!$E$9+1,1))</f>
        <v>512.21337090113502</v>
      </c>
      <c r="T47" s="59">
        <f t="shared" si="34"/>
        <v>621.03633124474163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2.9673043181874506</v>
      </c>
      <c r="AA47" s="21">
        <f>EXP(-LN(2)/25)*AA46+(1-EXP(-LN(2)/25))/(LN(2)/25)*Calculateur!V47*Calculateur!X47*VLOOKUP('Données projet'!$B$9,Paramètres!$A$1:$I$89,3,0)*0.475*44/12</f>
        <v>10.95864054573288</v>
      </c>
      <c r="AB47" s="21">
        <f>EXP(-LN(2)/2)*AB46+(1-EXP(-LN(2)/2))/(LN(2)/2)*V47*Y47*VLOOKUP('Données projet'!$B$9,Paramètres!$A$1:$I$89,3,0)*0.475*44/12</f>
        <v>5.4811300512201656E-2</v>
      </c>
      <c r="AC47" s="22">
        <f t="shared" si="3"/>
        <v>13.980756164432531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596</v>
      </c>
      <c r="AG47" s="12">
        <f>VLOOKUP(A47,'Données projet'!$A$61:$I$81,9,0)</f>
        <v>31.8</v>
      </c>
      <c r="AH47" s="12">
        <f t="array" ref="AH47">INDEX(AG:AG,MIN(IF(ISNUMBER(AG47:AG243),ROW(AG47:AG243),"")))</f>
        <v>31.8</v>
      </c>
      <c r="AI47" s="13">
        <f>IF('Données projet'!$A$62&gt;35,AI46+AH47-AQ46,IF(A47&lt;'Données projet'!$A$62,$AF$205^A47,IF(A47='Données projet'!$A$62,'Données projet'!$B$62,AI46+AH47-AQ46)))</f>
        <v>595.99999999999989</v>
      </c>
      <c r="AJ47" s="13">
        <f>AI47*VLOOKUP('Données projet'!$B$10,Paramètres!$A$1:$I$89,3,0)*VLOOKUP('Données projet'!$B$10,Paramètres!$A$1:$I$89,5,0)</f>
        <v>278.92799999999994</v>
      </c>
      <c r="AK47" s="13">
        <f t="shared" si="35"/>
        <v>66.740413913415367</v>
      </c>
      <c r="AL47" s="20">
        <f t="shared" si="4"/>
        <v>602.03915423253159</v>
      </c>
      <c r="AM47" s="59">
        <f t="shared" si="5"/>
        <v>895.37248756586496</v>
      </c>
      <c r="AN47" s="59">
        <f ca="1">AVERAGE(OFFSET($AM$3,0,0,'Données projet'!$E$10+1,1))-AVERAGE(OFFSET($H$3,0,0,'Données projet'!$E$10+1,1))</f>
        <v>294.78071095255143</v>
      </c>
      <c r="AO47" s="59">
        <f t="shared" si="36"/>
        <v>323.52003392365867</v>
      </c>
      <c r="AP47" s="15">
        <f>IF(ISNA(VLOOKUP(A47,'Données projet'!$A$61:$I$81,3,0)),0,VLOOKUP(A47,'Données projet'!$A$61:$I$81,3,0))</f>
        <v>6</v>
      </c>
      <c r="AQ47" s="15">
        <f>IF(ISNA(VLOOKUP(A47,'Données projet'!$A$61:$I$81,4,0)),0,VLOOKUP(A47,'Données projet'!$A$61:$I$81,4,0))</f>
        <v>57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3.1212769078340368</v>
      </c>
      <c r="AV47" s="21">
        <f>EXP(-LN(2)/25)*AV46+(1-EXP(-LN(2)/25))/(LN(2)/25)*Calculateur!AQ47*Calculateur!AS47*VLOOKUP('Données projet'!$B$10,Paramètres!$A$1:$I$89,3,0)*0.475*44/12</f>
        <v>16.511907308558321</v>
      </c>
      <c r="AW47" s="21">
        <f>EXP(-LN(2)/2)*AW46+(1-EXP(-LN(2)/2))/(LN(2)/2)*AQ47*AT47*VLOOKUP('Données projet'!$B$10,Paramètres!$A$1:$I$89,3,0)*0.475*44/12</f>
        <v>2.2759191103094364E-2</v>
      </c>
      <c r="AX47" s="21">
        <f t="shared" si="6"/>
        <v>19.655943407495453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642</v>
      </c>
      <c r="L48" s="12">
        <f>VLOOKUP(A48,'Données projet'!$A$35:$I$55,9,0)</f>
        <v>19.8</v>
      </c>
      <c r="M48" s="12">
        <f t="array" ref="M48">INDEX(L:L,MIN(IF(ISNUMBER(L48:L244),ROW(L48:L244),"")))</f>
        <v>19.8</v>
      </c>
      <c r="N48" s="13">
        <f>IF('Données projet'!$A$36&gt;35,N47+M48-V47,IF(A48&lt;'Données projet'!$A$36,$K$205^A48,IF(A48='Données projet'!$A$36,'Données projet'!$B$36,N47+M48-V47)))</f>
        <v>641.99999999999977</v>
      </c>
      <c r="O48" s="13">
        <f>N48*VLOOKUP('Données projet'!$B$9,Paramètres!$A$1:$I$89,3,0)*VLOOKUP('Données projet'!$B$9,Paramètres!$A$1:$I$89,5,0)</f>
        <v>358.87799999999987</v>
      </c>
      <c r="P48" s="13">
        <f t="shared" si="33"/>
        <v>83.3879100236867</v>
      </c>
      <c r="Q48" s="20">
        <f t="shared" si="53"/>
        <v>770.27979329125412</v>
      </c>
      <c r="R48" s="59">
        <f t="shared" si="0"/>
        <v>1063.6131266245875</v>
      </c>
      <c r="S48" s="59">
        <f ca="1">AVERAGE(OFFSET($R$3,0,0,'Données projet'!$E$9+1,1))-AVERAGE(OFFSET($H$3,0,0,'Données projet'!$E$9+1,1))</f>
        <v>512.21337090113502</v>
      </c>
      <c r="T48" s="59">
        <f t="shared" si="34"/>
        <v>621.03633124474163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70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2.9091172903847182</v>
      </c>
      <c r="AA48" s="21">
        <f>EXP(-LN(2)/25)*AA47+(1-EXP(-LN(2)/25))/(LN(2)/25)*Calculateur!V48*Calculateur!X48*VLOOKUP('Données projet'!$B$9,Paramètres!$A$1:$I$89,3,0)*0.475*44/12</f>
        <v>10.658975943719955</v>
      </c>
      <c r="AB48" s="21">
        <f>EXP(-LN(2)/2)*AB47+(1-EXP(-LN(2)/2))/(LN(2)/2)*V48*Y48*VLOOKUP('Données projet'!$B$9,Paramètres!$A$1:$I$89,3,0)*0.475*44/12</f>
        <v>3.8757442277831476E-2</v>
      </c>
      <c r="AC48" s="22">
        <f t="shared" si="3"/>
        <v>13.606850676382503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26.333333333333332</v>
      </c>
      <c r="AI48" s="13">
        <f>IF('Données projet'!$A$62&gt;35,AI47+AH48-AQ47,IF(A48&lt;'Données projet'!$A$62,$AF$205^A48,IF(A48='Données projet'!$A$62,'Données projet'!$B$62,AI47+AH48-AQ47)))</f>
        <v>565.33333333333326</v>
      </c>
      <c r="AJ48" s="13">
        <f>AI48*VLOOKUP('Données projet'!$B$10,Paramètres!$A$1:$I$89,3,0)*VLOOKUP('Données projet'!$B$10,Paramètres!$A$1:$I$89,5,0)</f>
        <v>264.57599999999996</v>
      </c>
      <c r="AK48" s="13">
        <f t="shared" si="35"/>
        <v>63.696803579002321</v>
      </c>
      <c r="AL48" s="20">
        <f t="shared" si="4"/>
        <v>571.74179956676232</v>
      </c>
      <c r="AM48" s="59">
        <f t="shared" si="5"/>
        <v>865.0751329000957</v>
      </c>
      <c r="AN48" s="59">
        <f ca="1">AVERAGE(OFFSET($AM$3,0,0,'Données projet'!$E$10+1,1))-AVERAGE(OFFSET($H$3,0,0,'Données projet'!$E$10+1,1))</f>
        <v>294.78071095255143</v>
      </c>
      <c r="AO48" s="59">
        <f t="shared" si="36"/>
        <v>323.52003392365867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3.0600705714623415</v>
      </c>
      <c r="AV48" s="21">
        <f>EXP(-LN(2)/25)*AV47+(1-EXP(-LN(2)/25))/(LN(2)/25)*Calculateur!AQ48*Calculateur!AS48*VLOOKUP('Données projet'!$B$10,Paramètres!$A$1:$I$89,3,0)*0.475*44/12</f>
        <v>16.060388334882326</v>
      </c>
      <c r="AW48" s="21">
        <f>EXP(-LN(2)/2)*AW47+(1-EXP(-LN(2)/2))/(LN(2)/2)*AQ48*AT48*VLOOKUP('Données projet'!$B$10,Paramètres!$A$1:$I$89,3,0)*0.475*44/12</f>
        <v>1.6093178363318566E-2</v>
      </c>
      <c r="AX48" s="21">
        <f t="shared" si="6"/>
        <v>19.136552084707986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18.2</v>
      </c>
      <c r="N49" s="13">
        <f>IF('Données projet'!$A$36&gt;35,N48+M49-V48,IF(A49&lt;'Données projet'!$A$36,$K$205^A49,IF(A49='Données projet'!$A$36,'Données projet'!$B$36,N48+M49-V48)))</f>
        <v>590.19999999999982</v>
      </c>
      <c r="O49" s="13">
        <f>N49*VLOOKUP('Données projet'!$B$9,Paramètres!$A$1:$I$89,3,0)*VLOOKUP('Données projet'!$B$9,Paramètres!$A$1:$I$89,5,0)</f>
        <v>329.92179999999991</v>
      </c>
      <c r="P49" s="13">
        <f t="shared" si="33"/>
        <v>77.414094093053606</v>
      </c>
      <c r="Q49" s="20">
        <f t="shared" si="53"/>
        <v>709.44334887873481</v>
      </c>
      <c r="R49" s="59">
        <f t="shared" si="0"/>
        <v>1002.7766822120682</v>
      </c>
      <c r="S49" s="59">
        <f ca="1">AVERAGE(OFFSET($R$3,0,0,'Données projet'!$E$9+1,1))-AVERAGE(OFFSET($H$3,0,0,'Données projet'!$E$9+1,1))</f>
        <v>512.21337090113502</v>
      </c>
      <c r="T49" s="59">
        <f t="shared" si="34"/>
        <v>621.03633124474163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2.8520712747066148</v>
      </c>
      <c r="AA49" s="21">
        <f>EXP(-LN(2)/25)*AA48+(1-EXP(-LN(2)/25))/(LN(2)/25)*Calculateur!V49*Calculateur!X49*VLOOKUP('Données projet'!$B$9,Paramètres!$A$1:$I$89,3,0)*0.475*44/12</f>
        <v>10.36750568600775</v>
      </c>
      <c r="AB49" s="21">
        <f>EXP(-LN(2)/2)*AB48+(1-EXP(-LN(2)/2))/(LN(2)/2)*V49*Y49*VLOOKUP('Données projet'!$B$9,Paramètres!$A$1:$I$89,3,0)*0.475*44/12</f>
        <v>2.7405650256100828E-2</v>
      </c>
      <c r="AC49" s="22">
        <f t="shared" si="3"/>
        <v>13.246982610970466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26.333333333333332</v>
      </c>
      <c r="AI49" s="13">
        <f>IF('Données projet'!$A$62&gt;35,AI48+AH49-AQ48,IF(A49&lt;'Données projet'!$A$62,$AF$205^A49,IF(A49='Données projet'!$A$62,'Données projet'!$B$62,AI48+AH49-AQ48)))</f>
        <v>591.66666666666663</v>
      </c>
      <c r="AJ49" s="13">
        <f>AI49*VLOOKUP('Données projet'!$B$10,Paramètres!$A$1:$I$89,3,0)*VLOOKUP('Données projet'!$B$10,Paramètres!$A$1:$I$89,5,0)</f>
        <v>276.89999999999998</v>
      </c>
      <c r="AK49" s="13">
        <f t="shared" si="35"/>
        <v>66.311465886517013</v>
      </c>
      <c r="AL49" s="20">
        <f t="shared" si="4"/>
        <v>597.75996975235046</v>
      </c>
      <c r="AM49" s="59">
        <f t="shared" si="5"/>
        <v>891.09330308568383</v>
      </c>
      <c r="AN49" s="59">
        <f ca="1">AVERAGE(OFFSET($AM$3,0,0,'Données projet'!$E$10+1,1))-AVERAGE(OFFSET($H$3,0,0,'Données projet'!$E$10+1,1))</f>
        <v>294.78071095255143</v>
      </c>
      <c r="AO49" s="59">
        <f t="shared" si="36"/>
        <v>323.52003392365867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3.0000644540147161</v>
      </c>
      <c r="AV49" s="21">
        <f>EXP(-LN(2)/25)*AV48+(1-EXP(-LN(2)/25))/(LN(2)/25)*Calculateur!AQ49*Calculateur!AS49*VLOOKUP('Données projet'!$B$10,Paramètres!$A$1:$I$89,3,0)*0.475*44/12</f>
        <v>15.621216171285853</v>
      </c>
      <c r="AW49" s="21">
        <f>EXP(-LN(2)/2)*AW48+(1-EXP(-LN(2)/2))/(LN(2)/2)*AQ49*AT49*VLOOKUP('Données projet'!$B$10,Paramètres!$A$1:$I$89,3,0)*0.475*44/12</f>
        <v>1.1379595551547182E-2</v>
      </c>
      <c r="AX49" s="21">
        <f t="shared" si="6"/>
        <v>18.632660220852117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18.2</v>
      </c>
      <c r="N50" s="13">
        <f>IF('Données projet'!$A$36&gt;35,N49+M50-V49,IF(A50&lt;'Données projet'!$A$36,$K$205^A50,IF(A50='Données projet'!$A$36,'Données projet'!$B$36,N49+M50-V49)))</f>
        <v>608.39999999999986</v>
      </c>
      <c r="O50" s="13">
        <f>N50*VLOOKUP('Données projet'!$B$9,Paramètres!$A$1:$I$89,3,0)*VLOOKUP('Données projet'!$B$9,Paramètres!$A$1:$I$89,5,0)</f>
        <v>340.09559999999988</v>
      </c>
      <c r="P50" s="13">
        <f t="shared" si="33"/>
        <v>79.519697663882184</v>
      </c>
      <c r="Q50" s="20">
        <f t="shared" si="53"/>
        <v>730.82997676459456</v>
      </c>
      <c r="R50" s="59">
        <f t="shared" si="0"/>
        <v>1024.1633100979279</v>
      </c>
      <c r="S50" s="59">
        <f ca="1">AVERAGE(OFFSET($R$3,0,0,'Données projet'!$E$9+1,1))-AVERAGE(OFFSET($H$3,0,0,'Données projet'!$E$9+1,1))</f>
        <v>512.21337090113502</v>
      </c>
      <c r="T50" s="59">
        <f t="shared" si="34"/>
        <v>621.03633124474163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2.7961438966013255</v>
      </c>
      <c r="AA50" s="21">
        <f>EXP(-LN(2)/25)*AA49+(1-EXP(-LN(2)/25))/(LN(2)/25)*Calculateur!V50*Calculateur!X50*VLOOKUP('Données projet'!$B$9,Paramètres!$A$1:$I$89,3,0)*0.475*44/12</f>
        <v>10.084005697820439</v>
      </c>
      <c r="AB50" s="21">
        <f>EXP(-LN(2)/2)*AB49+(1-EXP(-LN(2)/2))/(LN(2)/2)*V50*Y50*VLOOKUP('Données projet'!$B$9,Paramètres!$A$1:$I$89,3,0)*0.475*44/12</f>
        <v>1.9378721138915738E-2</v>
      </c>
      <c r="AC50" s="22">
        <f t="shared" si="3"/>
        <v>12.89952831556068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26.333333333333332</v>
      </c>
      <c r="AI50" s="13">
        <f>IF('Données projet'!$A$62&gt;35,AI49+AH50-AQ49,IF(A50&lt;'Données projet'!$A$62,$AF$205^A50,IF(A50='Données projet'!$A$62,'Données projet'!$B$62,AI49+AH50-AQ49)))</f>
        <v>618</v>
      </c>
      <c r="AJ50" s="13">
        <f>AI50*VLOOKUP('Données projet'!$B$10,Paramètres!$A$1:$I$89,3,0)*VLOOKUP('Données projet'!$B$10,Paramètres!$A$1:$I$89,5,0)</f>
        <v>289.22399999999999</v>
      </c>
      <c r="AK50" s="13">
        <f t="shared" si="35"/>
        <v>68.912612937896569</v>
      </c>
      <c r="AL50" s="20">
        <f t="shared" si="4"/>
        <v>623.75460086683643</v>
      </c>
      <c r="AM50" s="59">
        <f t="shared" si="5"/>
        <v>917.08793420016968</v>
      </c>
      <c r="AN50" s="59">
        <f ca="1">AVERAGE(OFFSET($AM$3,0,0,'Données projet'!$E$10+1,1))-AVERAGE(OFFSET($H$3,0,0,'Données projet'!$E$10+1,1))</f>
        <v>294.78071095255143</v>
      </c>
      <c r="AO50" s="59">
        <f t="shared" si="36"/>
        <v>323.52003392365867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2.9412350199301209</v>
      </c>
      <c r="AV50" s="21">
        <f>EXP(-LN(2)/25)*AV49+(1-EXP(-LN(2)/25))/(LN(2)/25)*Calculateur!AQ50*Calculateur!AS50*VLOOKUP('Données projet'!$B$10,Paramètres!$A$1:$I$89,3,0)*0.475*44/12</f>
        <v>15.194053193597986</v>
      </c>
      <c r="AW50" s="21">
        <f>EXP(-LN(2)/2)*AW49+(1-EXP(-LN(2)/2))/(LN(2)/2)*AQ50*AT50*VLOOKUP('Données projet'!$B$10,Paramètres!$A$1:$I$89,3,0)*0.475*44/12</f>
        <v>8.0465891816592829E-3</v>
      </c>
      <c r="AX50" s="21">
        <f t="shared" si="6"/>
        <v>18.143334802709767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18.2</v>
      </c>
      <c r="N51" s="13">
        <f>IF('Données projet'!$A$36&gt;35,N50+M51-V50,IF(A51&lt;'Données projet'!$A$36,$K$205^A51,IF(A51='Données projet'!$A$36,'Données projet'!$B$36,N50+M51-V50)))</f>
        <v>626.59999999999991</v>
      </c>
      <c r="O51" s="13">
        <f>N51*VLOOKUP('Données projet'!$B$9,Paramètres!$A$1:$I$89,3,0)*VLOOKUP('Données projet'!$B$9,Paramètres!$A$1:$I$89,5,0)</f>
        <v>350.26939999999991</v>
      </c>
      <c r="P51" s="13">
        <f t="shared" si="33"/>
        <v>81.617981011612585</v>
      </c>
      <c r="Q51" s="20">
        <f t="shared" si="53"/>
        <v>752.20385526189159</v>
      </c>
      <c r="R51" s="59">
        <f t="shared" si="0"/>
        <v>1045.537188595225</v>
      </c>
      <c r="S51" s="59">
        <f ca="1">AVERAGE(OFFSET($R$3,0,0,'Données projet'!$E$9+1,1))-AVERAGE(OFFSET($H$3,0,0,'Données projet'!$E$9+1,1))</f>
        <v>512.21337090113502</v>
      </c>
      <c r="T51" s="59">
        <f t="shared" si="34"/>
        <v>621.03633124474163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2.7413132202683483</v>
      </c>
      <c r="AA51" s="21">
        <f>EXP(-LN(2)/25)*AA50+(1-EXP(-LN(2)/25))/(LN(2)/25)*Calculateur!V51*Calculateur!X51*VLOOKUP('Données projet'!$B$9,Paramètres!$A$1:$I$89,3,0)*0.475*44/12</f>
        <v>9.8082580317187276</v>
      </c>
      <c r="AB51" s="21">
        <f>EXP(-LN(2)/2)*AB50+(1-EXP(-LN(2)/2))/(LN(2)/2)*V51*Y51*VLOOKUP('Données projet'!$B$9,Paramètres!$A$1:$I$89,3,0)*0.475*44/12</f>
        <v>1.3702825128050414E-2</v>
      </c>
      <c r="AC51" s="22">
        <f t="shared" si="3"/>
        <v>12.563274077115125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26.333333333333332</v>
      </c>
      <c r="AI51" s="13">
        <f>IF('Données projet'!$A$62&gt;35,AI50+AH51-AQ50,IF(A51&lt;'Données projet'!$A$62,$AF$205^A51,IF(A51='Données projet'!$A$62,'Données projet'!$B$62,AI50+AH51-AQ50)))</f>
        <v>644.33333333333337</v>
      </c>
      <c r="AJ51" s="13">
        <f>AI51*VLOOKUP('Données projet'!$B$10,Paramètres!$A$1:$I$89,3,0)*VLOOKUP('Données projet'!$B$10,Paramètres!$A$1:$I$89,5,0)</f>
        <v>301.548</v>
      </c>
      <c r="AK51" s="13">
        <f t="shared" si="35"/>
        <v>71.500886464325177</v>
      </c>
      <c r="AL51" s="20">
        <f t="shared" si="4"/>
        <v>649.72681059203296</v>
      </c>
      <c r="AM51" s="59">
        <f t="shared" si="5"/>
        <v>943.06014392536622</v>
      </c>
      <c r="AN51" s="59">
        <f ca="1">AVERAGE(OFFSET($AM$3,0,0,'Données projet'!$E$10+1,1))-AVERAGE(OFFSET($H$3,0,0,'Données projet'!$E$10+1,1))</f>
        <v>294.78071095255143</v>
      </c>
      <c r="AO51" s="59">
        <f t="shared" si="36"/>
        <v>323.52003392365867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2.8835591951655131</v>
      </c>
      <c r="AV51" s="21">
        <f>EXP(-LN(2)/25)*AV50+(1-EXP(-LN(2)/25))/(LN(2)/25)*Calculateur!AQ51*Calculateur!AS51*VLOOKUP('Données projet'!$B$10,Paramètres!$A$1:$I$89,3,0)*0.475*44/12</f>
        <v>14.778571009998519</v>
      </c>
      <c r="AW51" s="21">
        <f>EXP(-LN(2)/2)*AW50+(1-EXP(-LN(2)/2))/(LN(2)/2)*AQ51*AT51*VLOOKUP('Données projet'!$B$10,Paramètres!$A$1:$I$89,3,0)*0.475*44/12</f>
        <v>5.6897977757735911E-3</v>
      </c>
      <c r="AX51" s="21">
        <f t="shared" si="6"/>
        <v>17.667820002939806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18.2</v>
      </c>
      <c r="N52" s="13">
        <f>IF('Données projet'!$A$36&gt;35,N51+M52-V51,IF(A52&lt;'Données projet'!$A$36,$K$205^A52,IF(A52='Données projet'!$A$36,'Données projet'!$B$36,N51+M52-V51)))</f>
        <v>644.79999999999995</v>
      </c>
      <c r="O52" s="13">
        <f>N52*VLOOKUP('Données projet'!$B$9,Paramètres!$A$1:$I$89,3,0)*VLOOKUP('Données projet'!$B$9,Paramètres!$A$1:$I$89,5,0)</f>
        <v>360.44319999999993</v>
      </c>
      <c r="P52" s="13">
        <f t="shared" si="33"/>
        <v>83.709181172614507</v>
      </c>
      <c r="Q52" s="20">
        <f t="shared" si="53"/>
        <v>773.56539720897001</v>
      </c>
      <c r="R52" s="59">
        <f t="shared" si="0"/>
        <v>1066.8987305423034</v>
      </c>
      <c r="S52" s="59">
        <f ca="1">AVERAGE(OFFSET($R$3,0,0,'Données projet'!$E$9+1,1))-AVERAGE(OFFSET($H$3,0,0,'Données projet'!$E$9+1,1))</f>
        <v>512.21337090113502</v>
      </c>
      <c r="T52" s="59">
        <f t="shared" si="34"/>
        <v>621.03633124474163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2.6875577400548507</v>
      </c>
      <c r="AA52" s="21">
        <f>EXP(-LN(2)/25)*AA51+(1-EXP(-LN(2)/25))/(LN(2)/25)*Calculateur!V52*Calculateur!X52*VLOOKUP('Données projet'!$B$9,Paramètres!$A$1:$I$89,3,0)*0.475*44/12</f>
        <v>9.540050700047507</v>
      </c>
      <c r="AB52" s="21">
        <f>EXP(-LN(2)/2)*AB51+(1-EXP(-LN(2)/2))/(LN(2)/2)*V52*Y52*VLOOKUP('Données projet'!$B$9,Paramètres!$A$1:$I$89,3,0)*0.475*44/12</f>
        <v>9.689360569457869E-3</v>
      </c>
      <c r="AC52" s="22">
        <f t="shared" si="3"/>
        <v>12.237297800671817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26.333333333333332</v>
      </c>
      <c r="AI52" s="13">
        <f>IF('Données projet'!$A$62&gt;35,AI51+AH52-AQ51,IF(A52&lt;'Données projet'!$A$62,$AF$205^A52,IF(A52='Données projet'!$A$62,'Données projet'!$B$62,AI51+AH52-AQ51)))</f>
        <v>670.66666666666674</v>
      </c>
      <c r="AJ52" s="13">
        <f>AI52*VLOOKUP('Données projet'!$B$10,Paramètres!$A$1:$I$89,3,0)*VLOOKUP('Données projet'!$B$10,Paramètres!$A$1:$I$89,5,0)</f>
        <v>313.87200000000007</v>
      </c>
      <c r="AK52" s="13">
        <f t="shared" si="35"/>
        <v>74.076872774720428</v>
      </c>
      <c r="AL52" s="20">
        <f t="shared" si="4"/>
        <v>675.6776200826381</v>
      </c>
      <c r="AM52" s="59">
        <f t="shared" si="5"/>
        <v>969.01095341597147</v>
      </c>
      <c r="AN52" s="59">
        <f ca="1">AVERAGE(OFFSET($AM$3,0,0,'Données projet'!$E$10+1,1))-AVERAGE(OFFSET($H$3,0,0,'Données projet'!$E$10+1,1))</f>
        <v>294.78071095255143</v>
      </c>
      <c r="AO52" s="59">
        <f t="shared" si="36"/>
        <v>323.52003392365867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2.8270143581457594</v>
      </c>
      <c r="AV52" s="21">
        <f>EXP(-LN(2)/25)*AV51+(1-EXP(-LN(2)/25))/(LN(2)/25)*Calculateur!AQ52*Calculateur!AS52*VLOOKUP('Données projet'!$B$10,Paramètres!$A$1:$I$89,3,0)*0.475*44/12</f>
        <v>14.374450208558837</v>
      </c>
      <c r="AW52" s="21">
        <f>EXP(-LN(2)/2)*AW51+(1-EXP(-LN(2)/2))/(LN(2)/2)*AQ52*AT52*VLOOKUP('Données projet'!$B$10,Paramètres!$A$1:$I$89,3,0)*0.475*44/12</f>
        <v>4.0232945908296415E-3</v>
      </c>
      <c r="AX52" s="21">
        <f t="shared" si="6"/>
        <v>17.205487861295428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663</v>
      </c>
      <c r="L53" s="12">
        <f>VLOOKUP(A53,'Données projet'!$A$35:$I$55,9,0)</f>
        <v>18.2</v>
      </c>
      <c r="M53" s="12">
        <f t="array" ref="M53">INDEX(L:L,MIN(IF(ISNUMBER(L53:L249),ROW(L53:L249),"")))</f>
        <v>18.2</v>
      </c>
      <c r="N53" s="13">
        <f>IF('Données projet'!$A$36&gt;35,N52+M53-V52,IF(A53&lt;'Données projet'!$A$36,$K$205^A53,IF(A53='Données projet'!$A$36,'Données projet'!$B$36,N52+M53-V52)))</f>
        <v>663</v>
      </c>
      <c r="O53" s="13">
        <f>N53*VLOOKUP('Données projet'!$B$9,Paramètres!$A$1:$I$89,3,0)*VLOOKUP('Données projet'!$B$9,Paramètres!$A$1:$I$89,5,0)</f>
        <v>370.61699999999996</v>
      </c>
      <c r="P53" s="13">
        <f t="shared" si="33"/>
        <v>85.793521040948463</v>
      </c>
      <c r="Q53" s="20">
        <f t="shared" si="53"/>
        <v>794.91499081298514</v>
      </c>
      <c r="R53" s="59">
        <f t="shared" si="0"/>
        <v>1088.2483241463185</v>
      </c>
      <c r="S53" s="59">
        <f ca="1">AVERAGE(OFFSET($R$3,0,0,'Données projet'!$E$9+1,1))-AVERAGE(OFFSET($H$3,0,0,'Données projet'!$E$9+1,1))</f>
        <v>512.21337090113502</v>
      </c>
      <c r="T53" s="59">
        <f t="shared" si="34"/>
        <v>621.03633124474163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73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2.6348563720207343</v>
      </c>
      <c r="AA53" s="21">
        <f>EXP(-LN(2)/25)*AA52+(1-EXP(-LN(2)/25))/(LN(2)/25)*Calculateur!V53*Calculateur!X53*VLOOKUP('Données projet'!$B$9,Paramètres!$A$1:$I$89,3,0)*0.475*44/12</f>
        <v>9.279177511965246</v>
      </c>
      <c r="AB53" s="21">
        <f>EXP(-LN(2)/2)*AB52+(1-EXP(-LN(2)/2))/(LN(2)/2)*V53*Y53*VLOOKUP('Données projet'!$B$9,Paramètres!$A$1:$I$89,3,0)*0.475*44/12</f>
        <v>6.851412564025207E-3</v>
      </c>
      <c r="AC53" s="22">
        <f t="shared" si="3"/>
        <v>11.920885296550004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697</v>
      </c>
      <c r="AG53" s="12">
        <f>VLOOKUP(A53,'Données projet'!$A$61:$I$81,9,0)</f>
        <v>26.333333333333332</v>
      </c>
      <c r="AH53" s="12">
        <f t="array" ref="AH53">INDEX(AG:AG,MIN(IF(ISNUMBER(AG53:AG249),ROW(AG53:AG249),"")))</f>
        <v>26.333333333333332</v>
      </c>
      <c r="AI53" s="13">
        <f>IF('Données projet'!$A$62&gt;35,AI52+AH53-AQ52,IF(A53&lt;'Données projet'!$A$62,$AF$205^A53,IF(A53='Données projet'!$A$62,'Données projet'!$B$62,AI52+AH53-AQ52)))</f>
        <v>697.00000000000011</v>
      </c>
      <c r="AJ53" s="13">
        <f>AI53*VLOOKUP('Données projet'!$B$10,Paramètres!$A$1:$I$89,3,0)*VLOOKUP('Données projet'!$B$10,Paramètres!$A$1:$I$89,5,0)</f>
        <v>326.19600000000008</v>
      </c>
      <c r="AK53" s="13">
        <f t="shared" si="35"/>
        <v>76.641109529113464</v>
      </c>
      <c r="AL53" s="20">
        <f t="shared" si="4"/>
        <v>701.60796576320615</v>
      </c>
      <c r="AM53" s="59">
        <f t="shared" si="5"/>
        <v>994.94129909653952</v>
      </c>
      <c r="AN53" s="59">
        <f ca="1">AVERAGE(OFFSET($AM$3,0,0,'Données projet'!$E$10+1,1))-AVERAGE(OFFSET($H$3,0,0,'Données projet'!$E$10+1,1))</f>
        <v>294.78071095255143</v>
      </c>
      <c r="AO53" s="59">
        <f t="shared" si="36"/>
        <v>323.52003392365867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67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2.771578330891018</v>
      </c>
      <c r="AV53" s="21">
        <f>EXP(-LN(2)/25)*AV52+(1-EXP(-LN(2)/25))/(LN(2)/25)*Calculateur!AQ53*Calculateur!AS53*VLOOKUP('Données projet'!$B$10,Paramètres!$A$1:$I$89,3,0)*0.475*44/12</f>
        <v>13.981380111686313</v>
      </c>
      <c r="AW53" s="21">
        <f>EXP(-LN(2)/2)*AW52+(1-EXP(-LN(2)/2))/(LN(2)/2)*AQ53*AT53*VLOOKUP('Données projet'!$B$10,Paramètres!$A$1:$I$89,3,0)*0.475*44/12</f>
        <v>2.8448988878867956E-3</v>
      </c>
      <c r="AX53" s="21">
        <f t="shared" si="6"/>
        <v>16.755803341465217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17</v>
      </c>
      <c r="N54" s="13">
        <f>IF('Données projet'!$A$36&gt;35,N53+M54-V53,IF(A54&lt;'Données projet'!$A$36,$K$205^A54,IF(A54='Données projet'!$A$36,'Données projet'!$B$36,N53+M54-V53)))</f>
        <v>607</v>
      </c>
      <c r="O54" s="13">
        <f>N54*VLOOKUP('Données projet'!$B$9,Paramètres!$A$1:$I$89,3,0)*VLOOKUP('Données projet'!$B$9,Paramètres!$A$1:$I$89,5,0)</f>
        <v>339.31299999999999</v>
      </c>
      <c r="P54" s="13">
        <f t="shared" si="33"/>
        <v>79.357991167872044</v>
      </c>
      <c r="Q54" s="20">
        <f t="shared" si="53"/>
        <v>729.18530961737713</v>
      </c>
      <c r="R54" s="59">
        <f t="shared" si="0"/>
        <v>1022.5186429507105</v>
      </c>
      <c r="S54" s="59">
        <f ca="1">AVERAGE(OFFSET($R$3,0,0,'Données projet'!$E$9+1,1))-AVERAGE(OFFSET($H$3,0,0,'Données projet'!$E$9+1,1))</f>
        <v>512.21337090113502</v>
      </c>
      <c r="T54" s="59">
        <f t="shared" si="34"/>
        <v>621.03633124474163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2.5831884456691063</v>
      </c>
      <c r="AA54" s="21">
        <f>EXP(-LN(2)/25)*AA53+(1-EXP(-LN(2)/25))/(LN(2)/25)*Calculateur!V54*Calculateur!X54*VLOOKUP('Données projet'!$B$9,Paramètres!$A$1:$I$89,3,0)*0.475*44/12</f>
        <v>9.0254379149298192</v>
      </c>
      <c r="AB54" s="21">
        <f>EXP(-LN(2)/2)*AB53+(1-EXP(-LN(2)/2))/(LN(2)/2)*V54*Y54*VLOOKUP('Données projet'!$B$9,Paramètres!$A$1:$I$89,3,0)*0.475*44/12</f>
        <v>4.8446802847289345E-3</v>
      </c>
      <c r="AC54" s="22">
        <f t="shared" si="3"/>
        <v>11.613471040883654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22.333333333333332</v>
      </c>
      <c r="AI54" s="13">
        <f>IF('Données projet'!$A$62&gt;35,AI53+AH54-AQ53,IF(A54&lt;'Données projet'!$A$62,$AF$205^A54,IF(A54='Données projet'!$A$62,'Données projet'!$B$62,AI53+AH54-AQ53)))</f>
        <v>652.33333333333348</v>
      </c>
      <c r="AJ54" s="13">
        <f>AI54*VLOOKUP('Données projet'!$B$10,Paramètres!$A$1:$I$89,3,0)*VLOOKUP('Données projet'!$B$10,Paramètres!$A$1:$I$89,5,0)</f>
        <v>305.29200000000003</v>
      </c>
      <c r="AK54" s="13">
        <f t="shared" si="35"/>
        <v>72.284738381385523</v>
      </c>
      <c r="AL54" s="20">
        <f t="shared" si="4"/>
        <v>657.61281934757983</v>
      </c>
      <c r="AM54" s="59">
        <f t="shared" si="5"/>
        <v>950.9461526809132</v>
      </c>
      <c r="AN54" s="59">
        <f ca="1">AVERAGE(OFFSET($AM$3,0,0,'Données projet'!$E$10+1,1))-AVERAGE(OFFSET($H$3,0,0,'Données projet'!$E$10+1,1))</f>
        <v>294.78071095255143</v>
      </c>
      <c r="AO54" s="59">
        <f t="shared" si="36"/>
        <v>323.52003392365867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2.7172293703181043</v>
      </c>
      <c r="AV54" s="21">
        <f>EXP(-LN(2)/25)*AV53+(1-EXP(-LN(2)/25))/(LN(2)/25)*Calculateur!AQ54*Calculateur!AS54*VLOOKUP('Données projet'!$B$10,Paramètres!$A$1:$I$89,3,0)*0.475*44/12</f>
        <v>13.599058537283426</v>
      </c>
      <c r="AW54" s="21">
        <f>EXP(-LN(2)/2)*AW53+(1-EXP(-LN(2)/2))/(LN(2)/2)*AQ54*AT54*VLOOKUP('Données projet'!$B$10,Paramètres!$A$1:$I$89,3,0)*0.475*44/12</f>
        <v>2.0116472954148207E-3</v>
      </c>
      <c r="AX54" s="21">
        <f t="shared" si="6"/>
        <v>16.318299554896946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17</v>
      </c>
      <c r="N55" s="13">
        <f>IF('Données projet'!$A$36&gt;35,N54+M55-V54,IF(A55&lt;'Données projet'!$A$36,$K$205^A55,IF(A55='Données projet'!$A$36,'Données projet'!$B$36,N54+M55-V54)))</f>
        <v>624</v>
      </c>
      <c r="O55" s="13">
        <f>N55*VLOOKUP('Données projet'!$B$9,Paramètres!$A$1:$I$89,3,0)*VLOOKUP('Données projet'!$B$9,Paramètres!$A$1:$I$89,5,0)</f>
        <v>348.81600000000003</v>
      </c>
      <c r="P55" s="13">
        <f t="shared" si="33"/>
        <v>81.318665281585453</v>
      </c>
      <c r="Q55" s="20">
        <f t="shared" si="53"/>
        <v>749.15120869876137</v>
      </c>
      <c r="R55" s="59">
        <f t="shared" si="0"/>
        <v>1042.4845420320946</v>
      </c>
      <c r="S55" s="59">
        <f ca="1">AVERAGE(OFFSET($R$3,0,0,'Données projet'!$E$9+1,1))-AVERAGE(OFFSET($H$3,0,0,'Données projet'!$E$9+1,1))</f>
        <v>512.21337090113502</v>
      </c>
      <c r="T55" s="59">
        <f t="shared" si="34"/>
        <v>621.03633124474163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2.5325336958389104</v>
      </c>
      <c r="AA55" s="21">
        <f>EXP(-LN(2)/25)*AA54+(1-EXP(-LN(2)/25))/(LN(2)/25)*Calculateur!V55*Calculateur!X55*VLOOKUP('Données projet'!$B$9,Paramètres!$A$1:$I$89,3,0)*0.475*44/12</f>
        <v>8.7786368405189119</v>
      </c>
      <c r="AB55" s="21">
        <f>EXP(-LN(2)/2)*AB54+(1-EXP(-LN(2)/2))/(LN(2)/2)*V55*Y55*VLOOKUP('Données projet'!$B$9,Paramètres!$A$1:$I$89,3,0)*0.475*44/12</f>
        <v>3.4257062820126035E-3</v>
      </c>
      <c r="AC55" s="22">
        <f t="shared" si="3"/>
        <v>11.314596242639835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22.333333333333332</v>
      </c>
      <c r="AI55" s="13">
        <f>IF('Données projet'!$A$62&gt;35,AI54+AH55-AQ54,IF(A55&lt;'Données projet'!$A$62,$AF$205^A55,IF(A55='Données projet'!$A$62,'Données projet'!$B$62,AI54+AH55-AQ54)))</f>
        <v>674.66666666666686</v>
      </c>
      <c r="AJ55" s="13">
        <f>AI55*VLOOKUP('Données projet'!$B$10,Paramètres!$A$1:$I$89,3,0)*VLOOKUP('Données projet'!$B$10,Paramètres!$A$1:$I$89,5,0)</f>
        <v>315.74400000000009</v>
      </c>
      <c r="AK55" s="13">
        <f t="shared" si="35"/>
        <v>74.467121212440205</v>
      </c>
      <c r="AL55" s="20">
        <f t="shared" si="4"/>
        <v>679.61770277833341</v>
      </c>
      <c r="AM55" s="59">
        <f t="shared" si="5"/>
        <v>972.95103611166678</v>
      </c>
      <c r="AN55" s="59">
        <f ca="1">AVERAGE(OFFSET($AM$3,0,0,'Données projet'!$E$10+1,1))-AVERAGE(OFFSET($H$3,0,0,'Données projet'!$E$10+1,1))</f>
        <v>294.78071095255143</v>
      </c>
      <c r="AO55" s="59">
        <f t="shared" si="36"/>
        <v>323.52003392365867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2.6639461597124328</v>
      </c>
      <c r="AV55" s="21">
        <f>EXP(-LN(2)/25)*AV54+(1-EXP(-LN(2)/25))/(LN(2)/25)*Calculateur!AQ55*Calculateur!AS55*VLOOKUP('Données projet'!$B$10,Paramètres!$A$1:$I$89,3,0)*0.475*44/12</f>
        <v>13.227191566438004</v>
      </c>
      <c r="AW55" s="21">
        <f>EXP(-LN(2)/2)*AW54+(1-EXP(-LN(2)/2))/(LN(2)/2)*AQ55*AT55*VLOOKUP('Données projet'!$B$10,Paramètres!$A$1:$I$89,3,0)*0.475*44/12</f>
        <v>1.4224494439433978E-3</v>
      </c>
      <c r="AX55" s="21">
        <f t="shared" si="6"/>
        <v>15.89256017559438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17</v>
      </c>
      <c r="N56" s="13">
        <f>IF('Données projet'!$A$36&gt;35,N55+M56-V55,IF(A56&lt;'Données projet'!$A$36,$K$205^A56,IF(A56='Données projet'!$A$36,'Données projet'!$B$36,N55+M56-V55)))</f>
        <v>641</v>
      </c>
      <c r="O56" s="13">
        <f>N56*VLOOKUP('Données projet'!$B$9,Paramètres!$A$1:$I$89,3,0)*VLOOKUP('Données projet'!$B$9,Paramètres!$A$1:$I$89,5,0)</f>
        <v>358.31900000000002</v>
      </c>
      <c r="P56" s="13">
        <f t="shared" si="33"/>
        <v>83.273130832542009</v>
      </c>
      <c r="Q56" s="20">
        <f t="shared" si="53"/>
        <v>769.10629453334388</v>
      </c>
      <c r="R56" s="59">
        <f t="shared" si="0"/>
        <v>1062.4396278666773</v>
      </c>
      <c r="S56" s="59">
        <f ca="1">AVERAGE(OFFSET($R$3,0,0,'Données projet'!$E$9+1,1))-AVERAGE(OFFSET($H$3,0,0,'Données projet'!$E$9+1,1))</f>
        <v>512.21337090113502</v>
      </c>
      <c r="T56" s="59">
        <f t="shared" si="34"/>
        <v>621.03633124474163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2.4828722547565381</v>
      </c>
      <c r="AA56" s="21">
        <f>EXP(-LN(2)/25)*AA55+(1-EXP(-LN(2)/25))/(LN(2)/25)*Calculateur!V56*Calculateur!X56*VLOOKUP('Données projet'!$B$9,Paramètres!$A$1:$I$89,3,0)*0.475*44/12</f>
        <v>8.5385845544664747</v>
      </c>
      <c r="AB56" s="21">
        <f>EXP(-LN(2)/2)*AB55+(1-EXP(-LN(2)/2))/(LN(2)/2)*V56*Y56*VLOOKUP('Données projet'!$B$9,Paramètres!$A$1:$I$89,3,0)*0.475*44/12</f>
        <v>2.4223401423644673E-3</v>
      </c>
      <c r="AC56" s="22">
        <f t="shared" si="3"/>
        <v>11.023879149365378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>
        <f>VLOOKUP(A56,'Données projet'!$A$61:$I$81,2,0)</f>
        <v>697</v>
      </c>
      <c r="AG56" s="12">
        <f>VLOOKUP(A56,'Données projet'!$A$61:$I$81,9,0)</f>
        <v>22.333333333333332</v>
      </c>
      <c r="AH56" s="12">
        <f t="array" ref="AH56">INDEX(AG:AG,MIN(IF(ISNUMBER(AG56:AG252),ROW(AG56:AG252),"")))</f>
        <v>22.333333333333332</v>
      </c>
      <c r="AI56" s="13">
        <f>IF('Données projet'!$A$62&gt;35,AI55+AH56-AQ55,IF(A56&lt;'Données projet'!$A$62,$AF$205^A56,IF(A56='Données projet'!$A$62,'Données projet'!$B$62,AI55+AH56-AQ55)))</f>
        <v>697.00000000000023</v>
      </c>
      <c r="AJ56" s="13">
        <f>AI56*VLOOKUP('Données projet'!$B$10,Paramètres!$A$1:$I$89,3,0)*VLOOKUP('Données projet'!$B$10,Paramètres!$A$1:$I$89,5,0)</f>
        <v>326.19600000000008</v>
      </c>
      <c r="AK56" s="13">
        <f t="shared" si="35"/>
        <v>76.641109529113464</v>
      </c>
      <c r="AL56" s="20">
        <f t="shared" si="4"/>
        <v>701.60796576320615</v>
      </c>
      <c r="AM56" s="59">
        <f t="shared" si="5"/>
        <v>994.94129909653952</v>
      </c>
      <c r="AN56" s="59">
        <f ca="1">AVERAGE(OFFSET($AM$3,0,0,'Données projet'!$E$10+1,1))-AVERAGE(OFFSET($H$3,0,0,'Données projet'!$E$10+1,1))</f>
        <v>294.78071095255143</v>
      </c>
      <c r="AO56" s="59">
        <f t="shared" si="36"/>
        <v>323.52003392365867</v>
      </c>
      <c r="AP56" s="15">
        <f>IF(ISNA(VLOOKUP(A56,'Données projet'!$A$61:$I$81,3,0)),0,VLOOKUP(A56,'Données projet'!$A$61:$I$81,3,0))</f>
        <v>8</v>
      </c>
      <c r="AQ56" s="15">
        <f>IF(ISNA(VLOOKUP(A56,'Données projet'!$A$61:$I$81,4,0)),0,VLOOKUP(A56,'Données projet'!$A$61:$I$81,4,0))</f>
        <v>697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2.611707800367189</v>
      </c>
      <c r="AV56" s="21">
        <f>EXP(-LN(2)/25)*AV55+(1-EXP(-LN(2)/25))/(LN(2)/25)*Calculateur!AQ56*Calculateur!AS56*VLOOKUP('Données projet'!$B$10,Paramètres!$A$1:$I$89,3,0)*0.475*44/12</f>
        <v>12.865493317465983</v>
      </c>
      <c r="AW56" s="21">
        <f>EXP(-LN(2)/2)*AW55+(1-EXP(-LN(2)/2))/(LN(2)/2)*AQ56*AT56*VLOOKUP('Données projet'!$B$10,Paramètres!$A$1:$I$89,3,0)*0.475*44/12</f>
        <v>1.0058236477074104E-3</v>
      </c>
      <c r="AX56" s="21">
        <f t="shared" si="6"/>
        <v>15.478206941480879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17</v>
      </c>
      <c r="N57" s="13">
        <f>IF('Données projet'!$A$36&gt;35,N56+M57-V56,IF(A57&lt;'Données projet'!$A$36,$K$205^A57,IF(A57='Données projet'!$A$36,'Données projet'!$B$36,N56+M57-V56)))</f>
        <v>658</v>
      </c>
      <c r="O57" s="13">
        <f>N57*VLOOKUP('Données projet'!$B$9,Paramètres!$A$1:$I$89,3,0)*VLOOKUP('Données projet'!$B$9,Paramètres!$A$1:$I$89,5,0)</f>
        <v>367.822</v>
      </c>
      <c r="P57" s="13">
        <f t="shared" si="33"/>
        <v>85.221571404689442</v>
      </c>
      <c r="Q57" s="20">
        <f t="shared" si="53"/>
        <v>789.05088686316742</v>
      </c>
      <c r="R57" s="59">
        <f t="shared" si="0"/>
        <v>1082.3842201965008</v>
      </c>
      <c r="S57" s="59">
        <f ca="1">AVERAGE(OFFSET($R$3,0,0,'Données projet'!$E$9+1,1))-AVERAGE(OFFSET($H$3,0,0,'Données projet'!$E$9+1,1))</f>
        <v>512.21337090113502</v>
      </c>
      <c r="T57" s="59">
        <f t="shared" si="34"/>
        <v>621.03633124474163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2.4341846442433028</v>
      </c>
      <c r="AA57" s="21">
        <f>EXP(-LN(2)/25)*AA56+(1-EXP(-LN(2)/25))/(LN(2)/25)*Calculateur!V57*Calculateur!X57*VLOOKUP('Données projet'!$B$9,Paramètres!$A$1:$I$89,3,0)*0.475*44/12</f>
        <v>8.3050965107999417</v>
      </c>
      <c r="AB57" s="21">
        <f>EXP(-LN(2)/2)*AB56+(1-EXP(-LN(2)/2))/(LN(2)/2)*V57*Y57*VLOOKUP('Données projet'!$B$9,Paramètres!$A$1:$I$89,3,0)*0.475*44/12</f>
        <v>1.7128531410063018E-3</v>
      </c>
      <c r="AC57" s="22">
        <f t="shared" si="3"/>
        <v>10.74099400818425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2.2737367544323206E-13</v>
      </c>
      <c r="AJ57" s="13">
        <f>AI57*VLOOKUP('Données projet'!$B$10,Paramètres!$A$1:$I$89,3,0)*VLOOKUP('Données projet'!$B$10,Paramètres!$A$1:$I$89,5,0)</f>
        <v>1.064108801074326E-13</v>
      </c>
      <c r="AK57" s="13">
        <f t="shared" si="35"/>
        <v>1.5870730813698654E-12</v>
      </c>
      <c r="AL57" s="20">
        <f t="shared" si="4"/>
        <v>2.9494845662396269E-12</v>
      </c>
      <c r="AM57" s="59">
        <f t="shared" si="5"/>
        <v>293.33333333333627</v>
      </c>
      <c r="AN57" s="59">
        <f ca="1">AVERAGE(OFFSET($AM$3,0,0,'Données projet'!$E$10+1,1))-AVERAGE(OFFSET($H$3,0,0,'Données projet'!$E$10+1,1))</f>
        <v>294.78071095255143</v>
      </c>
      <c r="AO57" s="59">
        <f t="shared" si="36"/>
        <v>323.52003392365867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2.5604938033864526</v>
      </c>
      <c r="AV57" s="21">
        <f>EXP(-LN(2)/25)*AV56+(1-EXP(-LN(2)/25))/(LN(2)/25)*Calculateur!AQ57*Calculateur!AS57*VLOOKUP('Données projet'!$B$10,Paramètres!$A$1:$I$89,3,0)*0.475*44/12</f>
        <v>12.513685726132987</v>
      </c>
      <c r="AW57" s="21">
        <f>EXP(-LN(2)/2)*AW56+(1-EXP(-LN(2)/2))/(LN(2)/2)*AQ57*AT57*VLOOKUP('Données projet'!$B$10,Paramètres!$A$1:$I$89,3,0)*0.475*44/12</f>
        <v>7.1122472197169889E-4</v>
      </c>
      <c r="AX57" s="21">
        <f t="shared" si="6"/>
        <v>15.074890754241412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675</v>
      </c>
      <c r="L58" s="12">
        <f>VLOOKUP(A58,'Données projet'!$A$35:$I$55,9,0)</f>
        <v>17</v>
      </c>
      <c r="M58" s="12">
        <f t="array" ref="M58">INDEX(L:L,MIN(IF(ISNUMBER(L58:L254),ROW(L58:L254),"")))</f>
        <v>17</v>
      </c>
      <c r="N58" s="13">
        <f>IF('Données projet'!$A$36&gt;35,N57+M58-V57,IF(A58&lt;'Données projet'!$A$36,$K$205^A58,IF(A58='Données projet'!$A$36,'Données projet'!$B$36,N57+M58-V57)))</f>
        <v>675</v>
      </c>
      <c r="O58" s="13">
        <f>N58*VLOOKUP('Données projet'!$B$9,Paramètres!$A$1:$I$89,3,0)*VLOOKUP('Données projet'!$B$9,Paramètres!$A$1:$I$89,5,0)</f>
        <v>377.32499999999999</v>
      </c>
      <c r="P58" s="13">
        <f t="shared" si="33"/>
        <v>87.164160555496878</v>
      </c>
      <c r="Q58" s="20">
        <f t="shared" si="53"/>
        <v>808.98528796749042</v>
      </c>
      <c r="R58" s="59">
        <f t="shared" si="0"/>
        <v>1102.3186213008237</v>
      </c>
      <c r="S58" s="59">
        <f ca="1">AVERAGE(OFFSET($R$3,0,0,'Données projet'!$E$9+1,1))-AVERAGE(OFFSET($H$3,0,0,'Données projet'!$E$9+1,1))</f>
        <v>512.21337090113502</v>
      </c>
      <c r="T58" s="59">
        <f t="shared" si="34"/>
        <v>621.03633124474163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67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2.3864517680757222</v>
      </c>
      <c r="AA58" s="21">
        <f>EXP(-LN(2)/25)*AA57+(1-EXP(-LN(2)/25))/(LN(2)/25)*Calculateur!V58*Calculateur!X58*VLOOKUP('Données projet'!$B$9,Paramètres!$A$1:$I$89,3,0)*0.475*44/12</f>
        <v>8.0779932099660741</v>
      </c>
      <c r="AB58" s="21">
        <f>EXP(-LN(2)/2)*AB57+(1-EXP(-LN(2)/2))/(LN(2)/2)*V58*Y58*VLOOKUP('Données projet'!$B$9,Paramètres!$A$1:$I$89,3,0)*0.475*44/12</f>
        <v>1.2111700711822336E-3</v>
      </c>
      <c r="AC58" s="22">
        <f t="shared" si="3"/>
        <v>10.465656148112979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2.2737367544323206E-13</v>
      </c>
      <c r="AJ58" s="13">
        <f>AI58*VLOOKUP('Données projet'!$B$10,Paramètres!$A$1:$I$89,3,0)*VLOOKUP('Données projet'!$B$10,Paramètres!$A$1:$I$89,5,0)</f>
        <v>1.064108801074326E-13</v>
      </c>
      <c r="AK58" s="13">
        <f t="shared" si="35"/>
        <v>1.5870730813698654E-12</v>
      </c>
      <c r="AL58" s="20">
        <f t="shared" si="4"/>
        <v>2.9494845662396269E-12</v>
      </c>
      <c r="AM58" s="59">
        <f t="shared" si="5"/>
        <v>293.33333333333627</v>
      </c>
      <c r="AN58" s="59">
        <f ca="1">AVERAGE(OFFSET($AM$3,0,0,'Données projet'!$E$10+1,1))-AVERAGE(OFFSET($H$3,0,0,'Données projet'!$E$10+1,1))</f>
        <v>294.78071095255143</v>
      </c>
      <c r="AO58" s="59">
        <f t="shared" si="36"/>
        <v>323.52003392365867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2.5102840816490546</v>
      </c>
      <c r="AV58" s="21">
        <f>EXP(-LN(2)/25)*AV57+(1-EXP(-LN(2)/25))/(LN(2)/25)*Calculateur!AQ58*Calculateur!AS58*VLOOKUP('Données projet'!$B$10,Paramètres!$A$1:$I$89,3,0)*0.475*44/12</f>
        <v>12.171498331885749</v>
      </c>
      <c r="AW58" s="21">
        <f>EXP(-LN(2)/2)*AW57+(1-EXP(-LN(2)/2))/(LN(2)/2)*AQ58*AT58*VLOOKUP('Données projet'!$B$10,Paramètres!$A$1:$I$89,3,0)*0.475*44/12</f>
        <v>5.0291182385370518E-4</v>
      </c>
      <c r="AX58" s="21">
        <f t="shared" si="6"/>
        <v>14.682285325358656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15.8</v>
      </c>
      <c r="N59" s="13">
        <f>IF('Données projet'!$A$36&gt;35,N58+M59-V58,IF(A59&lt;'Données projet'!$A$36,$K$205^A59,IF(A59='Données projet'!$A$36,'Données projet'!$B$36,N58+M59-V58)))</f>
        <v>623.79999999999995</v>
      </c>
      <c r="O59" s="13">
        <f>N59*VLOOKUP('Données projet'!$B$9,Paramètres!$A$1:$I$89,3,0)*VLOOKUP('Données projet'!$B$9,Paramètres!$A$1:$I$89,5,0)</f>
        <v>348.70420000000001</v>
      </c>
      <c r="P59" s="13">
        <f t="shared" si="33"/>
        <v>81.295634988912099</v>
      </c>
      <c r="Q59" s="20">
        <f t="shared" si="53"/>
        <v>748.91637927235524</v>
      </c>
      <c r="R59" s="59">
        <f t="shared" si="0"/>
        <v>1042.2497126056885</v>
      </c>
      <c r="S59" s="59">
        <f ca="1">AVERAGE(OFFSET($R$3,0,0,'Données projet'!$E$9+1,1))-AVERAGE(OFFSET($H$3,0,0,'Données projet'!$E$9+1,1))</f>
        <v>512.21337090113502</v>
      </c>
      <c r="T59" s="59">
        <f t="shared" si="34"/>
        <v>621.03633124474163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2.3396549044956081</v>
      </c>
      <c r="AA59" s="21">
        <f>EXP(-LN(2)/25)*AA58+(1-EXP(-LN(2)/25))/(LN(2)/25)*Calculateur!V59*Calculateur!X59*VLOOKUP('Données projet'!$B$9,Paramètres!$A$1:$I$89,3,0)*0.475*44/12</f>
        <v>7.857100060836351</v>
      </c>
      <c r="AB59" s="21">
        <f>EXP(-LN(2)/2)*AB58+(1-EXP(-LN(2)/2))/(LN(2)/2)*V59*Y59*VLOOKUP('Données projet'!$B$9,Paramètres!$A$1:$I$89,3,0)*0.475*44/12</f>
        <v>8.5642657050315088E-4</v>
      </c>
      <c r="AC59" s="22">
        <f t="shared" si="3"/>
        <v>10.197611391902463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2.2737367544323206E-13</v>
      </c>
      <c r="AJ59" s="13">
        <f>AI59*VLOOKUP('Données projet'!$B$10,Paramètres!$A$1:$I$89,3,0)*VLOOKUP('Données projet'!$B$10,Paramètres!$A$1:$I$89,5,0)</f>
        <v>1.064108801074326E-13</v>
      </c>
      <c r="AK59" s="13">
        <f t="shared" si="35"/>
        <v>1.5870730813698654E-12</v>
      </c>
      <c r="AL59" s="20">
        <f t="shared" si="4"/>
        <v>2.9494845662396269E-12</v>
      </c>
      <c r="AM59" s="59">
        <f t="shared" si="5"/>
        <v>293.33333333333627</v>
      </c>
      <c r="AN59" s="59">
        <f ca="1">AVERAGE(OFFSET($AM$3,0,0,'Données projet'!$E$10+1,1))-AVERAGE(OFFSET($H$3,0,0,'Données projet'!$E$10+1,1))</f>
        <v>294.78071095255143</v>
      </c>
      <c r="AO59" s="59">
        <f t="shared" si="36"/>
        <v>323.52003392365867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2.4610589419300206</v>
      </c>
      <c r="AV59" s="21">
        <f>EXP(-LN(2)/25)*AV58+(1-EXP(-LN(2)/25))/(LN(2)/25)*Calculateur!AQ59*Calculateur!AS59*VLOOKUP('Données projet'!$B$10,Paramètres!$A$1:$I$89,3,0)*0.475*44/12</f>
        <v>11.838668069929055</v>
      </c>
      <c r="AW59" s="21">
        <f>EXP(-LN(2)/2)*AW58+(1-EXP(-LN(2)/2))/(LN(2)/2)*AQ59*AT59*VLOOKUP('Données projet'!$B$10,Paramètres!$A$1:$I$89,3,0)*0.475*44/12</f>
        <v>3.5561236098584944E-4</v>
      </c>
      <c r="AX59" s="21">
        <f t="shared" si="6"/>
        <v>14.300082624220062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15.8</v>
      </c>
      <c r="N60" s="13">
        <f>IF('Données projet'!$A$36&gt;35,N59+M60-V59,IF(A60&lt;'Données projet'!$A$36,$K$205^A60,IF(A60='Données projet'!$A$36,'Données projet'!$B$36,N59+M60-V59)))</f>
        <v>639.59999999999991</v>
      </c>
      <c r="O60" s="13">
        <f>N60*VLOOKUP('Données projet'!$B$9,Paramètres!$A$1:$I$89,3,0)*VLOOKUP('Données projet'!$B$9,Paramètres!$A$1:$I$89,5,0)</f>
        <v>357.53639999999996</v>
      </c>
      <c r="P60" s="13">
        <f t="shared" si="33"/>
        <v>83.112404937533981</v>
      </c>
      <c r="Q60" s="20">
        <f t="shared" si="53"/>
        <v>767.46333526620492</v>
      </c>
      <c r="R60" s="59">
        <f t="shared" si="0"/>
        <v>1060.7966685995382</v>
      </c>
      <c r="S60" s="59">
        <f ca="1">AVERAGE(OFFSET($R$3,0,0,'Données projet'!$E$9+1,1))-AVERAGE(OFFSET($H$3,0,0,'Données projet'!$E$9+1,1))</f>
        <v>512.21337090113502</v>
      </c>
      <c r="T60" s="59">
        <f t="shared" si="34"/>
        <v>621.03633124474163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2.2937756988670315</v>
      </c>
      <c r="AA60" s="21">
        <f>EXP(-LN(2)/25)*AA59+(1-EXP(-LN(2)/25))/(LN(2)/25)*Calculateur!V60*Calculateur!X60*VLOOKUP('Données projet'!$B$9,Paramètres!$A$1:$I$89,3,0)*0.475*44/12</f>
        <v>7.6422472464858462</v>
      </c>
      <c r="AB60" s="21">
        <f>EXP(-LN(2)/2)*AB59+(1-EXP(-LN(2)/2))/(LN(2)/2)*V60*Y60*VLOOKUP('Données projet'!$B$9,Paramètres!$A$1:$I$89,3,0)*0.475*44/12</f>
        <v>6.0558503559111682E-4</v>
      </c>
      <c r="AC60" s="22">
        <f t="shared" si="3"/>
        <v>9.9366285303884698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2.2737367544323206E-13</v>
      </c>
      <c r="AJ60" s="13">
        <f>AI60*VLOOKUP('Données projet'!$B$10,Paramètres!$A$1:$I$89,3,0)*VLOOKUP('Données projet'!$B$10,Paramètres!$A$1:$I$89,5,0)</f>
        <v>1.064108801074326E-13</v>
      </c>
      <c r="AK60" s="13">
        <f t="shared" si="35"/>
        <v>1.5870730813698654E-12</v>
      </c>
      <c r="AL60" s="20">
        <f t="shared" si="4"/>
        <v>2.9494845662396269E-12</v>
      </c>
      <c r="AM60" s="59">
        <f t="shared" si="5"/>
        <v>293.33333333333627</v>
      </c>
      <c r="AN60" s="59">
        <f ca="1">AVERAGE(OFFSET($AM$3,0,0,'Données projet'!$E$10+1,1))-AVERAGE(OFFSET($H$3,0,0,'Données projet'!$E$10+1,1))</f>
        <v>294.78071095255143</v>
      </c>
      <c r="AO60" s="59">
        <f t="shared" si="36"/>
        <v>323.52003392365867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2.4127990771765062</v>
      </c>
      <c r="AV60" s="21">
        <f>EXP(-LN(2)/25)*AV59+(1-EXP(-LN(2)/25))/(LN(2)/25)*Calculateur!AQ60*Calculateur!AS60*VLOOKUP('Données projet'!$B$10,Paramètres!$A$1:$I$89,3,0)*0.475*44/12</f>
        <v>11.514939068988349</v>
      </c>
      <c r="AW60" s="21">
        <f>EXP(-LN(2)/2)*AW59+(1-EXP(-LN(2)/2))/(LN(2)/2)*AQ60*AT60*VLOOKUP('Données projet'!$B$10,Paramètres!$A$1:$I$89,3,0)*0.475*44/12</f>
        <v>2.5145591192685259E-4</v>
      </c>
      <c r="AX60" s="21">
        <f t="shared" si="6"/>
        <v>13.927989602076783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15.8</v>
      </c>
      <c r="N61" s="13">
        <f>IF('Données projet'!$A$36&gt;35,N60+M61-V60,IF(A61&lt;'Données projet'!$A$36,$K$205^A61,IF(A61='Données projet'!$A$36,'Données projet'!$B$36,N60+M61-V60)))</f>
        <v>655.39999999999986</v>
      </c>
      <c r="O61" s="13">
        <f>N61*VLOOKUP('Données projet'!$B$9,Paramètres!$A$1:$I$89,3,0)*VLOOKUP('Données projet'!$B$9,Paramètres!$A$1:$I$89,5,0)</f>
        <v>366.36859999999996</v>
      </c>
      <c r="P61" s="13">
        <f t="shared" si="33"/>
        <v>84.923957848244868</v>
      </c>
      <c r="Q61" s="20">
        <f t="shared" si="53"/>
        <v>786.00120491902635</v>
      </c>
      <c r="R61" s="59">
        <f t="shared" si="0"/>
        <v>1079.3345382523596</v>
      </c>
      <c r="S61" s="59">
        <f ca="1">AVERAGE(OFFSET($R$3,0,0,'Données projet'!$E$9+1,1))-AVERAGE(OFFSET($H$3,0,0,'Données projet'!$E$9+1,1))</f>
        <v>512.21337090113502</v>
      </c>
      <c r="T61" s="59">
        <f t="shared" si="34"/>
        <v>621.03633124474163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2.2487961564772792</v>
      </c>
      <c r="AA61" s="21">
        <f>EXP(-LN(2)/25)*AA60+(1-EXP(-LN(2)/25))/(LN(2)/25)*Calculateur!V61*Calculateur!X61*VLOOKUP('Données projet'!$B$9,Paramètres!$A$1:$I$89,3,0)*0.475*44/12</f>
        <v>7.4332695936423745</v>
      </c>
      <c r="AB61" s="21">
        <f>EXP(-LN(2)/2)*AB60+(1-EXP(-LN(2)/2))/(LN(2)/2)*V61*Y61*VLOOKUP('Données projet'!$B$9,Paramètres!$A$1:$I$89,3,0)*0.475*44/12</f>
        <v>4.2821328525157544E-4</v>
      </c>
      <c r="AC61" s="22">
        <f t="shared" si="3"/>
        <v>9.6824939634049052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2.2737367544323206E-13</v>
      </c>
      <c r="AJ61" s="13">
        <f>AI61*VLOOKUP('Données projet'!$B$10,Paramètres!$A$1:$I$89,3,0)*VLOOKUP('Données projet'!$B$10,Paramètres!$A$1:$I$89,5,0)</f>
        <v>1.064108801074326E-13</v>
      </c>
      <c r="AK61" s="13">
        <f t="shared" si="35"/>
        <v>1.5870730813698654E-12</v>
      </c>
      <c r="AL61" s="20">
        <f t="shared" si="4"/>
        <v>2.9494845662396269E-12</v>
      </c>
      <c r="AM61" s="59">
        <f t="shared" si="5"/>
        <v>293.33333333333627</v>
      </c>
      <c r="AN61" s="59">
        <f ca="1">AVERAGE(OFFSET($AM$3,0,0,'Données projet'!$E$10+1,1))-AVERAGE(OFFSET($H$3,0,0,'Données projet'!$E$10+1,1))</f>
        <v>294.78071095255143</v>
      </c>
      <c r="AO61" s="59">
        <f t="shared" si="36"/>
        <v>323.52003392365867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2.3654855589351973</v>
      </c>
      <c r="AV61" s="21">
        <f>EXP(-LN(2)/25)*AV60+(1-EXP(-LN(2)/25))/(LN(2)/25)*Calculateur!AQ61*Calculateur!AS61*VLOOKUP('Données projet'!$B$10,Paramètres!$A$1:$I$89,3,0)*0.475*44/12</f>
        <v>11.200062454602534</v>
      </c>
      <c r="AW61" s="21">
        <f>EXP(-LN(2)/2)*AW60+(1-EXP(-LN(2)/2))/(LN(2)/2)*AQ61*AT61*VLOOKUP('Données projet'!$B$10,Paramètres!$A$1:$I$89,3,0)*0.475*44/12</f>
        <v>1.7780618049292472E-4</v>
      </c>
      <c r="AX61" s="21">
        <f t="shared" si="6"/>
        <v>13.565725819718226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15.8</v>
      </c>
      <c r="N62" s="13">
        <f>IF('Données projet'!$A$36&gt;35,N61+M62-V61,IF(A62&lt;'Données projet'!$A$36,$K$205^A62,IF(A62='Données projet'!$A$36,'Données projet'!$B$36,N61+M62-V61)))</f>
        <v>671.19999999999982</v>
      </c>
      <c r="O62" s="13">
        <f>N62*VLOOKUP('Données projet'!$B$9,Paramètres!$A$1:$I$89,3,0)*VLOOKUP('Données projet'!$B$9,Paramètres!$A$1:$I$89,5,0)</f>
        <v>375.2007999999999</v>
      </c>
      <c r="P62" s="13">
        <f t="shared" si="33"/>
        <v>86.730433960542896</v>
      </c>
      <c r="Q62" s="20">
        <f t="shared" si="53"/>
        <v>804.53023248127863</v>
      </c>
      <c r="R62" s="59">
        <f t="shared" si="0"/>
        <v>1097.863565814612</v>
      </c>
      <c r="S62" s="59">
        <f ca="1">AVERAGE(OFFSET($R$3,0,0,'Données projet'!$E$9+1,1))-AVERAGE(OFFSET($H$3,0,0,'Données projet'!$E$9+1,1))</f>
        <v>512.21337090113502</v>
      </c>
      <c r="T62" s="59">
        <f t="shared" si="34"/>
        <v>621.03633124474163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2.2046986354789779</v>
      </c>
      <c r="AA62" s="21">
        <f>EXP(-LN(2)/25)*AA61+(1-EXP(-LN(2)/25))/(LN(2)/25)*Calculateur!V62*Calculateur!X62*VLOOKUP('Données projet'!$B$9,Paramètres!$A$1:$I$89,3,0)*0.475*44/12</f>
        <v>7.2300064457055644</v>
      </c>
      <c r="AB62" s="21">
        <f>EXP(-LN(2)/2)*AB61+(1-EXP(-LN(2)/2))/(LN(2)/2)*V62*Y62*VLOOKUP('Données projet'!$B$9,Paramètres!$A$1:$I$89,3,0)*0.475*44/12</f>
        <v>3.0279251779555841E-4</v>
      </c>
      <c r="AC62" s="22">
        <f t="shared" si="3"/>
        <v>9.4350078737023377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2.2737367544323206E-13</v>
      </c>
      <c r="AJ62" s="13">
        <f>AI62*VLOOKUP('Données projet'!$B$10,Paramètres!$A$1:$I$89,3,0)*VLOOKUP('Données projet'!$B$10,Paramètres!$A$1:$I$89,5,0)</f>
        <v>1.064108801074326E-13</v>
      </c>
      <c r="AK62" s="13">
        <f t="shared" si="35"/>
        <v>1.5870730813698654E-12</v>
      </c>
      <c r="AL62" s="20">
        <f t="shared" si="4"/>
        <v>2.9494845662396269E-12</v>
      </c>
      <c r="AM62" s="59">
        <f t="shared" si="5"/>
        <v>293.33333333333627</v>
      </c>
      <c r="AN62" s="59">
        <f ca="1">AVERAGE(OFFSET($AM$3,0,0,'Données projet'!$E$10+1,1))-AVERAGE(OFFSET($H$3,0,0,'Données projet'!$E$10+1,1))</f>
        <v>294.78071095255143</v>
      </c>
      <c r="AO62" s="59">
        <f t="shared" si="36"/>
        <v>323.52003392365867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2.319099829928204</v>
      </c>
      <c r="AV62" s="21">
        <f>EXP(-LN(2)/25)*AV61+(1-EXP(-LN(2)/25))/(LN(2)/25)*Calculateur!AQ62*Calculateur!AS62*VLOOKUP('Données projet'!$B$10,Paramètres!$A$1:$I$89,3,0)*0.475*44/12</f>
        <v>10.893796157795741</v>
      </c>
      <c r="AW62" s="21">
        <f>EXP(-LN(2)/2)*AW61+(1-EXP(-LN(2)/2))/(LN(2)/2)*AQ62*AT62*VLOOKUP('Données projet'!$B$10,Paramètres!$A$1:$I$89,3,0)*0.475*44/12</f>
        <v>1.257279559634263E-4</v>
      </c>
      <c r="AX62" s="21">
        <f t="shared" si="6"/>
        <v>13.213021715679908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687</v>
      </c>
      <c r="L63" s="12">
        <f>VLOOKUP(A63,'Données projet'!$A$35:$I$55,9,0)</f>
        <v>15.8</v>
      </c>
      <c r="M63" s="12">
        <f t="array" ref="M63">INDEX(L:L,MIN(IF(ISNUMBER(L63:L259),ROW(L63:L259),"")))</f>
        <v>15.8</v>
      </c>
      <c r="N63" s="13">
        <f>IF('Données projet'!$A$36&gt;35,N62+M63-V62,IF(A63&lt;'Données projet'!$A$36,$K$205^A63,IF(A63='Données projet'!$A$36,'Données projet'!$B$36,N62+M63-V62)))</f>
        <v>686.99999999999977</v>
      </c>
      <c r="O63" s="13">
        <f>N63*VLOOKUP('Données projet'!$B$9,Paramètres!$A$1:$I$89,3,0)*VLOOKUP('Données projet'!$B$9,Paramètres!$A$1:$I$89,5,0)</f>
        <v>384.0329999999999</v>
      </c>
      <c r="P63" s="13">
        <f t="shared" si="33"/>
        <v>88.531966534830488</v>
      </c>
      <c r="Q63" s="20">
        <f t="shared" si="53"/>
        <v>823.05065004816288</v>
      </c>
      <c r="R63" s="59">
        <f t="shared" si="0"/>
        <v>1116.3839833814961</v>
      </c>
      <c r="S63" s="59">
        <f ca="1">AVERAGE(OFFSET($R$3,0,0,'Données projet'!$E$9+1,1))-AVERAGE(OFFSET($H$3,0,0,'Données projet'!$E$9+1,1))</f>
        <v>512.21337090113502</v>
      </c>
      <c r="T63" s="59">
        <f t="shared" si="34"/>
        <v>621.03633124474163</v>
      </c>
      <c r="U63" s="15">
        <f>IF(ISNA(VLOOKUP(A63,'Données projet'!$A$35:$I$55,3,0)),0,VLOOKUP(A63,'Données projet'!$A$35:$I$55,3,0))</f>
        <v>10</v>
      </c>
      <c r="V63" s="15">
        <f>IF(ISNA(VLOOKUP(A63,'Données projet'!$A$35:$I$55,4,0)),0,VLOOKUP(A63,'Données projet'!$A$35:$I$55,4,0))</f>
        <v>61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2.1614658399706212</v>
      </c>
      <c r="AA63" s="21">
        <f>EXP(-LN(2)/25)*AA62+(1-EXP(-LN(2)/25))/(LN(2)/25)*Calculateur!V63*Calculateur!X63*VLOOKUP('Données projet'!$B$9,Paramètres!$A$1:$I$89,3,0)*0.475*44/12</f>
        <v>7.0323015392382313</v>
      </c>
      <c r="AB63" s="21">
        <f>EXP(-LN(2)/2)*AB62+(1-EXP(-LN(2)/2))/(LN(2)/2)*V63*Y63*VLOOKUP('Données projet'!$B$9,Paramètres!$A$1:$I$89,3,0)*0.475*44/12</f>
        <v>2.1410664262578772E-4</v>
      </c>
      <c r="AC63" s="22">
        <f t="shared" si="3"/>
        <v>9.1939814858514772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2.2737367544323206E-13</v>
      </c>
      <c r="AJ63" s="13">
        <f>AI63*VLOOKUP('Données projet'!$B$10,Paramètres!$A$1:$I$89,3,0)*VLOOKUP('Données projet'!$B$10,Paramètres!$A$1:$I$89,5,0)</f>
        <v>1.064108801074326E-13</v>
      </c>
      <c r="AK63" s="13">
        <f t="shared" si="35"/>
        <v>1.5870730813698654E-12</v>
      </c>
      <c r="AL63" s="20">
        <f t="shared" si="4"/>
        <v>2.9494845662396269E-12</v>
      </c>
      <c r="AM63" s="59">
        <f t="shared" si="5"/>
        <v>293.33333333333627</v>
      </c>
      <c r="AN63" s="59">
        <f ca="1">AVERAGE(OFFSET($AM$3,0,0,'Données projet'!$E$10+1,1))-AVERAGE(OFFSET($H$3,0,0,'Données projet'!$E$10+1,1))</f>
        <v>294.78071095255143</v>
      </c>
      <c r="AO63" s="59">
        <f t="shared" si="36"/>
        <v>323.52003392365867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2.2736236967745369</v>
      </c>
      <c r="AV63" s="21">
        <f>EXP(-LN(2)/25)*AV62+(1-EXP(-LN(2)/25))/(LN(2)/25)*Calculateur!AQ63*Calculateur!AS63*VLOOKUP('Données projet'!$B$10,Paramètres!$A$1:$I$89,3,0)*0.475*44/12</f>
        <v>10.595904728980974</v>
      </c>
      <c r="AW63" s="21">
        <f>EXP(-LN(2)/2)*AW62+(1-EXP(-LN(2)/2))/(LN(2)/2)*AQ63*AT63*VLOOKUP('Données projet'!$B$10,Paramètres!$A$1:$I$89,3,0)*0.475*44/12</f>
        <v>8.8903090246462361E-5</v>
      </c>
      <c r="AX63" s="21">
        <f t="shared" si="6"/>
        <v>12.869617328845758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14.8</v>
      </c>
      <c r="N64" s="13">
        <f>IF('Données projet'!$A$36&gt;35,N63+M64-V63,IF(A64&lt;'Données projet'!$A$36,$K$205^A64,IF(A64='Données projet'!$A$36,'Données projet'!$B$36,N63+M64-V63)))</f>
        <v>640.79999999999973</v>
      </c>
      <c r="O64" s="13">
        <f>N64*VLOOKUP('Données projet'!$B$9,Paramètres!$A$1:$I$89,3,0)*VLOOKUP('Données projet'!$B$9,Paramètres!$A$1:$I$89,5,0)</f>
        <v>358.20719999999983</v>
      </c>
      <c r="P64" s="13">
        <f t="shared" si="33"/>
        <v>83.25017249409899</v>
      </c>
      <c r="Q64" s="20">
        <f t="shared" si="53"/>
        <v>768.87159042722215</v>
      </c>
      <c r="R64" s="59">
        <f t="shared" si="0"/>
        <v>1062.2049237605554</v>
      </c>
      <c r="S64" s="59">
        <f ca="1">AVERAGE(OFFSET($R$3,0,0,'Données projet'!$E$9+1,1))-AVERAGE(OFFSET($H$3,0,0,'Données projet'!$E$9+1,1))</f>
        <v>512.21337090113502</v>
      </c>
      <c r="T64" s="59">
        <f t="shared" si="34"/>
        <v>621.03633124474163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2.1190808132127823</v>
      </c>
      <c r="AA64" s="21">
        <f>EXP(-LN(2)/25)*AA63+(1-EXP(-LN(2)/25))/(LN(2)/25)*Calculateur!V64*Calculateur!X64*VLOOKUP('Données projet'!$B$9,Paramètres!$A$1:$I$89,3,0)*0.475*44/12</f>
        <v>6.8400028838350968</v>
      </c>
      <c r="AB64" s="21">
        <f>EXP(-LN(2)/2)*AB63+(1-EXP(-LN(2)/2))/(LN(2)/2)*V64*Y64*VLOOKUP('Données projet'!$B$9,Paramètres!$A$1:$I$89,3,0)*0.475*44/12</f>
        <v>1.513962588977792E-4</v>
      </c>
      <c r="AC64" s="22">
        <f t="shared" si="3"/>
        <v>8.959235093306777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2.2737367544323206E-13</v>
      </c>
      <c r="AJ64" s="13">
        <f>AI64*VLOOKUP('Données projet'!$B$10,Paramètres!$A$1:$I$89,3,0)*VLOOKUP('Données projet'!$B$10,Paramètres!$A$1:$I$89,5,0)</f>
        <v>1.064108801074326E-13</v>
      </c>
      <c r="AK64" s="13">
        <f t="shared" si="35"/>
        <v>1.5870730813698654E-12</v>
      </c>
      <c r="AL64" s="20">
        <f t="shared" si="4"/>
        <v>2.9494845662396269E-12</v>
      </c>
      <c r="AM64" s="59">
        <f t="shared" si="5"/>
        <v>293.33333333333627</v>
      </c>
      <c r="AN64" s="59">
        <f ca="1">AVERAGE(OFFSET($AM$3,0,0,'Données projet'!$E$10+1,1))-AVERAGE(OFFSET($H$3,0,0,'Données projet'!$E$10+1,1))</f>
        <v>294.78071095255143</v>
      </c>
      <c r="AO64" s="59">
        <f t="shared" si="36"/>
        <v>323.52003392365867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2.2290393228543106</v>
      </c>
      <c r="AV64" s="21">
        <f>EXP(-LN(2)/25)*AV63+(1-EXP(-LN(2)/25))/(LN(2)/25)*Calculateur!AQ64*Calculateur!AS64*VLOOKUP('Données projet'!$B$10,Paramètres!$A$1:$I$89,3,0)*0.475*44/12</f>
        <v>10.306159156952576</v>
      </c>
      <c r="AW64" s="21">
        <f>EXP(-LN(2)/2)*AW63+(1-EXP(-LN(2)/2))/(LN(2)/2)*AQ64*AT64*VLOOKUP('Données projet'!$B$10,Paramètres!$A$1:$I$89,3,0)*0.475*44/12</f>
        <v>6.2863977981713148E-5</v>
      </c>
      <c r="AX64" s="21">
        <f t="shared" si="6"/>
        <v>12.535261343784869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14.8</v>
      </c>
      <c r="N65" s="13">
        <f>IF('Données projet'!$A$36&gt;35,N64+M65-V64,IF(A65&lt;'Données projet'!$A$36,$K$205^A65,IF(A65='Données projet'!$A$36,'Données projet'!$B$36,N64+M65-V64)))</f>
        <v>655.59999999999968</v>
      </c>
      <c r="O65" s="13">
        <f>N65*VLOOKUP('Données projet'!$B$9,Paramètres!$A$1:$I$89,3,0)*VLOOKUP('Données projet'!$B$9,Paramètres!$A$1:$I$89,5,0)</f>
        <v>366.4803999999998</v>
      </c>
      <c r="P65" s="13">
        <f t="shared" si="33"/>
        <v>84.946856071194404</v>
      </c>
      <c r="Q65" s="20">
        <f t="shared" si="53"/>
        <v>786.23580432399649</v>
      </c>
      <c r="R65" s="59">
        <f t="shared" si="0"/>
        <v>1079.5691376573297</v>
      </c>
      <c r="S65" s="59">
        <f ca="1">AVERAGE(OFFSET($R$3,0,0,'Données projet'!$E$9+1,1))-AVERAGE(OFFSET($H$3,0,0,'Données projet'!$E$9+1,1))</f>
        <v>512.21337090113502</v>
      </c>
      <c r="T65" s="59">
        <f t="shared" si="34"/>
        <v>621.03633124474163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2.077526930977351</v>
      </c>
      <c r="AA65" s="21">
        <f>EXP(-LN(2)/25)*AA64+(1-EXP(-LN(2)/25))/(LN(2)/25)*Calculateur!V65*Calculateur!X65*VLOOKUP('Données projet'!$B$9,Paramètres!$A$1:$I$89,3,0)*0.475*44/12</f>
        <v>6.6529626452765074</v>
      </c>
      <c r="AB65" s="21">
        <f>EXP(-LN(2)/2)*AB64+(1-EXP(-LN(2)/2))/(LN(2)/2)*V65*Y65*VLOOKUP('Données projet'!$B$9,Paramètres!$A$1:$I$89,3,0)*0.475*44/12</f>
        <v>1.0705332131289386E-4</v>
      </c>
      <c r="AC65" s="22">
        <f t="shared" si="3"/>
        <v>8.7305966295751727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2.2737367544323206E-13</v>
      </c>
      <c r="AJ65" s="13">
        <f>AI65*VLOOKUP('Données projet'!$B$10,Paramètres!$A$1:$I$89,3,0)*VLOOKUP('Données projet'!$B$10,Paramètres!$A$1:$I$89,5,0)</f>
        <v>1.064108801074326E-13</v>
      </c>
      <c r="AK65" s="13">
        <f t="shared" si="35"/>
        <v>1.5870730813698654E-12</v>
      </c>
      <c r="AL65" s="20">
        <f t="shared" si="4"/>
        <v>2.9494845662396269E-12</v>
      </c>
      <c r="AM65" s="59">
        <f t="shared" si="5"/>
        <v>293.33333333333627</v>
      </c>
      <c r="AN65" s="59">
        <f ca="1">AVERAGE(OFFSET($AM$3,0,0,'Données projet'!$E$10+1,1))-AVERAGE(OFFSET($H$3,0,0,'Données projet'!$E$10+1,1))</f>
        <v>294.78071095255143</v>
      </c>
      <c r="AO65" s="59">
        <f t="shared" si="36"/>
        <v>323.52003392365867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2.1853292213128772</v>
      </c>
      <c r="AV65" s="21">
        <f>EXP(-LN(2)/25)*AV64+(1-EXP(-LN(2)/25))/(LN(2)/25)*Calculateur!AQ65*Calculateur!AS65*VLOOKUP('Données projet'!$B$10,Paramètres!$A$1:$I$89,3,0)*0.475*44/12</f>
        <v>10.024336692828353</v>
      </c>
      <c r="AW65" s="21">
        <f>EXP(-LN(2)/2)*AW64+(1-EXP(-LN(2)/2))/(LN(2)/2)*AQ65*AT65*VLOOKUP('Données projet'!$B$10,Paramètres!$A$1:$I$89,3,0)*0.475*44/12</f>
        <v>4.4451545123231181E-5</v>
      </c>
      <c r="AX65" s="21">
        <f t="shared" si="6"/>
        <v>12.209710365686353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14.8</v>
      </c>
      <c r="N66" s="13">
        <f>IF('Données projet'!$A$36&gt;35,N65+M66-V65,IF(A66&lt;'Données projet'!$A$36,$K$205^A66,IF(A66='Données projet'!$A$36,'Données projet'!$B$36,N65+M66-V65)))</f>
        <v>670.39999999999964</v>
      </c>
      <c r="O66" s="13">
        <f>N66*VLOOKUP('Données projet'!$B$9,Paramètres!$A$1:$I$89,3,0)*VLOOKUP('Données projet'!$B$9,Paramètres!$A$1:$I$89,5,0)</f>
        <v>374.75359999999978</v>
      </c>
      <c r="P66" s="13">
        <f t="shared" si="33"/>
        <v>86.6390867259218</v>
      </c>
      <c r="Q66" s="20">
        <f t="shared" si="53"/>
        <v>803.59226271431351</v>
      </c>
      <c r="R66" s="59">
        <f t="shared" si="0"/>
        <v>1096.9255960476469</v>
      </c>
      <c r="S66" s="59">
        <f ca="1">AVERAGE(OFFSET($R$3,0,0,'Données projet'!$E$9+1,1))-AVERAGE(OFFSET($H$3,0,0,'Données projet'!$E$9+1,1))</f>
        <v>512.21337090113502</v>
      </c>
      <c r="T66" s="59">
        <f t="shared" si="34"/>
        <v>621.03633124474163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2.0367878950271909</v>
      </c>
      <c r="AA66" s="21">
        <f>EXP(-LN(2)/25)*AA65+(1-EXP(-LN(2)/25))/(LN(2)/25)*Calculateur!V66*Calculateur!X66*VLOOKUP('Données projet'!$B$9,Paramètres!$A$1:$I$89,3,0)*0.475*44/12</f>
        <v>6.4710370318773212</v>
      </c>
      <c r="AB66" s="21">
        <f>EXP(-LN(2)/2)*AB65+(1-EXP(-LN(2)/2))/(LN(2)/2)*V66*Y66*VLOOKUP('Données projet'!$B$9,Paramètres!$A$1:$I$89,3,0)*0.475*44/12</f>
        <v>7.5698129448889602E-5</v>
      </c>
      <c r="AC66" s="22">
        <f t="shared" si="3"/>
        <v>8.5079006250339599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2.2737367544323206E-13</v>
      </c>
      <c r="AJ66" s="13">
        <f>AI66*VLOOKUP('Données projet'!$B$10,Paramètres!$A$1:$I$89,3,0)*VLOOKUP('Données projet'!$B$10,Paramètres!$A$1:$I$89,5,0)</f>
        <v>1.064108801074326E-13</v>
      </c>
      <c r="AK66" s="13">
        <f t="shared" si="35"/>
        <v>1.5870730813698654E-12</v>
      </c>
      <c r="AL66" s="20">
        <f t="shared" si="4"/>
        <v>2.9494845662396269E-12</v>
      </c>
      <c r="AM66" s="59">
        <f t="shared" si="5"/>
        <v>293.33333333333627</v>
      </c>
      <c r="AN66" s="59">
        <f ca="1">AVERAGE(OFFSET($AM$3,0,0,'Données projet'!$E$10+1,1))-AVERAGE(OFFSET($H$3,0,0,'Données projet'!$E$10+1,1))</f>
        <v>294.78071095255143</v>
      </c>
      <c r="AO66" s="59">
        <f t="shared" si="36"/>
        <v>323.52003392365867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2.1424762482021418</v>
      </c>
      <c r="AV66" s="21">
        <f>EXP(-LN(2)/25)*AV65+(1-EXP(-LN(2)/25))/(LN(2)/25)*Calculateur!AQ66*Calculateur!AS66*VLOOKUP('Données projet'!$B$10,Paramètres!$A$1:$I$89,3,0)*0.475*44/12</f>
        <v>9.7502206788060057</v>
      </c>
      <c r="AW66" s="21">
        <f>EXP(-LN(2)/2)*AW65+(1-EXP(-LN(2)/2))/(LN(2)/2)*AQ66*AT66*VLOOKUP('Données projet'!$B$10,Paramètres!$A$1:$I$89,3,0)*0.475*44/12</f>
        <v>3.1431988990856574E-5</v>
      </c>
      <c r="AX66" s="21">
        <f t="shared" si="6"/>
        <v>11.892728358997138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14.8</v>
      </c>
      <c r="N67" s="13">
        <f>IF('Données projet'!$A$36&gt;35,N66+M67-V66,IF(A67&lt;'Données projet'!$A$36,$K$205^A67,IF(A67='Données projet'!$A$36,'Données projet'!$B$36,N66+M67-V66)))</f>
        <v>685.19999999999959</v>
      </c>
      <c r="O67" s="13">
        <f>N67*VLOOKUP('Données projet'!$B$9,Paramètres!$A$1:$I$89,3,0)*VLOOKUP('Données projet'!$B$9,Paramètres!$A$1:$I$89,5,0)</f>
        <v>383.02679999999975</v>
      </c>
      <c r="P67" s="13">
        <f t="shared" si="33"/>
        <v>88.326974082383998</v>
      </c>
      <c r="Q67" s="20">
        <f t="shared" ref="Q67:Q98" si="54">(O67+P67)*0.475*44/12</f>
        <v>820.9411565268183</v>
      </c>
      <c r="R67" s="59">
        <f t="shared" ref="R67:R130" si="55">Q67+(I67+J67)*44/12</f>
        <v>1114.2744898601516</v>
      </c>
      <c r="S67" s="59">
        <f ca="1">AVERAGE(OFFSET($R$3,0,0,'Données projet'!$E$9+1,1))-AVERAGE(OFFSET($H$3,0,0,'Données projet'!$E$9+1,1))</f>
        <v>512.21337090113502</v>
      </c>
      <c r="T67" s="59">
        <f t="shared" si="34"/>
        <v>621.03633124474163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1.9968477267236551</v>
      </c>
      <c r="AA67" s="21">
        <f>EXP(-LN(2)/25)*AA66+(1-EXP(-LN(2)/25))/(LN(2)/25)*Calculateur!V67*Calculateur!X67*VLOOKUP('Données projet'!$B$9,Paramètres!$A$1:$I$89,3,0)*0.475*44/12</f>
        <v>6.2940861839435884</v>
      </c>
      <c r="AB67" s="21">
        <f>EXP(-LN(2)/2)*AB66+(1-EXP(-LN(2)/2))/(LN(2)/2)*V67*Y67*VLOOKUP('Données projet'!$B$9,Paramètres!$A$1:$I$89,3,0)*0.475*44/12</f>
        <v>5.352666065644693E-5</v>
      </c>
      <c r="AC67" s="22">
        <f t="shared" si="3"/>
        <v>8.2909874373278996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2.2737367544323206E-13</v>
      </c>
      <c r="AJ67" s="13">
        <f>AI67*VLOOKUP('Données projet'!$B$10,Paramètres!$A$1:$I$89,3,0)*VLOOKUP('Données projet'!$B$10,Paramètres!$A$1:$I$89,5,0)</f>
        <v>1.064108801074326E-13</v>
      </c>
      <c r="AK67" s="13">
        <f t="shared" si="35"/>
        <v>1.5870730813698654E-12</v>
      </c>
      <c r="AL67" s="20">
        <f t="shared" si="4"/>
        <v>2.9494845662396269E-12</v>
      </c>
      <c r="AM67" s="59">
        <f t="shared" si="5"/>
        <v>293.33333333333627</v>
      </c>
      <c r="AN67" s="59">
        <f ca="1">AVERAGE(OFFSET($AM$3,0,0,'Données projet'!$E$10+1,1))-AVERAGE(OFFSET($H$3,0,0,'Données projet'!$E$10+1,1))</f>
        <v>294.78071095255143</v>
      </c>
      <c r="AO67" s="59">
        <f t="shared" si="36"/>
        <v>323.52003392365867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2.1004635957563753</v>
      </c>
      <c r="AV67" s="21">
        <f>EXP(-LN(2)/25)*AV66+(1-EXP(-LN(2)/25))/(LN(2)/25)*Calculateur!AQ67*Calculateur!AS67*VLOOKUP('Données projet'!$B$10,Paramètres!$A$1:$I$89,3,0)*0.475*44/12</f>
        <v>9.4836003816022352</v>
      </c>
      <c r="AW67" s="21">
        <f>EXP(-LN(2)/2)*AW66+(1-EXP(-LN(2)/2))/(LN(2)/2)*AQ67*AT67*VLOOKUP('Données projet'!$B$10,Paramètres!$A$1:$I$89,3,0)*0.475*44/12</f>
        <v>2.222577256161559E-5</v>
      </c>
      <c r="AX67" s="21">
        <f t="shared" si="6"/>
        <v>11.584086203131172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700</v>
      </c>
      <c r="L68" s="12">
        <f>VLOOKUP(A68,'Données projet'!$A$35:$I$55,9,0)</f>
        <v>14.8</v>
      </c>
      <c r="M68" s="12">
        <f t="array" ref="M68">INDEX(L:L,MIN(IF(ISNUMBER(L68:L264),ROW(L68:L264),"")))</f>
        <v>14.8</v>
      </c>
      <c r="N68" s="13">
        <f>IF('Données projet'!$A$36&gt;35,N67+M68-V67,IF(A68&lt;'Données projet'!$A$36,$K$205^A68,IF(A68='Données projet'!$A$36,'Données projet'!$B$36,N67+M68-V67)))</f>
        <v>699.99999999999955</v>
      </c>
      <c r="O68" s="13">
        <f>N68*VLOOKUP('Données projet'!$B$9,Paramètres!$A$1:$I$89,3,0)*VLOOKUP('Données projet'!$B$9,Paramètres!$A$1:$I$89,5,0)</f>
        <v>391.29999999999973</v>
      </c>
      <c r="P68" s="13">
        <f t="shared" si="33"/>
        <v>90.010622758534623</v>
      </c>
      <c r="Q68" s="20">
        <f t="shared" si="54"/>
        <v>838.28266797111394</v>
      </c>
      <c r="R68" s="59">
        <f t="shared" si="55"/>
        <v>1131.6160013044473</v>
      </c>
      <c r="S68" s="59">
        <f ca="1">AVERAGE(OFFSET($R$3,0,0,'Données projet'!$E$9+1,1))-AVERAGE(OFFSET($H$3,0,0,'Données projet'!$E$9+1,1))</f>
        <v>512.21337090113502</v>
      </c>
      <c r="T68" s="59">
        <f t="shared" si="34"/>
        <v>621.03633124474163</v>
      </c>
      <c r="U68" s="15">
        <f>IF(ISNA(VLOOKUP(A68,'Données projet'!$A$35:$I$55,3,0)),0,VLOOKUP(A68,'Données projet'!$A$35:$I$55,3,0))</f>
        <v>11</v>
      </c>
      <c r="V68" s="15">
        <f>IF(ISNA(VLOOKUP(A68,'Données projet'!$A$35:$I$55,4,0)),0,VLOOKUP(A68,'Données projet'!$A$35:$I$55,4,0))</f>
        <v>700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1.9576907607594543</v>
      </c>
      <c r="AA68" s="21">
        <f>EXP(-LN(2)/25)*AA67+(1-EXP(-LN(2)/25))/(LN(2)/25)*Calculateur!V68*Calculateur!X68*VLOOKUP('Données projet'!$B$9,Paramètres!$A$1:$I$89,3,0)*0.475*44/12</f>
        <v>6.1219740662520437</v>
      </c>
      <c r="AB68" s="21">
        <f>EXP(-LN(2)/2)*AB67+(1-EXP(-LN(2)/2))/(LN(2)/2)*V68*Y68*VLOOKUP('Données projet'!$B$9,Paramètres!$A$1:$I$89,3,0)*0.475*44/12</f>
        <v>3.7849064724444801E-5</v>
      </c>
      <c r="AC68" s="22">
        <f t="shared" ref="AC68:AC131" si="57">SUM(Z68:AB68)</f>
        <v>8.0797026760762236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2.2737367544323206E-13</v>
      </c>
      <c r="AJ68" s="13">
        <f>AI68*VLOOKUP('Données projet'!$B$10,Paramètres!$A$1:$I$89,3,0)*VLOOKUP('Données projet'!$B$10,Paramètres!$A$1:$I$89,5,0)</f>
        <v>1.064108801074326E-13</v>
      </c>
      <c r="AK68" s="13">
        <f t="shared" si="35"/>
        <v>1.5870730813698654E-12</v>
      </c>
      <c r="AL68" s="20">
        <f t="shared" ref="AL68:AL131" si="58">(AJ68+AK68)*0.475*44/12</f>
        <v>2.9494845662396269E-12</v>
      </c>
      <c r="AM68" s="59">
        <f t="shared" ref="AM68:AM131" si="59">AL68+(AD68+AE68)*44/12</f>
        <v>293.33333333333627</v>
      </c>
      <c r="AN68" s="59">
        <f ca="1">AVERAGE(OFFSET($AM$3,0,0,'Données projet'!$E$10+1,1))-AVERAGE(OFFSET($H$3,0,0,'Données projet'!$E$10+1,1))</f>
        <v>294.78071095255143</v>
      </c>
      <c r="AO68" s="59">
        <f t="shared" si="36"/>
        <v>323.52003392365867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2.0592747857998823</v>
      </c>
      <c r="AV68" s="21">
        <f>EXP(-LN(2)/25)*AV67+(1-EXP(-LN(2)/25))/(LN(2)/25)*Calculateur!AQ68*Calculateur!AS68*VLOOKUP('Données projet'!$B$10,Paramètres!$A$1:$I$89,3,0)*0.475*44/12</f>
        <v>9.2242708304464536</v>
      </c>
      <c r="AW68" s="21">
        <f>EXP(-LN(2)/2)*AW67+(1-EXP(-LN(2)/2))/(LN(2)/2)*AQ68*AT68*VLOOKUP('Données projet'!$B$10,Paramètres!$A$1:$I$89,3,0)*0.475*44/12</f>
        <v>1.5715994495428287E-5</v>
      </c>
      <c r="AX68" s="21">
        <f t="shared" ref="AX68:AX131" si="60">SUM(AU68:AW68)</f>
        <v>11.283561332240831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-4.5474735088646412E-13</v>
      </c>
      <c r="O69" s="13">
        <f>N69*VLOOKUP('Données projet'!$B$9,Paramètres!$A$1:$I$89,3,0)*VLOOKUP('Données projet'!$B$9,Paramètres!$A$1:$I$89,5,0)</f>
        <v>-2.5420376914553347E-13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512.21337090113502</v>
      </c>
      <c r="T69" s="59">
        <f t="shared" ref="T69:T132" si="88">$T$3</f>
        <v>621.03633124474163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1.9193016390144204</v>
      </c>
      <c r="AA69" s="21">
        <f>EXP(-LN(2)/25)*AA68+(1-EXP(-LN(2)/25))/(LN(2)/25)*Calculateur!V69*Calculateur!X69*VLOOKUP('Données projet'!$B$9,Paramètres!$A$1:$I$89,3,0)*0.475*44/12</f>
        <v>5.9545683634697575</v>
      </c>
      <c r="AB69" s="21">
        <f>EXP(-LN(2)/2)*AB68+(1-EXP(-LN(2)/2))/(LN(2)/2)*V69*Y69*VLOOKUP('Données projet'!$B$9,Paramètres!$A$1:$I$89,3,0)*0.475*44/12</f>
        <v>2.6763330328223465E-5</v>
      </c>
      <c r="AC69" s="22">
        <f t="shared" si="57"/>
        <v>7.8738967658145063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2.2737367544323206E-13</v>
      </c>
      <c r="AJ69" s="13">
        <f>AI69*VLOOKUP('Données projet'!$B$10,Paramètres!$A$1:$I$89,3,0)*VLOOKUP('Données projet'!$B$10,Paramètres!$A$1:$I$89,5,0)</f>
        <v>1.064108801074326E-13</v>
      </c>
      <c r="AK69" s="13">
        <f t="shared" ref="AK69:AK132" si="89">EXP(-1.0587+0.8836*LN(AJ69)+0.284)</f>
        <v>1.5870730813698654E-12</v>
      </c>
      <c r="AL69" s="20">
        <f t="shared" si="58"/>
        <v>2.9494845662396269E-12</v>
      </c>
      <c r="AM69" s="59">
        <f t="shared" si="59"/>
        <v>293.33333333333627</v>
      </c>
      <c r="AN69" s="59">
        <f ca="1">AVERAGE(OFFSET($AM$3,0,0,'Données projet'!$E$10+1,1))-AVERAGE(OFFSET($H$3,0,0,'Données projet'!$E$10+1,1))</f>
        <v>294.78071095255143</v>
      </c>
      <c r="AO69" s="59">
        <f t="shared" ref="AO69:AO132" si="90">$AO$3</f>
        <v>323.52003392365867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2.0188936632839432</v>
      </c>
      <c r="AV69" s="21">
        <f>EXP(-LN(2)/25)*AV68+(1-EXP(-LN(2)/25))/(LN(2)/25)*Calculateur!AQ69*Calculateur!AS69*VLOOKUP('Données projet'!$B$10,Paramètres!$A$1:$I$89,3,0)*0.475*44/12</f>
        <v>8.9720326595045741</v>
      </c>
      <c r="AW69" s="21">
        <f>EXP(-LN(2)/2)*AW68+(1-EXP(-LN(2)/2))/(LN(2)/2)*AQ69*AT69*VLOOKUP('Données projet'!$B$10,Paramètres!$A$1:$I$89,3,0)*0.475*44/12</f>
        <v>1.1112886280807795E-5</v>
      </c>
      <c r="AX69" s="21">
        <f t="shared" si="60"/>
        <v>10.990937435674798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-4.5474735088646412E-13</v>
      </c>
      <c r="O70" s="13">
        <f>N70*VLOOKUP('Données projet'!$B$9,Paramètres!$A$1:$I$89,3,0)*VLOOKUP('Données projet'!$B$9,Paramètres!$A$1:$I$89,5,0)</f>
        <v>-2.5420376914553347E-13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512.21337090113502</v>
      </c>
      <c r="T70" s="59">
        <f t="shared" si="88"/>
        <v>621.03633124474163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1.8816653045317544</v>
      </c>
      <c r="AA70" s="21">
        <f>EXP(-LN(2)/25)*AA69+(1-EXP(-LN(2)/25))/(LN(2)/25)*Calculateur!V70*Calculateur!X70*VLOOKUP('Données projet'!$B$9,Paramètres!$A$1:$I$89,3,0)*0.475*44/12</f>
        <v>5.791740378433536</v>
      </c>
      <c r="AB70" s="21">
        <f>EXP(-LN(2)/2)*AB69+(1-EXP(-LN(2)/2))/(LN(2)/2)*V70*Y70*VLOOKUP('Données projet'!$B$9,Paramètres!$A$1:$I$89,3,0)*0.475*44/12</f>
        <v>1.89245323622224E-5</v>
      </c>
      <c r="AC70" s="22">
        <f t="shared" si="57"/>
        <v>7.6734246074976529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2.2737367544323206E-13</v>
      </c>
      <c r="AJ70" s="13">
        <f>AI70*VLOOKUP('Données projet'!$B$10,Paramètres!$A$1:$I$89,3,0)*VLOOKUP('Données projet'!$B$10,Paramètres!$A$1:$I$89,5,0)</f>
        <v>1.064108801074326E-13</v>
      </c>
      <c r="AK70" s="13">
        <f t="shared" si="89"/>
        <v>1.5870730813698654E-12</v>
      </c>
      <c r="AL70" s="20">
        <f t="shared" si="58"/>
        <v>2.9494845662396269E-12</v>
      </c>
      <c r="AM70" s="59">
        <f t="shared" si="59"/>
        <v>293.33333333333627</v>
      </c>
      <c r="AN70" s="59">
        <f ca="1">AVERAGE(OFFSET($AM$3,0,0,'Données projet'!$E$10+1,1))-AVERAGE(OFFSET($H$3,0,0,'Données projet'!$E$10+1,1))</f>
        <v>294.78071095255143</v>
      </c>
      <c r="AO70" s="59">
        <f t="shared" si="90"/>
        <v>323.52003392365867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1.9793043899504885</v>
      </c>
      <c r="AV70" s="21">
        <f>EXP(-LN(2)/25)*AV69+(1-EXP(-LN(2)/25))/(LN(2)/25)*Calculateur!AQ70*Calculateur!AS70*VLOOKUP('Données projet'!$B$10,Paramètres!$A$1:$I$89,3,0)*0.475*44/12</f>
        <v>8.726691954611729</v>
      </c>
      <c r="AW70" s="21">
        <f>EXP(-LN(2)/2)*AW69+(1-EXP(-LN(2)/2))/(LN(2)/2)*AQ70*AT70*VLOOKUP('Données projet'!$B$10,Paramètres!$A$1:$I$89,3,0)*0.475*44/12</f>
        <v>7.8579972477141435E-6</v>
      </c>
      <c r="AX70" s="21">
        <f t="shared" si="60"/>
        <v>10.706004202559466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-4.5474735088646412E-13</v>
      </c>
      <c r="O71" s="13">
        <f>N71*VLOOKUP('Données projet'!$B$9,Paramètres!$A$1:$I$89,3,0)*VLOOKUP('Données projet'!$B$9,Paramètres!$A$1:$I$89,5,0)</f>
        <v>-2.5420376914553347E-13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512.21337090113502</v>
      </c>
      <c r="T71" s="59">
        <f t="shared" si="88"/>
        <v>621.03633124474163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1.8447669956123962</v>
      </c>
      <c r="AA71" s="21">
        <f>EXP(-LN(2)/25)*AA70+(1-EXP(-LN(2)/25))/(LN(2)/25)*Calculateur!V71*Calculateur!X71*VLOOKUP('Données projet'!$B$9,Paramètres!$A$1:$I$89,3,0)*0.475*44/12</f>
        <v>5.6333649332108813</v>
      </c>
      <c r="AB71" s="21">
        <f>EXP(-LN(2)/2)*AB70+(1-EXP(-LN(2)/2))/(LN(2)/2)*V71*Y71*VLOOKUP('Données projet'!$B$9,Paramètres!$A$1:$I$89,3,0)*0.475*44/12</f>
        <v>1.3381665164111733E-5</v>
      </c>
      <c r="AC71" s="22">
        <f t="shared" si="57"/>
        <v>7.4781453104884417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2.2737367544323206E-13</v>
      </c>
      <c r="AJ71" s="13">
        <f>AI71*VLOOKUP('Données projet'!$B$10,Paramètres!$A$1:$I$89,3,0)*VLOOKUP('Données projet'!$B$10,Paramètres!$A$1:$I$89,5,0)</f>
        <v>1.064108801074326E-13</v>
      </c>
      <c r="AK71" s="13">
        <f t="shared" si="89"/>
        <v>1.5870730813698654E-12</v>
      </c>
      <c r="AL71" s="20">
        <f t="shared" si="58"/>
        <v>2.9494845662396269E-12</v>
      </c>
      <c r="AM71" s="59">
        <f t="shared" si="59"/>
        <v>293.33333333333627</v>
      </c>
      <c r="AN71" s="59">
        <f ca="1">AVERAGE(OFFSET($AM$3,0,0,'Données projet'!$E$10+1,1))-AVERAGE(OFFSET($H$3,0,0,'Données projet'!$E$10+1,1))</f>
        <v>294.78071095255143</v>
      </c>
      <c r="AO71" s="59">
        <f t="shared" si="90"/>
        <v>323.52003392365867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1.9404914381200307</v>
      </c>
      <c r="AV71" s="21">
        <f>EXP(-LN(2)/25)*AV70+(1-EXP(-LN(2)/25))/(LN(2)/25)*Calculateur!AQ71*Calculateur!AS71*VLOOKUP('Données projet'!$B$10,Paramètres!$A$1:$I$89,3,0)*0.475*44/12</f>
        <v>8.4880601041960873</v>
      </c>
      <c r="AW71" s="21">
        <f>EXP(-LN(2)/2)*AW70+(1-EXP(-LN(2)/2))/(LN(2)/2)*AQ71*AT71*VLOOKUP('Données projet'!$B$10,Paramètres!$A$1:$I$89,3,0)*0.475*44/12</f>
        <v>5.5564431404038976E-6</v>
      </c>
      <c r="AX71" s="21">
        <f t="shared" si="60"/>
        <v>10.428557098759258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-4.5474735088646412E-13</v>
      </c>
      <c r="O72" s="13">
        <f>N72*VLOOKUP('Données projet'!$B$9,Paramètres!$A$1:$I$89,3,0)*VLOOKUP('Données projet'!$B$9,Paramètres!$A$1:$I$89,5,0)</f>
        <v>-2.5420376914553347E-13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512.21337090113502</v>
      </c>
      <c r="T72" s="59">
        <f t="shared" si="88"/>
        <v>621.03633124474163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1.8085922400252006</v>
      </c>
      <c r="AA72" s="21">
        <f>EXP(-LN(2)/25)*AA71+(1-EXP(-LN(2)/25))/(LN(2)/25)*Calculateur!V72*Calculateur!X72*VLOOKUP('Données projet'!$B$9,Paramètres!$A$1:$I$89,3,0)*0.475*44/12</f>
        <v>5.4793202728664427</v>
      </c>
      <c r="AB72" s="21">
        <f>EXP(-LN(2)/2)*AB71+(1-EXP(-LN(2)/2))/(LN(2)/2)*V72*Y72*VLOOKUP('Données projet'!$B$9,Paramètres!$A$1:$I$89,3,0)*0.475*44/12</f>
        <v>9.4622661811112002E-6</v>
      </c>
      <c r="AC72" s="22">
        <f t="shared" si="57"/>
        <v>7.2879219751578246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2.2737367544323206E-13</v>
      </c>
      <c r="AJ72" s="13">
        <f>AI72*VLOOKUP('Données projet'!$B$10,Paramètres!$A$1:$I$89,3,0)*VLOOKUP('Données projet'!$B$10,Paramètres!$A$1:$I$89,5,0)</f>
        <v>1.064108801074326E-13</v>
      </c>
      <c r="AK72" s="13">
        <f t="shared" si="89"/>
        <v>1.5870730813698654E-12</v>
      </c>
      <c r="AL72" s="20">
        <f t="shared" si="58"/>
        <v>2.9494845662396269E-12</v>
      </c>
      <c r="AM72" s="59">
        <f t="shared" si="59"/>
        <v>293.33333333333627</v>
      </c>
      <c r="AN72" s="59">
        <f ca="1">AVERAGE(OFFSET($AM$3,0,0,'Données projet'!$E$10+1,1))-AVERAGE(OFFSET($H$3,0,0,'Données projet'!$E$10+1,1))</f>
        <v>294.78071095255143</v>
      </c>
      <c r="AO72" s="59">
        <f t="shared" si="90"/>
        <v>323.52003392365867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1.9024395846014051</v>
      </c>
      <c r="AV72" s="21">
        <f>EXP(-LN(2)/25)*AV71+(1-EXP(-LN(2)/25))/(LN(2)/25)*Calculateur!AQ72*Calculateur!AS72*VLOOKUP('Données projet'!$B$10,Paramètres!$A$1:$I$89,3,0)*0.475*44/12</f>
        <v>8.2559536542791641</v>
      </c>
      <c r="AW72" s="21">
        <f>EXP(-LN(2)/2)*AW71+(1-EXP(-LN(2)/2))/(LN(2)/2)*AQ72*AT72*VLOOKUP('Données projet'!$B$10,Paramètres!$A$1:$I$89,3,0)*0.475*44/12</f>
        <v>3.9289986238570717E-6</v>
      </c>
      <c r="AX72" s="21">
        <f t="shared" si="60"/>
        <v>10.158397167879192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-4.5474735088646412E-13</v>
      </c>
      <c r="O73" s="13">
        <f>N73*VLOOKUP('Données projet'!$B$9,Paramètres!$A$1:$I$89,3,0)*VLOOKUP('Données projet'!$B$9,Paramètres!$A$1:$I$89,5,0)</f>
        <v>-2.5420376914553347E-13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512.21337090113502</v>
      </c>
      <c r="T73" s="59">
        <f t="shared" si="88"/>
        <v>621.03633124474163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1.7731268493306476</v>
      </c>
      <c r="AA73" s="21">
        <f>EXP(-LN(2)/25)*AA72+(1-EXP(-LN(2)/25))/(LN(2)/25)*Calculateur!V73*Calculateur!X73*VLOOKUP('Données projet'!$B$9,Paramètres!$A$1:$I$89,3,0)*0.475*44/12</f>
        <v>5.3294879718599795</v>
      </c>
      <c r="AB73" s="21">
        <f>EXP(-LN(2)/2)*AB72+(1-EXP(-LN(2)/2))/(LN(2)/2)*V73*Y73*VLOOKUP('Données projet'!$B$9,Paramètres!$A$1:$I$89,3,0)*0.475*44/12</f>
        <v>6.6908325820558663E-6</v>
      </c>
      <c r="AC73" s="22">
        <f t="shared" si="57"/>
        <v>7.1026215120232097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2.2737367544323206E-13</v>
      </c>
      <c r="AJ73" s="13">
        <f>AI73*VLOOKUP('Données projet'!$B$10,Paramètres!$A$1:$I$89,3,0)*VLOOKUP('Données projet'!$B$10,Paramètres!$A$1:$I$89,5,0)</f>
        <v>1.064108801074326E-13</v>
      </c>
      <c r="AK73" s="13">
        <f t="shared" si="89"/>
        <v>1.5870730813698654E-12</v>
      </c>
      <c r="AL73" s="20">
        <f t="shared" si="58"/>
        <v>2.9494845662396269E-12</v>
      </c>
      <c r="AM73" s="59">
        <f t="shared" si="59"/>
        <v>293.33333333333627</v>
      </c>
      <c r="AN73" s="59">
        <f ca="1">AVERAGE(OFFSET($AM$3,0,0,'Données projet'!$E$10+1,1))-AVERAGE(OFFSET($H$3,0,0,'Données projet'!$E$10+1,1))</f>
        <v>294.78071095255143</v>
      </c>
      <c r="AO73" s="59">
        <f t="shared" si="90"/>
        <v>323.52003392365867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1.8651339047209408</v>
      </c>
      <c r="AV73" s="21">
        <f>EXP(-LN(2)/25)*AV72+(1-EXP(-LN(2)/25))/(LN(2)/25)*Calculateur!AQ73*Calculateur!AS73*VLOOKUP('Données projet'!$B$10,Paramètres!$A$1:$I$89,3,0)*0.475*44/12</f>
        <v>8.0301941674411665</v>
      </c>
      <c r="AW73" s="21">
        <f>EXP(-LN(2)/2)*AW72+(1-EXP(-LN(2)/2))/(LN(2)/2)*AQ73*AT73*VLOOKUP('Données projet'!$B$10,Paramètres!$A$1:$I$89,3,0)*0.475*44/12</f>
        <v>2.7782215702019488E-6</v>
      </c>
      <c r="AX73" s="21">
        <f t="shared" si="60"/>
        <v>9.8953308503836777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-4.5474735088646412E-13</v>
      </c>
      <c r="O74" s="13">
        <f>N74*VLOOKUP('Données projet'!$B$9,Paramètres!$A$1:$I$89,3,0)*VLOOKUP('Données projet'!$B$9,Paramètres!$A$1:$I$89,5,0)</f>
        <v>-2.5420376914553347E-13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512.21337090113502</v>
      </c>
      <c r="T74" s="59">
        <f t="shared" si="88"/>
        <v>621.03633124474163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1.7383569133158623</v>
      </c>
      <c r="AA74" s="21">
        <f>EXP(-LN(2)/25)*AA73+(1-EXP(-LN(2)/25))/(LN(2)/25)*Calculateur!V74*Calculateur!X74*VLOOKUP('Données projet'!$B$9,Paramètres!$A$1:$I$89,3,0)*0.475*44/12</f>
        <v>5.1837528430038766</v>
      </c>
      <c r="AB74" s="21">
        <f>EXP(-LN(2)/2)*AB73+(1-EXP(-LN(2)/2))/(LN(2)/2)*V74*Y74*VLOOKUP('Données projet'!$B$9,Paramètres!$A$1:$I$89,3,0)*0.475*44/12</f>
        <v>4.7311330905556001E-6</v>
      </c>
      <c r="AC74" s="22">
        <f t="shared" si="57"/>
        <v>6.9221144874528298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2.2737367544323206E-13</v>
      </c>
      <c r="AJ74" s="13">
        <f>AI74*VLOOKUP('Données projet'!$B$10,Paramètres!$A$1:$I$89,3,0)*VLOOKUP('Données projet'!$B$10,Paramètres!$A$1:$I$89,5,0)</f>
        <v>1.064108801074326E-13</v>
      </c>
      <c r="AK74" s="13">
        <f t="shared" si="89"/>
        <v>1.5870730813698654E-12</v>
      </c>
      <c r="AL74" s="20">
        <f t="shared" si="58"/>
        <v>2.9494845662396269E-12</v>
      </c>
      <c r="AM74" s="59">
        <f t="shared" si="59"/>
        <v>293.33333333333627</v>
      </c>
      <c r="AN74" s="59">
        <f ca="1">AVERAGE(OFFSET($AM$3,0,0,'Données projet'!$E$10+1,1))-AVERAGE(OFFSET($H$3,0,0,'Données projet'!$E$10+1,1))</f>
        <v>294.78071095255143</v>
      </c>
      <c r="AO74" s="59">
        <f t="shared" si="90"/>
        <v>323.52003392365867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1.8285597664687143</v>
      </c>
      <c r="AV74" s="21">
        <f>EXP(-LN(2)/25)*AV73+(1-EXP(-LN(2)/25))/(LN(2)/25)*Calculateur!AQ74*Calculateur!AS74*VLOOKUP('Données projet'!$B$10,Paramètres!$A$1:$I$89,3,0)*0.475*44/12</f>
        <v>7.8106080856429294</v>
      </c>
      <c r="AW74" s="21">
        <f>EXP(-LN(2)/2)*AW73+(1-EXP(-LN(2)/2))/(LN(2)/2)*AQ74*AT74*VLOOKUP('Données projet'!$B$10,Paramètres!$A$1:$I$89,3,0)*0.475*44/12</f>
        <v>1.9644993119285359E-6</v>
      </c>
      <c r="AX74" s="21">
        <f t="shared" si="60"/>
        <v>9.6391698166109556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-4.5474735088646412E-13</v>
      </c>
      <c r="O75" s="13">
        <f>N75*VLOOKUP('Données projet'!$B$9,Paramètres!$A$1:$I$89,3,0)*VLOOKUP('Données projet'!$B$9,Paramètres!$A$1:$I$89,5,0)</f>
        <v>-2.5420376914553347E-13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512.21337090113502</v>
      </c>
      <c r="T75" s="59">
        <f t="shared" si="88"/>
        <v>621.03633124474163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1.70426879453876</v>
      </c>
      <c r="AA75" s="21">
        <f>EXP(-LN(2)/25)*AA74+(1-EXP(-LN(2)/25))/(LN(2)/25)*Calculateur!V75*Calculateur!X75*VLOOKUP('Données projet'!$B$9,Paramètres!$A$1:$I$89,3,0)*0.475*44/12</f>
        <v>5.0420028489102213</v>
      </c>
      <c r="AB75" s="21">
        <f>EXP(-LN(2)/2)*AB74+(1-EXP(-LN(2)/2))/(LN(2)/2)*V75*Y75*VLOOKUP('Données projet'!$B$9,Paramètres!$A$1:$I$89,3,0)*0.475*44/12</f>
        <v>3.3454162910279331E-6</v>
      </c>
      <c r="AC75" s="22">
        <f t="shared" si="57"/>
        <v>6.746274988865272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2.2737367544323206E-13</v>
      </c>
      <c r="AJ75" s="13">
        <f>AI75*VLOOKUP('Données projet'!$B$10,Paramètres!$A$1:$I$89,3,0)*VLOOKUP('Données projet'!$B$10,Paramètres!$A$1:$I$89,5,0)</f>
        <v>1.064108801074326E-13</v>
      </c>
      <c r="AK75" s="13">
        <f t="shared" si="89"/>
        <v>1.5870730813698654E-12</v>
      </c>
      <c r="AL75" s="20">
        <f t="shared" si="58"/>
        <v>2.9494845662396269E-12</v>
      </c>
      <c r="AM75" s="59">
        <f t="shared" si="59"/>
        <v>293.33333333333627</v>
      </c>
      <c r="AN75" s="59">
        <f ca="1">AVERAGE(OFFSET($AM$3,0,0,'Données projet'!$E$10+1,1))-AVERAGE(OFFSET($H$3,0,0,'Données projet'!$E$10+1,1))</f>
        <v>294.78071095255143</v>
      </c>
      <c r="AO75" s="59">
        <f t="shared" si="90"/>
        <v>323.52003392365867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1.7927028247595926</v>
      </c>
      <c r="AV75" s="21">
        <f>EXP(-LN(2)/25)*AV74+(1-EXP(-LN(2)/25))/(LN(2)/25)*Calculateur!AQ75*Calculateur!AS75*VLOOKUP('Données projet'!$B$10,Paramètres!$A$1:$I$89,3,0)*0.475*44/12</f>
        <v>7.5970265967989956</v>
      </c>
      <c r="AW75" s="21">
        <f>EXP(-LN(2)/2)*AW74+(1-EXP(-LN(2)/2))/(LN(2)/2)*AQ75*AT75*VLOOKUP('Données projet'!$B$10,Paramètres!$A$1:$I$89,3,0)*0.475*44/12</f>
        <v>1.3891107851009744E-6</v>
      </c>
      <c r="AX75" s="21">
        <f t="shared" si="60"/>
        <v>9.3897308106693735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-4.5474735088646412E-13</v>
      </c>
      <c r="O76" s="13">
        <f>N76*VLOOKUP('Données projet'!$B$9,Paramètres!$A$1:$I$89,3,0)*VLOOKUP('Données projet'!$B$9,Paramètres!$A$1:$I$89,5,0)</f>
        <v>-2.5420376914553347E-13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512.21337090113502</v>
      </c>
      <c r="T76" s="59">
        <f t="shared" si="88"/>
        <v>621.03633124474163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1.6708491229791773</v>
      </c>
      <c r="AA76" s="21">
        <f>EXP(-LN(2)/25)*AA75+(1-EXP(-LN(2)/25))/(LN(2)/25)*Calculateur!V76*Calculateur!X76*VLOOKUP('Données projet'!$B$9,Paramètres!$A$1:$I$89,3,0)*0.475*44/12</f>
        <v>4.9041290158593656</v>
      </c>
      <c r="AB76" s="21">
        <f>EXP(-LN(2)/2)*AB75+(1-EXP(-LN(2)/2))/(LN(2)/2)*V76*Y76*VLOOKUP('Données projet'!$B$9,Paramètres!$A$1:$I$89,3,0)*0.475*44/12</f>
        <v>2.3655665452778001E-6</v>
      </c>
      <c r="AC76" s="22">
        <f t="shared" si="57"/>
        <v>6.5749805044050884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2.2737367544323206E-13</v>
      </c>
      <c r="AJ76" s="13">
        <f>AI76*VLOOKUP('Données projet'!$B$10,Paramètres!$A$1:$I$89,3,0)*VLOOKUP('Données projet'!$B$10,Paramètres!$A$1:$I$89,5,0)</f>
        <v>1.064108801074326E-13</v>
      </c>
      <c r="AK76" s="13">
        <f t="shared" si="89"/>
        <v>1.5870730813698654E-12</v>
      </c>
      <c r="AL76" s="20">
        <f t="shared" si="58"/>
        <v>2.9494845662396269E-12</v>
      </c>
      <c r="AM76" s="59">
        <f t="shared" si="59"/>
        <v>293.33333333333627</v>
      </c>
      <c r="AN76" s="59">
        <f ca="1">AVERAGE(OFFSET($AM$3,0,0,'Données projet'!$E$10+1,1))-AVERAGE(OFFSET($H$3,0,0,'Données projet'!$E$10+1,1))</f>
        <v>294.78071095255143</v>
      </c>
      <c r="AO76" s="59">
        <f t="shared" si="90"/>
        <v>323.52003392365867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1.7575490158068119</v>
      </c>
      <c r="AV76" s="21">
        <f>EXP(-LN(2)/25)*AV75+(1-EXP(-LN(2)/25))/(LN(2)/25)*Calculateur!AQ76*Calculateur!AS76*VLOOKUP('Données projet'!$B$10,Paramètres!$A$1:$I$89,3,0)*0.475*44/12</f>
        <v>7.3892855049992612</v>
      </c>
      <c r="AW76" s="21">
        <f>EXP(-LN(2)/2)*AW75+(1-EXP(-LN(2)/2))/(LN(2)/2)*AQ76*AT76*VLOOKUP('Données projet'!$B$10,Paramètres!$A$1:$I$89,3,0)*0.475*44/12</f>
        <v>9.8224965596426794E-7</v>
      </c>
      <c r="AX76" s="21">
        <f t="shared" si="60"/>
        <v>9.1468355030557298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-4.5474735088646412E-13</v>
      </c>
      <c r="O77" s="13">
        <f>N77*VLOOKUP('Données projet'!$B$9,Paramètres!$A$1:$I$89,3,0)*VLOOKUP('Données projet'!$B$9,Paramètres!$A$1:$I$89,5,0)</f>
        <v>-2.5420376914553347E-13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512.21337090113502</v>
      </c>
      <c r="T77" s="59">
        <f t="shared" si="88"/>
        <v>621.03633124474163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1.6380847907948912</v>
      </c>
      <c r="AA77" s="21">
        <f>EXP(-LN(2)/25)*AA76+(1-EXP(-LN(2)/25))/(LN(2)/25)*Calculateur!V77*Calculateur!X77*VLOOKUP('Données projet'!$B$9,Paramètres!$A$1:$I$89,3,0)*0.475*44/12</f>
        <v>4.7700253500237544</v>
      </c>
      <c r="AB77" s="21">
        <f>EXP(-LN(2)/2)*AB76+(1-EXP(-LN(2)/2))/(LN(2)/2)*V77*Y77*VLOOKUP('Données projet'!$B$9,Paramètres!$A$1:$I$89,3,0)*0.475*44/12</f>
        <v>1.6727081455139666E-6</v>
      </c>
      <c r="AC77" s="22">
        <f t="shared" si="57"/>
        <v>6.4081118135267907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2.2737367544323206E-13</v>
      </c>
      <c r="AJ77" s="13">
        <f>AI77*VLOOKUP('Données projet'!$B$10,Paramètres!$A$1:$I$89,3,0)*VLOOKUP('Données projet'!$B$10,Paramètres!$A$1:$I$89,5,0)</f>
        <v>1.064108801074326E-13</v>
      </c>
      <c r="AK77" s="13">
        <f t="shared" si="89"/>
        <v>1.5870730813698654E-12</v>
      </c>
      <c r="AL77" s="20">
        <f t="shared" si="58"/>
        <v>2.9494845662396269E-12</v>
      </c>
      <c r="AM77" s="59">
        <f t="shared" si="59"/>
        <v>293.33333333333627</v>
      </c>
      <c r="AN77" s="59">
        <f ca="1">AVERAGE(OFFSET($AM$3,0,0,'Données projet'!$E$10+1,1))-AVERAGE(OFFSET($H$3,0,0,'Données projet'!$E$10+1,1))</f>
        <v>294.78071095255143</v>
      </c>
      <c r="AO77" s="59">
        <f t="shared" si="90"/>
        <v>323.52003392365867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1.7230845516058888</v>
      </c>
      <c r="AV77" s="21">
        <f>EXP(-LN(2)/25)*AV76+(1-EXP(-LN(2)/25))/(LN(2)/25)*Calculateur!AQ77*Calculateur!AS77*VLOOKUP('Données projet'!$B$10,Paramètres!$A$1:$I$89,3,0)*0.475*44/12</f>
        <v>7.1872251042794204</v>
      </c>
      <c r="AW77" s="21">
        <f>EXP(-LN(2)/2)*AW76+(1-EXP(-LN(2)/2))/(LN(2)/2)*AQ77*AT77*VLOOKUP('Données projet'!$B$10,Paramètres!$A$1:$I$89,3,0)*0.475*44/12</f>
        <v>6.945553925504872E-7</v>
      </c>
      <c r="AX77" s="21">
        <f t="shared" si="60"/>
        <v>8.9103103504407013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-4.5474735088646412E-13</v>
      </c>
      <c r="O78" s="13">
        <f>N78*VLOOKUP('Données projet'!$B$9,Paramètres!$A$1:$I$89,3,0)*VLOOKUP('Données projet'!$B$9,Paramètres!$A$1:$I$89,5,0)</f>
        <v>-2.5420376914553347E-13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512.21337090113502</v>
      </c>
      <c r="T78" s="59">
        <f t="shared" si="88"/>
        <v>621.03633124474163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1.6059629471804695</v>
      </c>
      <c r="AA78" s="21">
        <f>EXP(-LN(2)/25)*AA77+(1-EXP(-LN(2)/25))/(LN(2)/25)*Calculateur!V78*Calculateur!X78*VLOOKUP('Données projet'!$B$9,Paramètres!$A$1:$I$89,3,0)*0.475*44/12</f>
        <v>4.6395887559826239</v>
      </c>
      <c r="AB78" s="21">
        <f>EXP(-LN(2)/2)*AB77+(1-EXP(-LN(2)/2))/(LN(2)/2)*V78*Y78*VLOOKUP('Données projet'!$B$9,Paramètres!$A$1:$I$89,3,0)*0.475*44/12</f>
        <v>1.1827832726389E-6</v>
      </c>
      <c r="AC78" s="22">
        <f t="shared" si="57"/>
        <v>6.2455528859463652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2.2737367544323206E-13</v>
      </c>
      <c r="AJ78" s="13">
        <f>AI78*VLOOKUP('Données projet'!$B$10,Paramètres!$A$1:$I$89,3,0)*VLOOKUP('Données projet'!$B$10,Paramètres!$A$1:$I$89,5,0)</f>
        <v>1.064108801074326E-13</v>
      </c>
      <c r="AK78" s="13">
        <f t="shared" si="89"/>
        <v>1.5870730813698654E-12</v>
      </c>
      <c r="AL78" s="20">
        <f t="shared" si="58"/>
        <v>2.9494845662396269E-12</v>
      </c>
      <c r="AM78" s="59">
        <f t="shared" si="59"/>
        <v>293.33333333333627</v>
      </c>
      <c r="AN78" s="59">
        <f ca="1">AVERAGE(OFFSET($AM$3,0,0,'Données projet'!$E$10+1,1))-AVERAGE(OFFSET($H$3,0,0,'Données projet'!$E$10+1,1))</f>
        <v>294.78071095255143</v>
      </c>
      <c r="AO78" s="59">
        <f t="shared" si="90"/>
        <v>323.52003392365867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1.6892959145266984</v>
      </c>
      <c r="AV78" s="21">
        <f>EXP(-LN(2)/25)*AV77+(1-EXP(-LN(2)/25))/(LN(2)/25)*Calculateur!AQ78*Calculateur!AS78*VLOOKUP('Données projet'!$B$10,Paramètres!$A$1:$I$89,3,0)*0.475*44/12</f>
        <v>6.9906900558431584</v>
      </c>
      <c r="AW78" s="21">
        <f>EXP(-LN(2)/2)*AW77+(1-EXP(-LN(2)/2))/(LN(2)/2)*AQ78*AT78*VLOOKUP('Données projet'!$B$10,Paramètres!$A$1:$I$89,3,0)*0.475*44/12</f>
        <v>4.9112482798213397E-7</v>
      </c>
      <c r="AX78" s="21">
        <f t="shared" si="60"/>
        <v>8.6799864614946838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-4.5474735088646412E-13</v>
      </c>
      <c r="O79" s="13">
        <f>N79*VLOOKUP('Données projet'!$B$9,Paramètres!$A$1:$I$89,3,0)*VLOOKUP('Données projet'!$B$9,Paramètres!$A$1:$I$89,5,0)</f>
        <v>-2.5420376914553347E-13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512.21337090113502</v>
      </c>
      <c r="T79" s="59">
        <f t="shared" si="88"/>
        <v>621.03633124474163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1.5744709933269367</v>
      </c>
      <c r="AA79" s="21">
        <f>EXP(-LN(2)/25)*AA78+(1-EXP(-LN(2)/25))/(LN(2)/25)*Calculateur!V79*Calculateur!X79*VLOOKUP('Données projet'!$B$9,Paramètres!$A$1:$I$89,3,0)*0.475*44/12</f>
        <v>4.5127189574649105</v>
      </c>
      <c r="AB79" s="21">
        <f>EXP(-LN(2)/2)*AB78+(1-EXP(-LN(2)/2))/(LN(2)/2)*V79*Y79*VLOOKUP('Données projet'!$B$9,Paramètres!$A$1:$I$89,3,0)*0.475*44/12</f>
        <v>8.3635407275698328E-7</v>
      </c>
      <c r="AC79" s="22">
        <f t="shared" si="57"/>
        <v>6.0871907871459205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2.2737367544323206E-13</v>
      </c>
      <c r="AJ79" s="13">
        <f>AI79*VLOOKUP('Données projet'!$B$10,Paramètres!$A$1:$I$89,3,0)*VLOOKUP('Données projet'!$B$10,Paramètres!$A$1:$I$89,5,0)</f>
        <v>1.064108801074326E-13</v>
      </c>
      <c r="AK79" s="13">
        <f t="shared" si="89"/>
        <v>1.5870730813698654E-12</v>
      </c>
      <c r="AL79" s="20">
        <f t="shared" si="58"/>
        <v>2.9494845662396269E-12</v>
      </c>
      <c r="AM79" s="59">
        <f t="shared" si="59"/>
        <v>293.33333333333627</v>
      </c>
      <c r="AN79" s="59">
        <f ca="1">AVERAGE(OFFSET($AM$3,0,0,'Données projet'!$E$10+1,1))-AVERAGE(OFFSET($H$3,0,0,'Données projet'!$E$10+1,1))</f>
        <v>294.78071095255143</v>
      </c>
      <c r="AO79" s="59">
        <f t="shared" si="90"/>
        <v>323.52003392365867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1.6561698520115973</v>
      </c>
      <c r="AV79" s="21">
        <f>EXP(-LN(2)/25)*AV78+(1-EXP(-LN(2)/25))/(LN(2)/25)*Calculateur!AQ79*Calculateur!AS79*VLOOKUP('Données projet'!$B$10,Paramètres!$A$1:$I$89,3,0)*0.475*44/12</f>
        <v>6.7995292686417148</v>
      </c>
      <c r="AW79" s="21">
        <f>EXP(-LN(2)/2)*AW78+(1-EXP(-LN(2)/2))/(LN(2)/2)*AQ79*AT79*VLOOKUP('Données projet'!$B$10,Paramètres!$A$1:$I$89,3,0)*0.475*44/12</f>
        <v>3.472776962752436E-7</v>
      </c>
      <c r="AX79" s="21">
        <f t="shared" si="60"/>
        <v>8.4556994679310087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-4.5474735088646412E-13</v>
      </c>
      <c r="O80" s="13">
        <f>N80*VLOOKUP('Données projet'!$B$9,Paramètres!$A$1:$I$89,3,0)*VLOOKUP('Données projet'!$B$9,Paramètres!$A$1:$I$89,5,0)</f>
        <v>-2.5420376914553347E-13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512.21337090113502</v>
      </c>
      <c r="T80" s="59">
        <f t="shared" si="88"/>
        <v>621.03633124474163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1.5435965774802765</v>
      </c>
      <c r="AA80" s="21">
        <f>EXP(-LN(2)/25)*AA79+(1-EXP(-LN(2)/25))/(LN(2)/25)*Calculateur!V80*Calculateur!X80*VLOOKUP('Données projet'!$B$9,Paramètres!$A$1:$I$89,3,0)*0.475*44/12</f>
        <v>4.3893184202594568</v>
      </c>
      <c r="AB80" s="21">
        <f>EXP(-LN(2)/2)*AB79+(1-EXP(-LN(2)/2))/(LN(2)/2)*V80*Y80*VLOOKUP('Données projet'!$B$9,Paramètres!$A$1:$I$89,3,0)*0.475*44/12</f>
        <v>5.9139163631945001E-7</v>
      </c>
      <c r="AC80" s="22">
        <f t="shared" si="57"/>
        <v>5.932915589131369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2.2737367544323206E-13</v>
      </c>
      <c r="AJ80" s="13">
        <f>AI80*VLOOKUP('Données projet'!$B$10,Paramètres!$A$1:$I$89,3,0)*VLOOKUP('Données projet'!$B$10,Paramètres!$A$1:$I$89,5,0)</f>
        <v>1.064108801074326E-13</v>
      </c>
      <c r="AK80" s="13">
        <f t="shared" si="89"/>
        <v>1.5870730813698654E-12</v>
      </c>
      <c r="AL80" s="20">
        <f t="shared" si="58"/>
        <v>2.9494845662396269E-12</v>
      </c>
      <c r="AM80" s="59">
        <f t="shared" si="59"/>
        <v>293.33333333333627</v>
      </c>
      <c r="AN80" s="59">
        <f ca="1">AVERAGE(OFFSET($AM$3,0,0,'Données projet'!$E$10+1,1))-AVERAGE(OFFSET($H$3,0,0,'Données projet'!$E$10+1,1))</f>
        <v>294.78071095255143</v>
      </c>
      <c r="AO80" s="59">
        <f t="shared" si="90"/>
        <v>323.52003392365867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1.6236933713775141</v>
      </c>
      <c r="AV80" s="21">
        <f>EXP(-LN(2)/25)*AV79+(1-EXP(-LN(2)/25))/(LN(2)/25)*Calculateur!AQ80*Calculateur!AS80*VLOOKUP('Données projet'!$B$10,Paramètres!$A$1:$I$89,3,0)*0.475*44/12</f>
        <v>6.6135957832190035</v>
      </c>
      <c r="AW80" s="21">
        <f>EXP(-LN(2)/2)*AW79+(1-EXP(-LN(2)/2))/(LN(2)/2)*AQ80*AT80*VLOOKUP('Données projet'!$B$10,Paramètres!$A$1:$I$89,3,0)*0.475*44/12</f>
        <v>2.4556241399106698E-7</v>
      </c>
      <c r="AX80" s="21">
        <f t="shared" si="60"/>
        <v>8.2372894001589323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-4.5474735088646412E-13</v>
      </c>
      <c r="O81" s="13">
        <f>N81*VLOOKUP('Données projet'!$B$9,Paramètres!$A$1:$I$89,3,0)*VLOOKUP('Données projet'!$B$9,Paramètres!$A$1:$I$89,5,0)</f>
        <v>-2.5420376914553347E-13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512.21337090113502</v>
      </c>
      <c r="T81" s="59">
        <f t="shared" si="88"/>
        <v>621.03633124474163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1.513327590096835</v>
      </c>
      <c r="AA81" s="21">
        <f>EXP(-LN(2)/25)*AA80+(1-EXP(-LN(2)/25))/(LN(2)/25)*Calculateur!V81*Calculateur!X81*VLOOKUP('Données projet'!$B$9,Paramètres!$A$1:$I$89,3,0)*0.475*44/12</f>
        <v>4.2692922772332382</v>
      </c>
      <c r="AB81" s="21">
        <f>EXP(-LN(2)/2)*AB80+(1-EXP(-LN(2)/2))/(LN(2)/2)*V81*Y81*VLOOKUP('Données projet'!$B$9,Paramètres!$A$1:$I$89,3,0)*0.475*44/12</f>
        <v>4.1817703637849164E-7</v>
      </c>
      <c r="AC81" s="22">
        <f t="shared" si="57"/>
        <v>5.7826202855071092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2.2737367544323206E-13</v>
      </c>
      <c r="AJ81" s="13">
        <f>AI81*VLOOKUP('Données projet'!$B$10,Paramètres!$A$1:$I$89,3,0)*VLOOKUP('Données projet'!$B$10,Paramètres!$A$1:$I$89,5,0)</f>
        <v>1.064108801074326E-13</v>
      </c>
      <c r="AK81" s="13">
        <f t="shared" si="89"/>
        <v>1.5870730813698654E-12</v>
      </c>
      <c r="AL81" s="20">
        <f t="shared" si="58"/>
        <v>2.9494845662396269E-12</v>
      </c>
      <c r="AM81" s="59">
        <f t="shared" si="59"/>
        <v>293.33333333333627</v>
      </c>
      <c r="AN81" s="59">
        <f ca="1">AVERAGE(OFFSET($AM$3,0,0,'Données projet'!$E$10+1,1))-AVERAGE(OFFSET($H$3,0,0,'Données projet'!$E$10+1,1))</f>
        <v>294.78071095255143</v>
      </c>
      <c r="AO81" s="59">
        <f t="shared" si="90"/>
        <v>323.52003392365867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1.5918537347199682</v>
      </c>
      <c r="AV81" s="21">
        <f>EXP(-LN(2)/25)*AV80+(1-EXP(-LN(2)/25))/(LN(2)/25)*Calculateur!AQ81*Calculateur!AS81*VLOOKUP('Données projet'!$B$10,Paramètres!$A$1:$I$89,3,0)*0.475*44/12</f>
        <v>6.4327466587329933</v>
      </c>
      <c r="AW81" s="21">
        <f>EXP(-LN(2)/2)*AW80+(1-EXP(-LN(2)/2))/(LN(2)/2)*AQ81*AT81*VLOOKUP('Données projet'!$B$10,Paramètres!$A$1:$I$89,3,0)*0.475*44/12</f>
        <v>1.736388481376218E-7</v>
      </c>
      <c r="AX81" s="21">
        <f t="shared" si="60"/>
        <v>8.0246005670918095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-4.5474735088646412E-13</v>
      </c>
      <c r="O82" s="13">
        <f>N82*VLOOKUP('Données projet'!$B$9,Paramètres!$A$1:$I$89,3,0)*VLOOKUP('Données projet'!$B$9,Paramètres!$A$1:$I$89,5,0)</f>
        <v>-2.5420376914553347E-13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512.21337090113502</v>
      </c>
      <c r="T82" s="59">
        <f t="shared" si="88"/>
        <v>621.03633124474163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1.4836521590937235</v>
      </c>
      <c r="AA82" s="21">
        <f>EXP(-LN(2)/25)*AA81+(1-EXP(-LN(2)/25))/(LN(2)/25)*Calculateur!V82*Calculateur!X82*VLOOKUP('Données projet'!$B$9,Paramètres!$A$1:$I$89,3,0)*0.475*44/12</f>
        <v>4.1525482553999717</v>
      </c>
      <c r="AB82" s="21">
        <f>EXP(-LN(2)/2)*AB81+(1-EXP(-LN(2)/2))/(LN(2)/2)*V82*Y82*VLOOKUP('Données projet'!$B$9,Paramètres!$A$1:$I$89,3,0)*0.475*44/12</f>
        <v>2.9569581815972501E-7</v>
      </c>
      <c r="AC82" s="22">
        <f t="shared" si="57"/>
        <v>5.6362007101895131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2.2737367544323206E-13</v>
      </c>
      <c r="AJ82" s="13">
        <f>AI82*VLOOKUP('Données projet'!$B$10,Paramètres!$A$1:$I$89,3,0)*VLOOKUP('Données projet'!$B$10,Paramètres!$A$1:$I$89,5,0)</f>
        <v>1.064108801074326E-13</v>
      </c>
      <c r="AK82" s="13">
        <f t="shared" si="89"/>
        <v>1.5870730813698654E-12</v>
      </c>
      <c r="AL82" s="20">
        <f t="shared" si="58"/>
        <v>2.9494845662396269E-12</v>
      </c>
      <c r="AM82" s="59">
        <f t="shared" si="59"/>
        <v>293.33333333333627</v>
      </c>
      <c r="AN82" s="59">
        <f ca="1">AVERAGE(OFFSET($AM$3,0,0,'Données projet'!$E$10+1,1))-AVERAGE(OFFSET($H$3,0,0,'Données projet'!$E$10+1,1))</f>
        <v>294.78071095255143</v>
      </c>
      <c r="AO82" s="59">
        <f t="shared" si="90"/>
        <v>323.52003392365867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1.5606384539170159</v>
      </c>
      <c r="AV82" s="21">
        <f>EXP(-LN(2)/25)*AV81+(1-EXP(-LN(2)/25))/(LN(2)/25)*Calculateur!AQ82*Calculateur!AS82*VLOOKUP('Données projet'!$B$10,Paramètres!$A$1:$I$89,3,0)*0.475*44/12</f>
        <v>6.2568428630664954</v>
      </c>
      <c r="AW82" s="21">
        <f>EXP(-LN(2)/2)*AW81+(1-EXP(-LN(2)/2))/(LN(2)/2)*AQ82*AT82*VLOOKUP('Données projet'!$B$10,Paramètres!$A$1:$I$89,3,0)*0.475*44/12</f>
        <v>1.2278120699553349E-7</v>
      </c>
      <c r="AX82" s="21">
        <f t="shared" si="60"/>
        <v>7.8174814397647188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-4.5474735088646412E-13</v>
      </c>
      <c r="O83" s="13">
        <f>N83*VLOOKUP('Données projet'!$B$9,Paramètres!$A$1:$I$89,3,0)*VLOOKUP('Données projet'!$B$9,Paramètres!$A$1:$I$89,5,0)</f>
        <v>-2.5420376914553347E-13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512.21337090113502</v>
      </c>
      <c r="T83" s="59">
        <f t="shared" si="88"/>
        <v>621.03633124474163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1.4545586451923573</v>
      </c>
      <c r="AA83" s="21">
        <f>EXP(-LN(2)/25)*AA82+(1-EXP(-LN(2)/25))/(LN(2)/25)*Calculateur!V83*Calculateur!X83*VLOOKUP('Données projet'!$B$9,Paramètres!$A$1:$I$89,3,0)*0.475*44/12</f>
        <v>4.0389966049830379</v>
      </c>
      <c r="AB83" s="21">
        <f>EXP(-LN(2)/2)*AB82+(1-EXP(-LN(2)/2))/(LN(2)/2)*V83*Y83*VLOOKUP('Données projet'!$B$9,Paramètres!$A$1:$I$89,3,0)*0.475*44/12</f>
        <v>2.0908851818924582E-7</v>
      </c>
      <c r="AC83" s="22">
        <f t="shared" si="57"/>
        <v>5.4935554592639138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2.2737367544323206E-13</v>
      </c>
      <c r="AJ83" s="13">
        <f>AI83*VLOOKUP('Données projet'!$B$10,Paramètres!$A$1:$I$89,3,0)*VLOOKUP('Données projet'!$B$10,Paramètres!$A$1:$I$89,5,0)</f>
        <v>1.064108801074326E-13</v>
      </c>
      <c r="AK83" s="13">
        <f t="shared" si="89"/>
        <v>1.5870730813698654E-12</v>
      </c>
      <c r="AL83" s="20">
        <f t="shared" si="58"/>
        <v>2.9494845662396269E-12</v>
      </c>
      <c r="AM83" s="59">
        <f t="shared" si="59"/>
        <v>293.33333333333627</v>
      </c>
      <c r="AN83" s="59">
        <f ca="1">AVERAGE(OFFSET($AM$3,0,0,'Données projet'!$E$10+1,1))-AVERAGE(OFFSET($H$3,0,0,'Données projet'!$E$10+1,1))</f>
        <v>294.78071095255143</v>
      </c>
      <c r="AO83" s="59">
        <f t="shared" si="90"/>
        <v>323.52003392365867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1.5300352857311683</v>
      </c>
      <c r="AV83" s="21">
        <f>EXP(-LN(2)/25)*AV82+(1-EXP(-LN(2)/25))/(LN(2)/25)*Calculateur!AQ83*Calculateur!AS83*VLOOKUP('Données projet'!$B$10,Paramètres!$A$1:$I$89,3,0)*0.475*44/12</f>
        <v>6.0857491659428762</v>
      </c>
      <c r="AW83" s="21">
        <f>EXP(-LN(2)/2)*AW82+(1-EXP(-LN(2)/2))/(LN(2)/2)*AQ83*AT83*VLOOKUP('Données projet'!$B$10,Paramètres!$A$1:$I$89,3,0)*0.475*44/12</f>
        <v>8.68194240688109E-8</v>
      </c>
      <c r="AX83" s="21">
        <f t="shared" si="60"/>
        <v>7.6157845384934681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-4.5474735088646412E-13</v>
      </c>
      <c r="O84" s="13">
        <f>N84*VLOOKUP('Données projet'!$B$9,Paramètres!$A$1:$I$89,3,0)*VLOOKUP('Données projet'!$B$9,Paramètres!$A$1:$I$89,5,0)</f>
        <v>-2.5420376914553347E-13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512.21337090113502</v>
      </c>
      <c r="T84" s="59">
        <f t="shared" si="88"/>
        <v>621.03633124474163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1.4260356373533056</v>
      </c>
      <c r="AA84" s="21">
        <f>EXP(-LN(2)/25)*AA83+(1-EXP(-LN(2)/25))/(LN(2)/25)*Calculateur!V84*Calculateur!X84*VLOOKUP('Données projet'!$B$9,Paramètres!$A$1:$I$89,3,0)*0.475*44/12</f>
        <v>3.9285500304181764</v>
      </c>
      <c r="AB84" s="21">
        <f>EXP(-LN(2)/2)*AB83+(1-EXP(-LN(2)/2))/(LN(2)/2)*V84*Y84*VLOOKUP('Données projet'!$B$9,Paramètres!$A$1:$I$89,3,0)*0.475*44/12</f>
        <v>1.478479090798625E-7</v>
      </c>
      <c r="AC84" s="22">
        <f t="shared" si="57"/>
        <v>5.3545858156193908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2.2737367544323206E-13</v>
      </c>
      <c r="AJ84" s="13">
        <f>AI84*VLOOKUP('Données projet'!$B$10,Paramètres!$A$1:$I$89,3,0)*VLOOKUP('Données projet'!$B$10,Paramètres!$A$1:$I$89,5,0)</f>
        <v>1.064108801074326E-13</v>
      </c>
      <c r="AK84" s="13">
        <f t="shared" si="89"/>
        <v>1.5870730813698654E-12</v>
      </c>
      <c r="AL84" s="20">
        <f t="shared" si="58"/>
        <v>2.9494845662396269E-12</v>
      </c>
      <c r="AM84" s="59">
        <f t="shared" si="59"/>
        <v>293.33333333333627</v>
      </c>
      <c r="AN84" s="59">
        <f ca="1">AVERAGE(OFFSET($AM$3,0,0,'Données projet'!$E$10+1,1))-AVERAGE(OFFSET($H$3,0,0,'Données projet'!$E$10+1,1))</f>
        <v>294.78071095255143</v>
      </c>
      <c r="AO84" s="59">
        <f t="shared" si="90"/>
        <v>323.52003392365867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1.5000322270073556</v>
      </c>
      <c r="AV84" s="21">
        <f>EXP(-LN(2)/25)*AV83+(1-EXP(-LN(2)/25))/(LN(2)/25)*Calculateur!AQ84*Calculateur!AS84*VLOOKUP('Données projet'!$B$10,Paramètres!$A$1:$I$89,3,0)*0.475*44/12</f>
        <v>5.9193340349645291</v>
      </c>
      <c r="AW84" s="21">
        <f>EXP(-LN(2)/2)*AW83+(1-EXP(-LN(2)/2))/(LN(2)/2)*AQ84*AT84*VLOOKUP('Données projet'!$B$10,Paramètres!$A$1:$I$89,3,0)*0.475*44/12</f>
        <v>6.1390603497766746E-8</v>
      </c>
      <c r="AX84" s="21">
        <f t="shared" si="60"/>
        <v>7.419366323362488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-4.5474735088646412E-13</v>
      </c>
      <c r="O85" s="13">
        <f>N85*VLOOKUP('Données projet'!$B$9,Paramètres!$A$1:$I$89,3,0)*VLOOKUP('Données projet'!$B$9,Paramètres!$A$1:$I$89,5,0)</f>
        <v>-2.5420376914553347E-13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512.21337090113502</v>
      </c>
      <c r="T85" s="59">
        <f t="shared" si="88"/>
        <v>621.03633124474163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1.3980719483006609</v>
      </c>
      <c r="AA85" s="21">
        <f>EXP(-LN(2)/25)*AA84+(1-EXP(-LN(2)/25))/(LN(2)/25)*Calculateur!V85*Calculateur!X85*VLOOKUP('Données projet'!$B$9,Paramètres!$A$1:$I$89,3,0)*0.475*44/12</f>
        <v>3.821123623242924</v>
      </c>
      <c r="AB85" s="21">
        <f>EXP(-LN(2)/2)*AB84+(1-EXP(-LN(2)/2))/(LN(2)/2)*V85*Y85*VLOOKUP('Données projet'!$B$9,Paramètres!$A$1:$I$89,3,0)*0.475*44/12</f>
        <v>1.0454425909462291E-7</v>
      </c>
      <c r="AC85" s="22">
        <f t="shared" si="57"/>
        <v>5.2191956760878444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2.2737367544323206E-13</v>
      </c>
      <c r="AJ85" s="13">
        <f>AI85*VLOOKUP('Données projet'!$B$10,Paramètres!$A$1:$I$89,3,0)*VLOOKUP('Données projet'!$B$10,Paramètres!$A$1:$I$89,5,0)</f>
        <v>1.064108801074326E-13</v>
      </c>
      <c r="AK85" s="13">
        <f t="shared" si="89"/>
        <v>1.5870730813698654E-12</v>
      </c>
      <c r="AL85" s="20">
        <f t="shared" si="58"/>
        <v>2.9494845662396269E-12</v>
      </c>
      <c r="AM85" s="59">
        <f t="shared" si="59"/>
        <v>293.33333333333627</v>
      </c>
      <c r="AN85" s="59">
        <f ca="1">AVERAGE(OFFSET($AM$3,0,0,'Données projet'!$E$10+1,1))-AVERAGE(OFFSET($H$3,0,0,'Données projet'!$E$10+1,1))</f>
        <v>294.78071095255143</v>
      </c>
      <c r="AO85" s="59">
        <f t="shared" si="90"/>
        <v>323.52003392365867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1.470617509965058</v>
      </c>
      <c r="AV85" s="21">
        <f>EXP(-LN(2)/25)*AV84+(1-EXP(-LN(2)/25))/(LN(2)/25)*Calculateur!AQ85*Calculateur!AS85*VLOOKUP('Données projet'!$B$10,Paramètres!$A$1:$I$89,3,0)*0.475*44/12</f>
        <v>5.7574695344941764</v>
      </c>
      <c r="AW85" s="21">
        <f>EXP(-LN(2)/2)*AW84+(1-EXP(-LN(2)/2))/(LN(2)/2)*AQ85*AT85*VLOOKUP('Données projet'!$B$10,Paramètres!$A$1:$I$89,3,0)*0.475*44/12</f>
        <v>4.340971203440545E-8</v>
      </c>
      <c r="AX85" s="21">
        <f t="shared" si="60"/>
        <v>7.2280870878689472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-4.5474735088646412E-13</v>
      </c>
      <c r="O86" s="13">
        <f>N86*VLOOKUP('Données projet'!$B$9,Paramètres!$A$1:$I$89,3,0)*VLOOKUP('Données projet'!$B$9,Paramètres!$A$1:$I$89,5,0)</f>
        <v>-2.5420376914553347E-13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512.21337090113502</v>
      </c>
      <c r="T86" s="59">
        <f t="shared" si="88"/>
        <v>621.03633124474163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1.3706566101341724</v>
      </c>
      <c r="AA86" s="21">
        <f>EXP(-LN(2)/25)*AA85+(1-EXP(-LN(2)/25))/(LN(2)/25)*Calculateur!V86*Calculateur!X86*VLOOKUP('Données projet'!$B$9,Paramètres!$A$1:$I$89,3,0)*0.475*44/12</f>
        <v>3.7166347968211881</v>
      </c>
      <c r="AB86" s="21">
        <f>EXP(-LN(2)/2)*AB85+(1-EXP(-LN(2)/2))/(LN(2)/2)*V86*Y86*VLOOKUP('Données projet'!$B$9,Paramètres!$A$1:$I$89,3,0)*0.475*44/12</f>
        <v>7.3923954539931252E-8</v>
      </c>
      <c r="AC86" s="22">
        <f t="shared" si="57"/>
        <v>5.0872914808793155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2.2737367544323206E-13</v>
      </c>
      <c r="AJ86" s="13">
        <f>AI86*VLOOKUP('Données projet'!$B$10,Paramètres!$A$1:$I$89,3,0)*VLOOKUP('Données projet'!$B$10,Paramètres!$A$1:$I$89,5,0)</f>
        <v>1.064108801074326E-13</v>
      </c>
      <c r="AK86" s="13">
        <f t="shared" si="89"/>
        <v>1.5870730813698654E-12</v>
      </c>
      <c r="AL86" s="20">
        <f t="shared" si="58"/>
        <v>2.9494845662396269E-12</v>
      </c>
      <c r="AM86" s="59">
        <f t="shared" si="59"/>
        <v>293.33333333333627</v>
      </c>
      <c r="AN86" s="59">
        <f ca="1">AVERAGE(OFFSET($AM$3,0,0,'Données projet'!$E$10+1,1))-AVERAGE(OFFSET($H$3,0,0,'Données projet'!$E$10+1,1))</f>
        <v>294.78071095255143</v>
      </c>
      <c r="AO86" s="59">
        <f t="shared" si="90"/>
        <v>323.52003392365867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1.4417795975827541</v>
      </c>
      <c r="AV86" s="21">
        <f>EXP(-LN(2)/25)*AV85+(1-EXP(-LN(2)/25))/(LN(2)/25)*Calculateur!AQ86*Calculateur!AS86*VLOOKUP('Données projet'!$B$10,Paramètres!$A$1:$I$89,3,0)*0.475*44/12</f>
        <v>5.6000312273012689</v>
      </c>
      <c r="AW86" s="21">
        <f>EXP(-LN(2)/2)*AW85+(1-EXP(-LN(2)/2))/(LN(2)/2)*AQ86*AT86*VLOOKUP('Données projet'!$B$10,Paramètres!$A$1:$I$89,3,0)*0.475*44/12</f>
        <v>3.0695301748883373E-8</v>
      </c>
      <c r="AX86" s="21">
        <f t="shared" si="60"/>
        <v>7.0418108555793246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-4.5474735088646412E-13</v>
      </c>
      <c r="O87" s="13">
        <f>N87*VLOOKUP('Données projet'!$B$9,Paramètres!$A$1:$I$89,3,0)*VLOOKUP('Données projet'!$B$9,Paramètres!$A$1:$I$89,5,0)</f>
        <v>-2.5420376914553347E-13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512.21337090113502</v>
      </c>
      <c r="T87" s="59">
        <f t="shared" si="88"/>
        <v>621.03633124474163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1.3437788700274236</v>
      </c>
      <c r="AA87" s="21">
        <f>EXP(-LN(2)/25)*AA86+(1-EXP(-LN(2)/25))/(LN(2)/25)*Calculateur!V87*Calculateur!X87*VLOOKUP('Données projet'!$B$9,Paramètres!$A$1:$I$89,3,0)*0.475*44/12</f>
        <v>3.6150032228527831</v>
      </c>
      <c r="AB87" s="21">
        <f>EXP(-LN(2)/2)*AB86+(1-EXP(-LN(2)/2))/(LN(2)/2)*V87*Y87*VLOOKUP('Données projet'!$B$9,Paramètres!$A$1:$I$89,3,0)*0.475*44/12</f>
        <v>5.2272129547311455E-8</v>
      </c>
      <c r="AC87" s="22">
        <f t="shared" si="57"/>
        <v>4.9587821451523366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2.2737367544323206E-13</v>
      </c>
      <c r="AJ87" s="13">
        <f>AI87*VLOOKUP('Données projet'!$B$10,Paramètres!$A$1:$I$89,3,0)*VLOOKUP('Données projet'!$B$10,Paramètres!$A$1:$I$89,5,0)</f>
        <v>1.064108801074326E-13</v>
      </c>
      <c r="AK87" s="13">
        <f t="shared" si="89"/>
        <v>1.5870730813698654E-12</v>
      </c>
      <c r="AL87" s="20">
        <f t="shared" si="58"/>
        <v>2.9494845662396269E-12</v>
      </c>
      <c r="AM87" s="59">
        <f t="shared" si="59"/>
        <v>293.33333333333627</v>
      </c>
      <c r="AN87" s="59">
        <f ca="1">AVERAGE(OFFSET($AM$3,0,0,'Données projet'!$E$10+1,1))-AVERAGE(OFFSET($H$3,0,0,'Données projet'!$E$10+1,1))</f>
        <v>294.78071095255143</v>
      </c>
      <c r="AO87" s="59">
        <f t="shared" si="90"/>
        <v>323.52003392365867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1.4135071790728775</v>
      </c>
      <c r="AV87" s="21">
        <f>EXP(-LN(2)/25)*AV86+(1-EXP(-LN(2)/25))/(LN(2)/25)*Calculateur!AQ87*Calculateur!AS87*VLOOKUP('Données projet'!$B$10,Paramètres!$A$1:$I$89,3,0)*0.475*44/12</f>
        <v>5.4468980788978723</v>
      </c>
      <c r="AW87" s="21">
        <f>EXP(-LN(2)/2)*AW86+(1-EXP(-LN(2)/2))/(LN(2)/2)*AQ87*AT87*VLOOKUP('Données projet'!$B$10,Paramètres!$A$1:$I$89,3,0)*0.475*44/12</f>
        <v>2.1704856017202725E-8</v>
      </c>
      <c r="AX87" s="21">
        <f t="shared" si="60"/>
        <v>6.8604052796756054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-4.5474735088646412E-13</v>
      </c>
      <c r="O88" s="13">
        <f>N88*VLOOKUP('Données projet'!$B$9,Paramètres!$A$1:$I$89,3,0)*VLOOKUP('Données projet'!$B$9,Paramètres!$A$1:$I$89,5,0)</f>
        <v>-2.5420376914553347E-13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512.21337090113502</v>
      </c>
      <c r="T88" s="59">
        <f t="shared" si="88"/>
        <v>621.03633124474163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1.3174281860103654</v>
      </c>
      <c r="AA88" s="21">
        <f>EXP(-LN(2)/25)*AA87+(1-EXP(-LN(2)/25))/(LN(2)/25)*Calculateur!V88*Calculateur!X88*VLOOKUP('Données projet'!$B$9,Paramètres!$A$1:$I$89,3,0)*0.475*44/12</f>
        <v>3.5161507696191165</v>
      </c>
      <c r="AB88" s="21">
        <f>EXP(-LN(2)/2)*AB87+(1-EXP(-LN(2)/2))/(LN(2)/2)*V88*Y88*VLOOKUP('Données projet'!$B$9,Paramètres!$A$1:$I$89,3,0)*0.475*44/12</f>
        <v>3.6961977269965626E-8</v>
      </c>
      <c r="AC88" s="22">
        <f t="shared" si="57"/>
        <v>4.8335789925914598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2.2737367544323206E-13</v>
      </c>
      <c r="AJ88" s="13">
        <f>AI88*VLOOKUP('Données projet'!$B$10,Paramètres!$A$1:$I$89,3,0)*VLOOKUP('Données projet'!$B$10,Paramètres!$A$1:$I$89,5,0)</f>
        <v>1.064108801074326E-13</v>
      </c>
      <c r="AK88" s="13">
        <f t="shared" si="89"/>
        <v>1.5870730813698654E-12</v>
      </c>
      <c r="AL88" s="20">
        <f t="shared" si="58"/>
        <v>2.9494845662396269E-12</v>
      </c>
      <c r="AM88" s="59">
        <f t="shared" si="59"/>
        <v>293.33333333333627</v>
      </c>
      <c r="AN88" s="59">
        <f ca="1">AVERAGE(OFFSET($AM$3,0,0,'Données projet'!$E$10+1,1))-AVERAGE(OFFSET($H$3,0,0,'Données projet'!$E$10+1,1))</f>
        <v>294.78071095255143</v>
      </c>
      <c r="AO88" s="59">
        <f t="shared" si="90"/>
        <v>323.52003392365867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1.385789165445507</v>
      </c>
      <c r="AV88" s="21">
        <f>EXP(-LN(2)/25)*AV87+(1-EXP(-LN(2)/25))/(LN(2)/25)*Calculateur!AQ88*Calculateur!AS88*VLOOKUP('Données projet'!$B$10,Paramètres!$A$1:$I$89,3,0)*0.475*44/12</f>
        <v>5.2979523644904889</v>
      </c>
      <c r="AW88" s="21">
        <f>EXP(-LN(2)/2)*AW87+(1-EXP(-LN(2)/2))/(LN(2)/2)*AQ88*AT88*VLOOKUP('Données projet'!$B$10,Paramètres!$A$1:$I$89,3,0)*0.475*44/12</f>
        <v>1.5347650874441686E-8</v>
      </c>
      <c r="AX88" s="21">
        <f t="shared" si="60"/>
        <v>6.6837415452836471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-4.5474735088646412E-13</v>
      </c>
      <c r="O89" s="13">
        <f>N89*VLOOKUP('Données projet'!$B$9,Paramètres!$A$1:$I$89,3,0)*VLOOKUP('Données projet'!$B$9,Paramètres!$A$1:$I$89,5,0)</f>
        <v>-2.5420376914553347E-13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512.21337090113502</v>
      </c>
      <c r="T89" s="59">
        <f t="shared" si="88"/>
        <v>621.03633124474163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1.2915942228345514</v>
      </c>
      <c r="AA89" s="21">
        <f>EXP(-LN(2)/25)*AA88+(1-EXP(-LN(2)/25))/(LN(2)/25)*Calculateur!V89*Calculateur!X89*VLOOKUP('Données projet'!$B$9,Paramètres!$A$1:$I$89,3,0)*0.475*44/12</f>
        <v>3.4200014419175493</v>
      </c>
      <c r="AB89" s="21">
        <f>EXP(-LN(2)/2)*AB88+(1-EXP(-LN(2)/2))/(LN(2)/2)*V89*Y89*VLOOKUP('Données projet'!$B$9,Paramètres!$A$1:$I$89,3,0)*0.475*44/12</f>
        <v>2.6136064773655728E-8</v>
      </c>
      <c r="AC89" s="22">
        <f t="shared" si="57"/>
        <v>4.7115956908881653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2.2737367544323206E-13</v>
      </c>
      <c r="AJ89" s="13">
        <f>AI89*VLOOKUP('Données projet'!$B$10,Paramètres!$A$1:$I$89,3,0)*VLOOKUP('Données projet'!$B$10,Paramètres!$A$1:$I$89,5,0)</f>
        <v>1.064108801074326E-13</v>
      </c>
      <c r="AK89" s="13">
        <f t="shared" si="89"/>
        <v>1.5870730813698654E-12</v>
      </c>
      <c r="AL89" s="20">
        <f t="shared" si="58"/>
        <v>2.9494845662396269E-12</v>
      </c>
      <c r="AM89" s="59">
        <f t="shared" si="59"/>
        <v>293.33333333333627</v>
      </c>
      <c r="AN89" s="59">
        <f ca="1">AVERAGE(OFFSET($AM$3,0,0,'Données projet'!$E$10+1,1))-AVERAGE(OFFSET($H$3,0,0,'Données projet'!$E$10+1,1))</f>
        <v>294.78071095255143</v>
      </c>
      <c r="AO89" s="59">
        <f t="shared" si="90"/>
        <v>323.52003392365867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1.3586146851590502</v>
      </c>
      <c r="AV89" s="21">
        <f>EXP(-LN(2)/25)*AV88+(1-EXP(-LN(2)/25))/(LN(2)/25)*Calculateur!AQ89*Calculateur!AS89*VLOOKUP('Données projet'!$B$10,Paramètres!$A$1:$I$89,3,0)*0.475*44/12</f>
        <v>5.1530795784762899</v>
      </c>
      <c r="AW89" s="21">
        <f>EXP(-LN(2)/2)*AW88+(1-EXP(-LN(2)/2))/(LN(2)/2)*AQ89*AT89*VLOOKUP('Données projet'!$B$10,Paramètres!$A$1:$I$89,3,0)*0.475*44/12</f>
        <v>1.0852428008601362E-8</v>
      </c>
      <c r="AX89" s="21">
        <f t="shared" si="60"/>
        <v>6.5116942744877679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-4.5474735088646412E-13</v>
      </c>
      <c r="O90" s="13">
        <f>N90*VLOOKUP('Données projet'!$B$9,Paramètres!$A$1:$I$89,3,0)*VLOOKUP('Données projet'!$B$9,Paramètres!$A$1:$I$89,5,0)</f>
        <v>-2.5420376914553347E-13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512.21337090113502</v>
      </c>
      <c r="T90" s="59">
        <f t="shared" si="88"/>
        <v>621.03633124474163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1.2662668479194534</v>
      </c>
      <c r="AA90" s="21">
        <f>EXP(-LN(2)/25)*AA89+(1-EXP(-LN(2)/25))/(LN(2)/25)*Calculateur!V90*Calculateur!X90*VLOOKUP('Données projet'!$B$9,Paramètres!$A$1:$I$89,3,0)*0.475*44/12</f>
        <v>3.3264813226382546</v>
      </c>
      <c r="AB90" s="21">
        <f>EXP(-LN(2)/2)*AB89+(1-EXP(-LN(2)/2))/(LN(2)/2)*V90*Y90*VLOOKUP('Données projet'!$B$9,Paramètres!$A$1:$I$89,3,0)*0.475*44/12</f>
        <v>1.8480988634982813E-8</v>
      </c>
      <c r="AC90" s="22">
        <f t="shared" si="57"/>
        <v>4.5927481890386961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2.2737367544323206E-13</v>
      </c>
      <c r="AJ90" s="13">
        <f>AI90*VLOOKUP('Données projet'!$B$10,Paramètres!$A$1:$I$89,3,0)*VLOOKUP('Données projet'!$B$10,Paramètres!$A$1:$I$89,5,0)</f>
        <v>1.064108801074326E-13</v>
      </c>
      <c r="AK90" s="13">
        <f t="shared" si="89"/>
        <v>1.5870730813698654E-12</v>
      </c>
      <c r="AL90" s="20">
        <f t="shared" si="58"/>
        <v>2.9494845662396269E-12</v>
      </c>
      <c r="AM90" s="59">
        <f t="shared" si="59"/>
        <v>293.33333333333627</v>
      </c>
      <c r="AN90" s="59">
        <f ca="1">AVERAGE(OFFSET($AM$3,0,0,'Données projet'!$E$10+1,1))-AVERAGE(OFFSET($H$3,0,0,'Données projet'!$E$10+1,1))</f>
        <v>294.78071095255143</v>
      </c>
      <c r="AO90" s="59">
        <f t="shared" si="90"/>
        <v>323.52003392365867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1.3319730798562144</v>
      </c>
      <c r="AV90" s="21">
        <f>EXP(-LN(2)/25)*AV89+(1-EXP(-LN(2)/25))/(LN(2)/25)*Calculateur!AQ90*Calculateur!AS90*VLOOKUP('Données projet'!$B$10,Paramètres!$A$1:$I$89,3,0)*0.475*44/12</f>
        <v>5.0121683464141782</v>
      </c>
      <c r="AW90" s="21">
        <f>EXP(-LN(2)/2)*AW89+(1-EXP(-LN(2)/2))/(LN(2)/2)*AQ90*AT90*VLOOKUP('Données projet'!$B$10,Paramètres!$A$1:$I$89,3,0)*0.475*44/12</f>
        <v>7.6738254372208432E-9</v>
      </c>
      <c r="AX90" s="21">
        <f t="shared" si="60"/>
        <v>6.3441414339442179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-4.5474735088646412E-13</v>
      </c>
      <c r="O91" s="13">
        <f>N91*VLOOKUP('Données projet'!$B$9,Paramètres!$A$1:$I$89,3,0)*VLOOKUP('Données projet'!$B$9,Paramètres!$A$1:$I$89,5,0)</f>
        <v>-2.5420376914553347E-13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512.21337090113502</v>
      </c>
      <c r="T91" s="59">
        <f t="shared" si="88"/>
        <v>621.03633124474163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1.2414361273782673</v>
      </c>
      <c r="AA91" s="21">
        <f>EXP(-LN(2)/25)*AA90+(1-EXP(-LN(2)/25))/(LN(2)/25)*Calculateur!V91*Calculateur!X91*VLOOKUP('Données projet'!$B$9,Paramètres!$A$1:$I$89,3,0)*0.475*44/12</f>
        <v>3.2355185159386615</v>
      </c>
      <c r="AB91" s="21">
        <f>EXP(-LN(2)/2)*AB90+(1-EXP(-LN(2)/2))/(LN(2)/2)*V91*Y91*VLOOKUP('Données projet'!$B$9,Paramètres!$A$1:$I$89,3,0)*0.475*44/12</f>
        <v>1.3068032386827864E-8</v>
      </c>
      <c r="AC91" s="22">
        <f t="shared" si="57"/>
        <v>4.4769546563849607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2.2737367544323206E-13</v>
      </c>
      <c r="AJ91" s="13">
        <f>AI91*VLOOKUP('Données projet'!$B$10,Paramètres!$A$1:$I$89,3,0)*VLOOKUP('Données projet'!$B$10,Paramètres!$A$1:$I$89,5,0)</f>
        <v>1.064108801074326E-13</v>
      </c>
      <c r="AK91" s="13">
        <f t="shared" si="89"/>
        <v>1.5870730813698654E-12</v>
      </c>
      <c r="AL91" s="20">
        <f t="shared" si="58"/>
        <v>2.9494845662396269E-12</v>
      </c>
      <c r="AM91" s="59">
        <f t="shared" si="59"/>
        <v>293.33333333333627</v>
      </c>
      <c r="AN91" s="59">
        <f ca="1">AVERAGE(OFFSET($AM$3,0,0,'Données projet'!$E$10+1,1))-AVERAGE(OFFSET($H$3,0,0,'Données projet'!$E$10+1,1))</f>
        <v>294.78071095255143</v>
      </c>
      <c r="AO91" s="59">
        <f t="shared" si="90"/>
        <v>323.52003392365867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1.3058539001835925</v>
      </c>
      <c r="AV91" s="21">
        <f>EXP(-LN(2)/25)*AV90+(1-EXP(-LN(2)/25))/(LN(2)/25)*Calculateur!AQ91*Calculateur!AS91*VLOOKUP('Données projet'!$B$10,Paramètres!$A$1:$I$89,3,0)*0.475*44/12</f>
        <v>4.8751103394030046</v>
      </c>
      <c r="AW91" s="21">
        <f>EXP(-LN(2)/2)*AW90+(1-EXP(-LN(2)/2))/(LN(2)/2)*AQ91*AT91*VLOOKUP('Données projet'!$B$10,Paramètres!$A$1:$I$89,3,0)*0.475*44/12</f>
        <v>5.4262140043006812E-9</v>
      </c>
      <c r="AX91" s="21">
        <f t="shared" si="60"/>
        <v>6.1809642450128113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-4.5474735088646412E-13</v>
      </c>
      <c r="O92" s="13">
        <f>N92*VLOOKUP('Données projet'!$B$9,Paramètres!$A$1:$I$89,3,0)*VLOOKUP('Données projet'!$B$9,Paramètres!$A$1:$I$89,5,0)</f>
        <v>-2.5420376914553347E-13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512.21337090113502</v>
      </c>
      <c r="T92" s="59">
        <f t="shared" si="88"/>
        <v>621.03633124474163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1.2170923221216496</v>
      </c>
      <c r="AA92" s="21">
        <f>EXP(-LN(2)/25)*AA91+(1-EXP(-LN(2)/25))/(LN(2)/25)*Calculateur!V92*Calculateur!X92*VLOOKUP('Données projet'!$B$9,Paramètres!$A$1:$I$89,3,0)*0.475*44/12</f>
        <v>3.1470430919717951</v>
      </c>
      <c r="AB92" s="21">
        <f>EXP(-LN(2)/2)*AB91+(1-EXP(-LN(2)/2))/(LN(2)/2)*V92*Y92*VLOOKUP('Données projet'!$B$9,Paramètres!$A$1:$I$89,3,0)*0.475*44/12</f>
        <v>9.2404943174914065E-9</v>
      </c>
      <c r="AC92" s="22">
        <f t="shared" si="57"/>
        <v>4.3641354233339396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2.2737367544323206E-13</v>
      </c>
      <c r="AJ92" s="13">
        <f>AI92*VLOOKUP('Données projet'!$B$10,Paramètres!$A$1:$I$89,3,0)*VLOOKUP('Données projet'!$B$10,Paramètres!$A$1:$I$89,5,0)</f>
        <v>1.064108801074326E-13</v>
      </c>
      <c r="AK92" s="13">
        <f t="shared" si="89"/>
        <v>1.5870730813698654E-12</v>
      </c>
      <c r="AL92" s="20">
        <f t="shared" si="58"/>
        <v>2.9494845662396269E-12</v>
      </c>
      <c r="AM92" s="59">
        <f t="shared" si="59"/>
        <v>293.33333333333627</v>
      </c>
      <c r="AN92" s="59">
        <f ca="1">AVERAGE(OFFSET($AM$3,0,0,'Données projet'!$E$10+1,1))-AVERAGE(OFFSET($H$3,0,0,'Données projet'!$E$10+1,1))</f>
        <v>294.78071095255143</v>
      </c>
      <c r="AO92" s="59">
        <f t="shared" si="90"/>
        <v>323.52003392365867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1.2802469016932243</v>
      </c>
      <c r="AV92" s="21">
        <f>EXP(-LN(2)/25)*AV91+(1-EXP(-LN(2)/25))/(LN(2)/25)*Calculateur!AQ92*Calculateur!AS92*VLOOKUP('Données projet'!$B$10,Paramètres!$A$1:$I$89,3,0)*0.475*44/12</f>
        <v>4.7418001908011194</v>
      </c>
      <c r="AW92" s="21">
        <f>EXP(-LN(2)/2)*AW91+(1-EXP(-LN(2)/2))/(LN(2)/2)*AQ92*AT92*VLOOKUP('Données projet'!$B$10,Paramètres!$A$1:$I$89,3,0)*0.475*44/12</f>
        <v>3.8369127186104216E-9</v>
      </c>
      <c r="AX92" s="21">
        <f t="shared" si="60"/>
        <v>6.0220470963312565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-4.5474735088646412E-13</v>
      </c>
      <c r="O93" s="13">
        <f>N93*VLOOKUP('Données projet'!$B$9,Paramètres!$A$1:$I$89,3,0)*VLOOKUP('Données projet'!$B$9,Paramètres!$A$1:$I$89,5,0)</f>
        <v>-2.5420376914553347E-13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512.21337090113502</v>
      </c>
      <c r="T93" s="59">
        <f t="shared" si="88"/>
        <v>621.03633124474163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1.1932258840378593</v>
      </c>
      <c r="AA93" s="21">
        <f>EXP(-LN(2)/25)*AA92+(1-EXP(-LN(2)/25))/(LN(2)/25)*Calculateur!V93*Calculateur!X93*VLOOKUP('Données projet'!$B$9,Paramètres!$A$1:$I$89,3,0)*0.475*44/12</f>
        <v>3.0609870331260227</v>
      </c>
      <c r="AB93" s="21">
        <f>EXP(-LN(2)/2)*AB92+(1-EXP(-LN(2)/2))/(LN(2)/2)*V93*Y93*VLOOKUP('Données projet'!$B$9,Paramètres!$A$1:$I$89,3,0)*0.475*44/12</f>
        <v>6.5340161934139319E-9</v>
      </c>
      <c r="AC93" s="22">
        <f t="shared" si="57"/>
        <v>4.2542129236978976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2.2737367544323206E-13</v>
      </c>
      <c r="AJ93" s="13">
        <f>AI93*VLOOKUP('Données projet'!$B$10,Paramètres!$A$1:$I$89,3,0)*VLOOKUP('Données projet'!$B$10,Paramètres!$A$1:$I$89,5,0)</f>
        <v>1.064108801074326E-13</v>
      </c>
      <c r="AK93" s="13">
        <f t="shared" si="89"/>
        <v>1.5870730813698654E-12</v>
      </c>
      <c r="AL93" s="20">
        <f t="shared" si="58"/>
        <v>2.9494845662396269E-12</v>
      </c>
      <c r="AM93" s="59">
        <f t="shared" si="59"/>
        <v>293.33333333333627</v>
      </c>
      <c r="AN93" s="59">
        <f ca="1">AVERAGE(OFFSET($AM$3,0,0,'Données projet'!$E$10+1,1))-AVERAGE(OFFSET($H$3,0,0,'Données projet'!$E$10+1,1))</f>
        <v>294.78071095255143</v>
      </c>
      <c r="AO93" s="59">
        <f t="shared" si="90"/>
        <v>323.52003392365867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1.2551420408245253</v>
      </c>
      <c r="AV93" s="21">
        <f>EXP(-LN(2)/25)*AV92+(1-EXP(-LN(2)/25))/(LN(2)/25)*Calculateur!AQ93*Calculateur!AS93*VLOOKUP('Données projet'!$B$10,Paramètres!$A$1:$I$89,3,0)*0.475*44/12</f>
        <v>4.6121354152232286</v>
      </c>
      <c r="AW93" s="21">
        <f>EXP(-LN(2)/2)*AW92+(1-EXP(-LN(2)/2))/(LN(2)/2)*AQ93*AT93*VLOOKUP('Données projet'!$B$10,Paramètres!$A$1:$I$89,3,0)*0.475*44/12</f>
        <v>2.7131070021503406E-9</v>
      </c>
      <c r="AX93" s="21">
        <f t="shared" si="60"/>
        <v>5.8672774587608609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-4.5474735088646412E-13</v>
      </c>
      <c r="O94" s="13">
        <f>N94*VLOOKUP('Données projet'!$B$9,Paramètres!$A$1:$I$89,3,0)*VLOOKUP('Données projet'!$B$9,Paramètres!$A$1:$I$89,5,0)</f>
        <v>-2.5420376914553347E-13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512.21337090113502</v>
      </c>
      <c r="T94" s="59">
        <f t="shared" si="88"/>
        <v>621.03633124474163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1.1698274522478023</v>
      </c>
      <c r="AA94" s="21">
        <f>EXP(-LN(2)/25)*AA93+(1-EXP(-LN(2)/25))/(LN(2)/25)*Calculateur!V94*Calculateur!X94*VLOOKUP('Données projet'!$B$9,Paramètres!$A$1:$I$89,3,0)*0.475*44/12</f>
        <v>2.9772841817348796</v>
      </c>
      <c r="AB94" s="21">
        <f>EXP(-LN(2)/2)*AB93+(1-EXP(-LN(2)/2))/(LN(2)/2)*V94*Y94*VLOOKUP('Données projet'!$B$9,Paramètres!$A$1:$I$89,3,0)*0.475*44/12</f>
        <v>4.6202471587457032E-9</v>
      </c>
      <c r="AC94" s="22">
        <f t="shared" si="57"/>
        <v>4.1471116386029294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2.2737367544323206E-13</v>
      </c>
      <c r="AJ94" s="13">
        <f>AI94*VLOOKUP('Données projet'!$B$10,Paramètres!$A$1:$I$89,3,0)*VLOOKUP('Données projet'!$B$10,Paramètres!$A$1:$I$89,5,0)</f>
        <v>1.064108801074326E-13</v>
      </c>
      <c r="AK94" s="13">
        <f t="shared" si="89"/>
        <v>1.5870730813698654E-12</v>
      </c>
      <c r="AL94" s="20">
        <f t="shared" si="58"/>
        <v>2.9494845662396269E-12</v>
      </c>
      <c r="AM94" s="59">
        <f t="shared" si="59"/>
        <v>293.33333333333627</v>
      </c>
      <c r="AN94" s="59">
        <f ca="1">AVERAGE(OFFSET($AM$3,0,0,'Données projet'!$E$10+1,1))-AVERAGE(OFFSET($H$3,0,0,'Données projet'!$E$10+1,1))</f>
        <v>294.78071095255143</v>
      </c>
      <c r="AO94" s="59">
        <f t="shared" si="90"/>
        <v>323.52003392365867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1.2305294709650083</v>
      </c>
      <c r="AV94" s="21">
        <f>EXP(-LN(2)/25)*AV93+(1-EXP(-LN(2)/25))/(LN(2)/25)*Calculateur!AQ94*Calculateur!AS94*VLOOKUP('Données projet'!$B$10,Paramètres!$A$1:$I$89,3,0)*0.475*44/12</f>
        <v>4.4860163297522888</v>
      </c>
      <c r="AW94" s="21">
        <f>EXP(-LN(2)/2)*AW93+(1-EXP(-LN(2)/2))/(LN(2)/2)*AQ94*AT94*VLOOKUP('Données projet'!$B$10,Paramètres!$A$1:$I$89,3,0)*0.475*44/12</f>
        <v>1.9184563593052108E-9</v>
      </c>
      <c r="AX94" s="21">
        <f t="shared" si="60"/>
        <v>5.7165458026357534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-4.5474735088646412E-13</v>
      </c>
      <c r="O95" s="13">
        <f>N95*VLOOKUP('Données projet'!$B$9,Paramètres!$A$1:$I$89,3,0)*VLOOKUP('Données projet'!$B$9,Paramètres!$A$1:$I$89,5,0)</f>
        <v>-2.5420376914553347E-13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512.21337090113502</v>
      </c>
      <c r="T95" s="59">
        <f t="shared" si="88"/>
        <v>621.03633124474163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1.146887849433514</v>
      </c>
      <c r="AA95" s="21">
        <f>EXP(-LN(2)/25)*AA94+(1-EXP(-LN(2)/25))/(LN(2)/25)*Calculateur!V95*Calculateur!X95*VLOOKUP('Données projet'!$B$9,Paramètres!$A$1:$I$89,3,0)*0.475*44/12</f>
        <v>2.8958701892167689</v>
      </c>
      <c r="AB95" s="21">
        <f>EXP(-LN(2)/2)*AB94+(1-EXP(-LN(2)/2))/(LN(2)/2)*V95*Y95*VLOOKUP('Données projet'!$B$9,Paramètres!$A$1:$I$89,3,0)*0.475*44/12</f>
        <v>3.2670080967069659E-9</v>
      </c>
      <c r="AC95" s="22">
        <f t="shared" si="57"/>
        <v>4.042758041917291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2.2737367544323206E-13</v>
      </c>
      <c r="AJ95" s="13">
        <f>AI95*VLOOKUP('Données projet'!$B$10,Paramètres!$A$1:$I$89,3,0)*VLOOKUP('Données projet'!$B$10,Paramètres!$A$1:$I$89,5,0)</f>
        <v>1.064108801074326E-13</v>
      </c>
      <c r="AK95" s="13">
        <f t="shared" si="89"/>
        <v>1.5870730813698654E-12</v>
      </c>
      <c r="AL95" s="20">
        <f t="shared" si="58"/>
        <v>2.9494845662396269E-12</v>
      </c>
      <c r="AM95" s="59">
        <f t="shared" si="59"/>
        <v>293.33333333333627</v>
      </c>
      <c r="AN95" s="59">
        <f ca="1">AVERAGE(OFFSET($AM$3,0,0,'Données projet'!$E$10+1,1))-AVERAGE(OFFSET($H$3,0,0,'Données projet'!$E$10+1,1))</f>
        <v>294.78071095255143</v>
      </c>
      <c r="AO95" s="59">
        <f t="shared" si="90"/>
        <v>323.52003392365867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1.2063995385882513</v>
      </c>
      <c r="AV95" s="21">
        <f>EXP(-LN(2)/25)*AV94+(1-EXP(-LN(2)/25))/(LN(2)/25)*Calculateur!AQ95*Calculateur!AS95*VLOOKUP('Données projet'!$B$10,Paramètres!$A$1:$I$89,3,0)*0.475*44/12</f>
        <v>4.3633459773058663</v>
      </c>
      <c r="AW95" s="21">
        <f>EXP(-LN(2)/2)*AW94+(1-EXP(-LN(2)/2))/(LN(2)/2)*AQ95*AT95*VLOOKUP('Données projet'!$B$10,Paramètres!$A$1:$I$89,3,0)*0.475*44/12</f>
        <v>1.3565535010751703E-9</v>
      </c>
      <c r="AX95" s="21">
        <f t="shared" si="60"/>
        <v>5.5697455172506709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-4.5474735088646412E-13</v>
      </c>
      <c r="O96" s="13">
        <f>N96*VLOOKUP('Données projet'!$B$9,Paramètres!$A$1:$I$89,3,0)*VLOOKUP('Données projet'!$B$9,Paramètres!$A$1:$I$89,5,0)</f>
        <v>-2.5420376914553347E-13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512.21337090113502</v>
      </c>
      <c r="T96" s="59">
        <f t="shared" si="88"/>
        <v>621.03633124474163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1.1243980782386378</v>
      </c>
      <c r="AA96" s="21">
        <f>EXP(-LN(2)/25)*AA95+(1-EXP(-LN(2)/25))/(LN(2)/25)*Calculateur!V96*Calculateur!X96*VLOOKUP('Données projet'!$B$9,Paramètres!$A$1:$I$89,3,0)*0.475*44/12</f>
        <v>2.8166824666054415</v>
      </c>
      <c r="AB96" s="21">
        <f>EXP(-LN(2)/2)*AB95+(1-EXP(-LN(2)/2))/(LN(2)/2)*V96*Y96*VLOOKUP('Données projet'!$B$9,Paramètres!$A$1:$I$89,3,0)*0.475*44/12</f>
        <v>2.3101235793728516E-9</v>
      </c>
      <c r="AC96" s="22">
        <f t="shared" si="57"/>
        <v>3.9410805471542032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2.2737367544323206E-13</v>
      </c>
      <c r="AJ96" s="13">
        <f>AI96*VLOOKUP('Données projet'!$B$10,Paramètres!$A$1:$I$89,3,0)*VLOOKUP('Données projet'!$B$10,Paramètres!$A$1:$I$89,5,0)</f>
        <v>1.064108801074326E-13</v>
      </c>
      <c r="AK96" s="13">
        <f t="shared" si="89"/>
        <v>1.5870730813698654E-12</v>
      </c>
      <c r="AL96" s="20">
        <f t="shared" si="58"/>
        <v>2.9494845662396269E-12</v>
      </c>
      <c r="AM96" s="59">
        <f t="shared" si="59"/>
        <v>293.33333333333627</v>
      </c>
      <c r="AN96" s="59">
        <f ca="1">AVERAGE(OFFSET($AM$3,0,0,'Données projet'!$E$10+1,1))-AVERAGE(OFFSET($H$3,0,0,'Données projet'!$E$10+1,1))</f>
        <v>294.78071095255143</v>
      </c>
      <c r="AO96" s="59">
        <f t="shared" si="90"/>
        <v>323.52003392365867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1.1827427794675969</v>
      </c>
      <c r="AV96" s="21">
        <f>EXP(-LN(2)/25)*AV95+(1-EXP(-LN(2)/25))/(LN(2)/25)*Calculateur!AQ96*Calculateur!AS96*VLOOKUP('Données projet'!$B$10,Paramètres!$A$1:$I$89,3,0)*0.475*44/12</f>
        <v>4.2440300520980454</v>
      </c>
      <c r="AW96" s="21">
        <f>EXP(-LN(2)/2)*AW95+(1-EXP(-LN(2)/2))/(LN(2)/2)*AQ96*AT96*VLOOKUP('Données projet'!$B$10,Paramètres!$A$1:$I$89,3,0)*0.475*44/12</f>
        <v>9.5922817965260541E-10</v>
      </c>
      <c r="AX96" s="21">
        <f t="shared" si="60"/>
        <v>5.426772832524871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-4.5474735088646412E-13</v>
      </c>
      <c r="O97" s="13">
        <f>N97*VLOOKUP('Données projet'!$B$9,Paramètres!$A$1:$I$89,3,0)*VLOOKUP('Données projet'!$B$9,Paramètres!$A$1:$I$89,5,0)</f>
        <v>-2.5420376914553347E-13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512.21337090113502</v>
      </c>
      <c r="T97" s="59">
        <f t="shared" si="88"/>
        <v>621.03633124474163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1.1023493177394872</v>
      </c>
      <c r="AA97" s="21">
        <f>EXP(-LN(2)/25)*AA96+(1-EXP(-LN(2)/25))/(LN(2)/25)*Calculateur!V97*Calculateur!X97*VLOOKUP('Données projet'!$B$9,Paramètres!$A$1:$I$89,3,0)*0.475*44/12</f>
        <v>2.7396601364332223</v>
      </c>
      <c r="AB97" s="21">
        <f>EXP(-LN(2)/2)*AB96+(1-EXP(-LN(2)/2))/(LN(2)/2)*V97*Y97*VLOOKUP('Données projet'!$B$9,Paramètres!$A$1:$I$89,3,0)*0.475*44/12</f>
        <v>1.633504048353483E-9</v>
      </c>
      <c r="AC97" s="22">
        <f t="shared" si="57"/>
        <v>3.8420094558062132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2.2737367544323206E-13</v>
      </c>
      <c r="AJ97" s="13">
        <f>AI97*VLOOKUP('Données projet'!$B$10,Paramètres!$A$1:$I$89,3,0)*VLOOKUP('Données projet'!$B$10,Paramètres!$A$1:$I$89,5,0)</f>
        <v>1.064108801074326E-13</v>
      </c>
      <c r="AK97" s="13">
        <f t="shared" si="89"/>
        <v>1.5870730813698654E-12</v>
      </c>
      <c r="AL97" s="20">
        <f t="shared" si="58"/>
        <v>2.9494845662396269E-12</v>
      </c>
      <c r="AM97" s="59">
        <f t="shared" si="59"/>
        <v>293.33333333333627</v>
      </c>
      <c r="AN97" s="59">
        <f ca="1">AVERAGE(OFFSET($AM$3,0,0,'Données projet'!$E$10+1,1))-AVERAGE(OFFSET($H$3,0,0,'Données projet'!$E$10+1,1))</f>
        <v>294.78071095255143</v>
      </c>
      <c r="AO97" s="59">
        <f t="shared" si="90"/>
        <v>323.52003392365867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1.1595499149641002</v>
      </c>
      <c r="AV97" s="21">
        <f>EXP(-LN(2)/25)*AV96+(1-EXP(-LN(2)/25))/(LN(2)/25)*Calculateur!AQ97*Calculateur!AS97*VLOOKUP('Données projet'!$B$10,Paramètres!$A$1:$I$89,3,0)*0.475*44/12</f>
        <v>4.1279768271395838</v>
      </c>
      <c r="AW97" s="21">
        <f>EXP(-LN(2)/2)*AW96+(1-EXP(-LN(2)/2))/(LN(2)/2)*AQ97*AT97*VLOOKUP('Données projet'!$B$10,Paramètres!$A$1:$I$89,3,0)*0.475*44/12</f>
        <v>6.7827675053758515E-10</v>
      </c>
      <c r="AX97" s="21">
        <f t="shared" si="60"/>
        <v>5.287526742781961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-4.5474735088646412E-13</v>
      </c>
      <c r="O98" s="13">
        <f>N98*VLOOKUP('Données projet'!$B$9,Paramètres!$A$1:$I$89,3,0)*VLOOKUP('Données projet'!$B$9,Paramètres!$A$1:$I$89,5,0)</f>
        <v>-2.5420376914553347E-13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512.21337090113502</v>
      </c>
      <c r="T98" s="59">
        <f t="shared" si="88"/>
        <v>621.03633124474163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1.0807329199853091</v>
      </c>
      <c r="AA98" s="21">
        <f>EXP(-LN(2)/25)*AA97+(1-EXP(-LN(2)/25))/(LN(2)/25)*Calculateur!V98*Calculateur!X98*VLOOKUP('Données projet'!$B$9,Paramètres!$A$1:$I$89,3,0)*0.475*44/12</f>
        <v>2.6647439859299906</v>
      </c>
      <c r="AB98" s="21">
        <f>EXP(-LN(2)/2)*AB97+(1-EXP(-LN(2)/2))/(LN(2)/2)*V98*Y98*VLOOKUP('Données projet'!$B$9,Paramètres!$A$1:$I$89,3,0)*0.475*44/12</f>
        <v>1.1550617896864258E-9</v>
      </c>
      <c r="AC98" s="22">
        <f t="shared" si="57"/>
        <v>3.7454769070703615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2.2737367544323206E-13</v>
      </c>
      <c r="AJ98" s="13">
        <f>AI98*VLOOKUP('Données projet'!$B$10,Paramètres!$A$1:$I$89,3,0)*VLOOKUP('Données projet'!$B$10,Paramètres!$A$1:$I$89,5,0)</f>
        <v>1.064108801074326E-13</v>
      </c>
      <c r="AK98" s="13">
        <f t="shared" si="89"/>
        <v>1.5870730813698654E-12</v>
      </c>
      <c r="AL98" s="20">
        <f t="shared" si="58"/>
        <v>2.9494845662396269E-12</v>
      </c>
      <c r="AM98" s="59">
        <f t="shared" si="59"/>
        <v>293.33333333333627</v>
      </c>
      <c r="AN98" s="59">
        <f ca="1">AVERAGE(OFFSET($AM$3,0,0,'Données projet'!$E$10+1,1))-AVERAGE(OFFSET($H$3,0,0,'Données projet'!$E$10+1,1))</f>
        <v>294.78071095255143</v>
      </c>
      <c r="AO98" s="59">
        <f t="shared" si="90"/>
        <v>323.52003392365867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1.1368118483872667</v>
      </c>
      <c r="AV98" s="21">
        <f>EXP(-LN(2)/25)*AV97+(1-EXP(-LN(2)/25))/(LN(2)/25)*Calculateur!AQ98*Calculateur!AS98*VLOOKUP('Données projet'!$B$10,Paramètres!$A$1:$I$89,3,0)*0.475*44/12</f>
        <v>4.015097083720585</v>
      </c>
      <c r="AW98" s="21">
        <f>EXP(-LN(2)/2)*AW97+(1-EXP(-LN(2)/2))/(LN(2)/2)*AQ98*AT98*VLOOKUP('Données projet'!$B$10,Paramètres!$A$1:$I$89,3,0)*0.475*44/12</f>
        <v>4.796140898263027E-10</v>
      </c>
      <c r="AX98" s="21">
        <f t="shared" si="60"/>
        <v>5.1519089325874656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-4.5474735088646412E-13</v>
      </c>
      <c r="O99" s="13">
        <f>N99*VLOOKUP('Données projet'!$B$9,Paramètres!$A$1:$I$89,3,0)*VLOOKUP('Données projet'!$B$9,Paramètres!$A$1:$I$89,5,0)</f>
        <v>-2.5420376914553347E-13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512.21337090113502</v>
      </c>
      <c r="T99" s="59">
        <f t="shared" si="88"/>
        <v>621.03633124474163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1.0595404066063896</v>
      </c>
      <c r="AA99" s="21">
        <f>EXP(-LN(2)/25)*AA98+(1-EXP(-LN(2)/25))/(LN(2)/25)*Calculateur!V99*Calculateur!X99*VLOOKUP('Données projet'!$B$9,Paramètres!$A$1:$I$89,3,0)*0.475*44/12</f>
        <v>2.5918764215019392</v>
      </c>
      <c r="AB99" s="21">
        <f>EXP(-LN(2)/2)*AB98+(1-EXP(-LN(2)/2))/(LN(2)/2)*V99*Y99*VLOOKUP('Données projet'!$B$9,Paramètres!$A$1:$I$89,3,0)*0.475*44/12</f>
        <v>8.1675202417674149E-10</v>
      </c>
      <c r="AC99" s="22">
        <f t="shared" si="57"/>
        <v>3.6514168289250808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2.2737367544323206E-13</v>
      </c>
      <c r="AJ99" s="13">
        <f>AI99*VLOOKUP('Données projet'!$B$10,Paramètres!$A$1:$I$89,3,0)*VLOOKUP('Données projet'!$B$10,Paramètres!$A$1:$I$89,5,0)</f>
        <v>1.064108801074326E-13</v>
      </c>
      <c r="AK99" s="13">
        <f t="shared" si="89"/>
        <v>1.5870730813698654E-12</v>
      </c>
      <c r="AL99" s="20">
        <f t="shared" si="58"/>
        <v>2.9494845662396269E-12</v>
      </c>
      <c r="AM99" s="59">
        <f t="shared" si="59"/>
        <v>293.33333333333627</v>
      </c>
      <c r="AN99" s="59">
        <f ca="1">AVERAGE(OFFSET($AM$3,0,0,'Données projet'!$E$10+1,1))-AVERAGE(OFFSET($H$3,0,0,'Données projet'!$E$10+1,1))</f>
        <v>294.78071095255143</v>
      </c>
      <c r="AO99" s="59">
        <f t="shared" si="90"/>
        <v>323.52003392365867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1.1145196614271535</v>
      </c>
      <c r="AV99" s="21">
        <f>EXP(-LN(2)/25)*AV98+(1-EXP(-LN(2)/25))/(LN(2)/25)*Calculateur!AQ99*Calculateur!AS99*VLOOKUP('Données projet'!$B$10,Paramètres!$A$1:$I$89,3,0)*0.475*44/12</f>
        <v>3.9053040428214665</v>
      </c>
      <c r="AW99" s="21">
        <f>EXP(-LN(2)/2)*AW98+(1-EXP(-LN(2)/2))/(LN(2)/2)*AQ99*AT99*VLOOKUP('Données projet'!$B$10,Paramètres!$A$1:$I$89,3,0)*0.475*44/12</f>
        <v>3.3913837526879258E-10</v>
      </c>
      <c r="AX99" s="21">
        <f t="shared" si="60"/>
        <v>5.0198237045877585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-4.5474735088646412E-13</v>
      </c>
      <c r="O100" s="13">
        <f>N100*VLOOKUP('Données projet'!$B$9,Paramètres!$A$1:$I$89,3,0)*VLOOKUP('Données projet'!$B$9,Paramètres!$A$1:$I$89,5,0)</f>
        <v>-2.5420376914553347E-13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512.21337090113502</v>
      </c>
      <c r="T100" s="59">
        <f t="shared" si="88"/>
        <v>621.03633124474163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1.0387634654886739</v>
      </c>
      <c r="AA100" s="21">
        <f>EXP(-LN(2)/25)*AA99+(1-EXP(-LN(2)/25))/(LN(2)/25)*Calculateur!V100*Calculateur!X100*VLOOKUP('Données projet'!$B$9,Paramètres!$A$1:$I$89,3,0)*0.475*44/12</f>
        <v>2.5210014244551116</v>
      </c>
      <c r="AB100" s="21">
        <f>EXP(-LN(2)/2)*AB99+(1-EXP(-LN(2)/2))/(LN(2)/2)*V100*Y100*VLOOKUP('Données projet'!$B$9,Paramètres!$A$1:$I$89,3,0)*0.475*44/12</f>
        <v>5.775308948432129E-10</v>
      </c>
      <c r="AC100" s="22">
        <f t="shared" si="57"/>
        <v>3.5597648905213166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2.2737367544323206E-13</v>
      </c>
      <c r="AJ100" s="13">
        <f>AI100*VLOOKUP('Données projet'!$B$10,Paramètres!$A$1:$I$89,3,0)*VLOOKUP('Données projet'!$B$10,Paramètres!$A$1:$I$89,5,0)</f>
        <v>1.064108801074326E-13</v>
      </c>
      <c r="AK100" s="13">
        <f t="shared" si="89"/>
        <v>1.5870730813698654E-12</v>
      </c>
      <c r="AL100" s="20">
        <f t="shared" si="58"/>
        <v>2.9494845662396269E-12</v>
      </c>
      <c r="AM100" s="59">
        <f t="shared" si="59"/>
        <v>293.33333333333627</v>
      </c>
      <c r="AN100" s="59">
        <f ca="1">AVERAGE(OFFSET($AM$3,0,0,'Données projet'!$E$10+1,1))-AVERAGE(OFFSET($H$3,0,0,'Données projet'!$E$10+1,1))</f>
        <v>294.78071095255143</v>
      </c>
      <c r="AO100" s="59">
        <f t="shared" si="90"/>
        <v>323.52003392365867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1.0926646106564368</v>
      </c>
      <c r="AV100" s="21">
        <f>EXP(-LN(2)/25)*AV99+(1-EXP(-LN(2)/25))/(LN(2)/25)*Calculateur!AQ100*Calculateur!AS100*VLOOKUP('Données projet'!$B$10,Paramètres!$A$1:$I$89,3,0)*0.475*44/12</f>
        <v>3.7985132983994996</v>
      </c>
      <c r="AW100" s="21">
        <f>EXP(-LN(2)/2)*AW99+(1-EXP(-LN(2)/2))/(LN(2)/2)*AQ100*AT100*VLOOKUP('Données projet'!$B$10,Paramètres!$A$1:$I$89,3,0)*0.475*44/12</f>
        <v>2.3980704491315135E-10</v>
      </c>
      <c r="AX100" s="21">
        <f t="shared" si="60"/>
        <v>4.8911779092957435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-4.5474735088646412E-13</v>
      </c>
      <c r="O101" s="13">
        <f>N101*VLOOKUP('Données projet'!$B$9,Paramètres!$A$1:$I$89,3,0)*VLOOKUP('Données projet'!$B$9,Paramètres!$A$1:$I$89,5,0)</f>
        <v>-2.5420376914553347E-13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512.21337090113502</v>
      </c>
      <c r="T101" s="59">
        <f t="shared" si="88"/>
        <v>621.03633124474163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1.0183939475135939</v>
      </c>
      <c r="AA101" s="21">
        <f>EXP(-LN(2)/25)*AA100+(1-EXP(-LN(2)/25))/(LN(2)/25)*Calculateur!V101*Calculateur!X101*VLOOKUP('Données projet'!$B$9,Paramètres!$A$1:$I$89,3,0)*0.475*44/12</f>
        <v>2.4520645079296832</v>
      </c>
      <c r="AB101" s="21">
        <f>EXP(-LN(2)/2)*AB100+(1-EXP(-LN(2)/2))/(LN(2)/2)*V101*Y101*VLOOKUP('Données projet'!$B$9,Paramètres!$A$1:$I$89,3,0)*0.475*44/12</f>
        <v>4.0837601208837074E-10</v>
      </c>
      <c r="AC101" s="22">
        <f t="shared" si="57"/>
        <v>3.4704584558516531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2.2737367544323206E-13</v>
      </c>
      <c r="AJ101" s="13">
        <f>AI101*VLOOKUP('Données projet'!$B$10,Paramètres!$A$1:$I$89,3,0)*VLOOKUP('Données projet'!$B$10,Paramètres!$A$1:$I$89,5,0)</f>
        <v>1.064108801074326E-13</v>
      </c>
      <c r="AK101" s="13">
        <f t="shared" si="89"/>
        <v>1.5870730813698654E-12</v>
      </c>
      <c r="AL101" s="20">
        <f t="shared" si="58"/>
        <v>2.9494845662396269E-12</v>
      </c>
      <c r="AM101" s="59">
        <f t="shared" si="59"/>
        <v>293.33333333333627</v>
      </c>
      <c r="AN101" s="59">
        <f ca="1">AVERAGE(OFFSET($AM$3,0,0,'Données projet'!$E$10+1,1))-AVERAGE(OFFSET($H$3,0,0,'Données projet'!$E$10+1,1))</f>
        <v>294.78071095255143</v>
      </c>
      <c r="AO101" s="59">
        <f t="shared" si="90"/>
        <v>323.52003392365867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1.0712381241010691</v>
      </c>
      <c r="AV101" s="21">
        <f>EXP(-LN(2)/25)*AV100+(1-EXP(-LN(2)/25))/(LN(2)/25)*Calculateur!AQ101*Calculateur!AS101*VLOOKUP('Données projet'!$B$10,Paramètres!$A$1:$I$89,3,0)*0.475*44/12</f>
        <v>3.6946427524996324</v>
      </c>
      <c r="AW101" s="21">
        <f>EXP(-LN(2)/2)*AW100+(1-EXP(-LN(2)/2))/(LN(2)/2)*AQ101*AT101*VLOOKUP('Données projet'!$B$10,Paramètres!$A$1:$I$89,3,0)*0.475*44/12</f>
        <v>1.6956918763439629E-10</v>
      </c>
      <c r="AX101" s="21">
        <f t="shared" si="60"/>
        <v>4.7658808767702707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-4.5474735088646412E-13</v>
      </c>
      <c r="O102" s="13">
        <f>N102*VLOOKUP('Données projet'!$B$9,Paramètres!$A$1:$I$89,3,0)*VLOOKUP('Données projet'!$B$9,Paramètres!$A$1:$I$89,5,0)</f>
        <v>-2.5420376914553347E-13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512.21337090113502</v>
      </c>
      <c r="T102" s="59">
        <f t="shared" si="88"/>
        <v>621.03633124474163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0.99842386336182598</v>
      </c>
      <c r="AA102" s="21">
        <f>EXP(-LN(2)/25)*AA101+(1-EXP(-LN(2)/25))/(LN(2)/25)*Calculateur!V102*Calculateur!X102*VLOOKUP('Données projet'!$B$9,Paramètres!$A$1:$I$89,3,0)*0.475*44/12</f>
        <v>2.3850126750118776</v>
      </c>
      <c r="AB102" s="21">
        <f>EXP(-LN(2)/2)*AB101+(1-EXP(-LN(2)/2))/(LN(2)/2)*V102*Y102*VLOOKUP('Données projet'!$B$9,Paramètres!$A$1:$I$89,3,0)*0.475*44/12</f>
        <v>2.8876544742160645E-10</v>
      </c>
      <c r="AC102" s="22">
        <f t="shared" si="57"/>
        <v>3.383436538662469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2.2737367544323206E-13</v>
      </c>
      <c r="AJ102" s="13">
        <f>AI102*VLOOKUP('Données projet'!$B$10,Paramètres!$A$1:$I$89,3,0)*VLOOKUP('Données projet'!$B$10,Paramètres!$A$1:$I$89,5,0)</f>
        <v>1.064108801074326E-13</v>
      </c>
      <c r="AK102" s="13">
        <f t="shared" si="89"/>
        <v>1.5870730813698654E-12</v>
      </c>
      <c r="AL102" s="20">
        <f t="shared" si="58"/>
        <v>2.9494845662396269E-12</v>
      </c>
      <c r="AM102" s="59">
        <f t="shared" si="59"/>
        <v>293.33333333333627</v>
      </c>
      <c r="AN102" s="59">
        <f ca="1">AVERAGE(OFFSET($AM$3,0,0,'Données projet'!$E$10+1,1))-AVERAGE(OFFSET($H$3,0,0,'Données projet'!$E$10+1,1))</f>
        <v>294.78071095255143</v>
      </c>
      <c r="AO102" s="59">
        <f t="shared" si="90"/>
        <v>323.52003392365867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1.0502317978781859</v>
      </c>
      <c r="AV102" s="21">
        <f>EXP(-LN(2)/25)*AV101+(1-EXP(-LN(2)/25))/(LN(2)/25)*Calculateur!AQ102*Calculateur!AS102*VLOOKUP('Données projet'!$B$10,Paramètres!$A$1:$I$89,3,0)*0.475*44/12</f>
        <v>3.593612552139712</v>
      </c>
      <c r="AW102" s="21">
        <f>EXP(-LN(2)/2)*AW101+(1-EXP(-LN(2)/2))/(LN(2)/2)*AQ102*AT102*VLOOKUP('Données projet'!$B$10,Paramètres!$A$1:$I$89,3,0)*0.475*44/12</f>
        <v>1.1990352245657568E-10</v>
      </c>
      <c r="AX102" s="21">
        <f t="shared" si="60"/>
        <v>4.6438443501378011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-4.5474735088646412E-13</v>
      </c>
      <c r="O103" s="13">
        <f>N103*VLOOKUP('Données projet'!$B$9,Paramètres!$A$1:$I$89,3,0)*VLOOKUP('Données projet'!$B$9,Paramètres!$A$1:$I$89,5,0)</f>
        <v>-2.5420376914553347E-13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512.21337090113502</v>
      </c>
      <c r="T103" s="59">
        <f t="shared" si="88"/>
        <v>621.03633124474163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0.97884538037972557</v>
      </c>
      <c r="AA103" s="21">
        <f>EXP(-LN(2)/25)*AA102+(1-EXP(-LN(2)/25))/(LN(2)/25)*Calculateur!V103*Calculateur!X103*VLOOKUP('Données projet'!$B$9,Paramètres!$A$1:$I$89,3,0)*0.475*44/12</f>
        <v>2.3197943779913124</v>
      </c>
      <c r="AB103" s="21">
        <f>EXP(-LN(2)/2)*AB102+(1-EXP(-LN(2)/2))/(LN(2)/2)*V103*Y103*VLOOKUP('Données projet'!$B$9,Paramètres!$A$1:$I$89,3,0)*0.475*44/12</f>
        <v>2.0418800604418537E-10</v>
      </c>
      <c r="AC103" s="22">
        <f t="shared" si="57"/>
        <v>3.2986397585752263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2.2737367544323206E-13</v>
      </c>
      <c r="AJ103" s="13">
        <f>AI103*VLOOKUP('Données projet'!$B$10,Paramètres!$A$1:$I$89,3,0)*VLOOKUP('Données projet'!$B$10,Paramètres!$A$1:$I$89,5,0)</f>
        <v>1.064108801074326E-13</v>
      </c>
      <c r="AK103" s="13">
        <f t="shared" si="89"/>
        <v>1.5870730813698654E-12</v>
      </c>
      <c r="AL103" s="20">
        <f t="shared" si="58"/>
        <v>2.9494845662396269E-12</v>
      </c>
      <c r="AM103" s="59">
        <f t="shared" si="59"/>
        <v>293.33333333333627</v>
      </c>
      <c r="AN103" s="59">
        <f ca="1">AVERAGE(OFFSET($AM$3,0,0,'Données projet'!$E$10+1,1))-AVERAGE(OFFSET($H$3,0,0,'Données projet'!$E$10+1,1))</f>
        <v>294.78071095255143</v>
      </c>
      <c r="AO103" s="59">
        <f t="shared" si="90"/>
        <v>323.52003392365867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1.0296373928999396</v>
      </c>
      <c r="AV103" s="21">
        <f>EXP(-LN(2)/25)*AV102+(1-EXP(-LN(2)/25))/(LN(2)/25)*Calculateur!AQ103*Calculateur!AS103*VLOOKUP('Données projet'!$B$10,Paramètres!$A$1:$I$89,3,0)*0.475*44/12</f>
        <v>3.495345027921581</v>
      </c>
      <c r="AW103" s="21">
        <f>EXP(-LN(2)/2)*AW102+(1-EXP(-LN(2)/2))/(LN(2)/2)*AQ103*AT103*VLOOKUP('Données projet'!$B$10,Paramètres!$A$1:$I$89,3,0)*0.475*44/12</f>
        <v>8.4784593817198144E-11</v>
      </c>
      <c r="AX103" s="21">
        <f t="shared" si="60"/>
        <v>4.524982420906305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-4.5474735088646412E-13</v>
      </c>
      <c r="O104" s="13">
        <f>N104*VLOOKUP('Données projet'!$B$9,Paramètres!$A$1:$I$89,3,0)*VLOOKUP('Données projet'!$B$9,Paramètres!$A$1:$I$89,5,0)</f>
        <v>-2.5420376914553347E-13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512.21337090113502</v>
      </c>
      <c r="T104" s="59">
        <f t="shared" si="88"/>
        <v>621.03633124474163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0.95965081950720865</v>
      </c>
      <c r="AA104" s="21">
        <f>EXP(-LN(2)/25)*AA103+(1-EXP(-LN(2)/25))/(LN(2)/25)*Calculateur!V104*Calculateur!X104*VLOOKUP('Données projet'!$B$9,Paramètres!$A$1:$I$89,3,0)*0.475*44/12</f>
        <v>2.2563594787324557</v>
      </c>
      <c r="AB104" s="21">
        <f>EXP(-LN(2)/2)*AB103+(1-EXP(-LN(2)/2))/(LN(2)/2)*V104*Y104*VLOOKUP('Données projet'!$B$9,Paramètres!$A$1:$I$89,3,0)*0.475*44/12</f>
        <v>1.4438272371080323E-10</v>
      </c>
      <c r="AC104" s="22">
        <f t="shared" si="57"/>
        <v>3.2160102983840471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2.2737367544323206E-13</v>
      </c>
      <c r="AJ104" s="13">
        <f>AI104*VLOOKUP('Données projet'!$B$10,Paramètres!$A$1:$I$89,3,0)*VLOOKUP('Données projet'!$B$10,Paramètres!$A$1:$I$89,5,0)</f>
        <v>1.064108801074326E-13</v>
      </c>
      <c r="AK104" s="13">
        <f t="shared" si="89"/>
        <v>1.5870730813698654E-12</v>
      </c>
      <c r="AL104" s="20">
        <f t="shared" si="58"/>
        <v>2.9494845662396269E-12</v>
      </c>
      <c r="AM104" s="59">
        <f t="shared" si="59"/>
        <v>293.33333333333627</v>
      </c>
      <c r="AN104" s="59">
        <f ca="1">AVERAGE(OFFSET($AM$3,0,0,'Données projet'!$E$10+1,1))-AVERAGE(OFFSET($H$3,0,0,'Données projet'!$E$10+1,1))</f>
        <v>294.78071095255143</v>
      </c>
      <c r="AO104" s="59">
        <f t="shared" si="90"/>
        <v>323.52003392365867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1.00944683164197</v>
      </c>
      <c r="AV104" s="21">
        <f>EXP(-LN(2)/25)*AV103+(1-EXP(-LN(2)/25))/(LN(2)/25)*Calculateur!AQ104*Calculateur!AS104*VLOOKUP('Données projet'!$B$10,Paramètres!$A$1:$I$89,3,0)*0.475*44/12</f>
        <v>3.3997646343208592</v>
      </c>
      <c r="AW104" s="21">
        <f>EXP(-LN(2)/2)*AW103+(1-EXP(-LN(2)/2))/(LN(2)/2)*AQ104*AT104*VLOOKUP('Données projet'!$B$10,Paramètres!$A$1:$I$89,3,0)*0.475*44/12</f>
        <v>5.9951761228287838E-11</v>
      </c>
      <c r="AX104" s="21">
        <f t="shared" si="60"/>
        <v>4.4092114660227812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-4.5474735088646412E-13</v>
      </c>
      <c r="O105" s="13">
        <f>N105*VLOOKUP('Données projet'!$B$9,Paramètres!$A$1:$I$89,3,0)*VLOOKUP('Données projet'!$B$9,Paramètres!$A$1:$I$89,5,0)</f>
        <v>-2.5420376914553347E-13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512.21337090113502</v>
      </c>
      <c r="T105" s="59">
        <f t="shared" si="88"/>
        <v>621.03633124474163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0.94083265226587576</v>
      </c>
      <c r="AA105" s="21">
        <f>EXP(-LN(2)/25)*AA104+(1-EXP(-LN(2)/25))/(LN(2)/25)*Calculateur!V105*Calculateur!X105*VLOOKUP('Données projet'!$B$9,Paramètres!$A$1:$I$89,3,0)*0.475*44/12</f>
        <v>2.1946592101297289</v>
      </c>
      <c r="AB105" s="21">
        <f>EXP(-LN(2)/2)*AB104+(1-EXP(-LN(2)/2))/(LN(2)/2)*V105*Y105*VLOOKUP('Données projet'!$B$9,Paramètres!$A$1:$I$89,3,0)*0.475*44/12</f>
        <v>1.0209400302209269E-10</v>
      </c>
      <c r="AC105" s="22">
        <f t="shared" si="57"/>
        <v>3.1354918624976986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2.2737367544323206E-13</v>
      </c>
      <c r="AJ105" s="13">
        <f>AI105*VLOOKUP('Données projet'!$B$10,Paramètres!$A$1:$I$89,3,0)*VLOOKUP('Données projet'!$B$10,Paramètres!$A$1:$I$89,5,0)</f>
        <v>1.064108801074326E-13</v>
      </c>
      <c r="AK105" s="13">
        <f t="shared" si="89"/>
        <v>1.5870730813698654E-12</v>
      </c>
      <c r="AL105" s="20">
        <f t="shared" si="58"/>
        <v>2.9494845662396269E-12</v>
      </c>
      <c r="AM105" s="59">
        <f t="shared" si="59"/>
        <v>293.33333333333627</v>
      </c>
      <c r="AN105" s="59">
        <f ca="1">AVERAGE(OFFSET($AM$3,0,0,'Données projet'!$E$10+1,1))-AVERAGE(OFFSET($H$3,0,0,'Données projet'!$E$10+1,1))</f>
        <v>294.78071095255143</v>
      </c>
      <c r="AO105" s="59">
        <f t="shared" si="90"/>
        <v>323.52003392365867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0.98965219497524282</v>
      </c>
      <c r="AV105" s="21">
        <f>EXP(-LN(2)/25)*AV104+(1-EXP(-LN(2)/25))/(LN(2)/25)*Calculateur!AQ105*Calculateur!AS105*VLOOKUP('Données projet'!$B$10,Paramètres!$A$1:$I$89,3,0)*0.475*44/12</f>
        <v>3.3067978916095035</v>
      </c>
      <c r="AW105" s="21">
        <f>EXP(-LN(2)/2)*AW104+(1-EXP(-LN(2)/2))/(LN(2)/2)*AQ105*AT105*VLOOKUP('Données projet'!$B$10,Paramètres!$A$1:$I$89,3,0)*0.475*44/12</f>
        <v>4.2392296908599072E-11</v>
      </c>
      <c r="AX105" s="21">
        <f t="shared" si="60"/>
        <v>4.2964500866271385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-4.5474735088646412E-13</v>
      </c>
      <c r="O106" s="13">
        <f>N106*VLOOKUP('Données projet'!$B$9,Paramètres!$A$1:$I$89,3,0)*VLOOKUP('Données projet'!$B$9,Paramètres!$A$1:$I$89,5,0)</f>
        <v>-2.5420376914553347E-13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512.21337090113502</v>
      </c>
      <c r="T106" s="59">
        <f t="shared" si="88"/>
        <v>621.03633124474163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0.92238349780619666</v>
      </c>
      <c r="AA106" s="21">
        <f>EXP(-LN(2)/25)*AA105+(1-EXP(-LN(2)/25))/(LN(2)/25)*Calculateur!V106*Calculateur!X106*VLOOKUP('Données projet'!$B$9,Paramètres!$A$1:$I$89,3,0)*0.475*44/12</f>
        <v>2.1346461386166196</v>
      </c>
      <c r="AB106" s="21">
        <f>EXP(-LN(2)/2)*AB105+(1-EXP(-LN(2)/2))/(LN(2)/2)*V106*Y106*VLOOKUP('Données projet'!$B$9,Paramètres!$A$1:$I$89,3,0)*0.475*44/12</f>
        <v>7.2191361855401613E-11</v>
      </c>
      <c r="AC106" s="22">
        <f t="shared" si="57"/>
        <v>3.0570296364950074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2.2737367544323206E-13</v>
      </c>
      <c r="AJ106" s="13">
        <f>AI106*VLOOKUP('Données projet'!$B$10,Paramètres!$A$1:$I$89,3,0)*VLOOKUP('Données projet'!$B$10,Paramètres!$A$1:$I$89,5,0)</f>
        <v>1.064108801074326E-13</v>
      </c>
      <c r="AK106" s="13">
        <f t="shared" si="89"/>
        <v>1.5870730813698654E-12</v>
      </c>
      <c r="AL106" s="20">
        <f t="shared" si="58"/>
        <v>2.9494845662396269E-12</v>
      </c>
      <c r="AM106" s="59">
        <f t="shared" si="59"/>
        <v>293.33333333333627</v>
      </c>
      <c r="AN106" s="59">
        <f ca="1">AVERAGE(OFFSET($AM$3,0,0,'Données projet'!$E$10+1,1))-AVERAGE(OFFSET($H$3,0,0,'Données projet'!$E$10+1,1))</f>
        <v>294.78071095255143</v>
      </c>
      <c r="AO106" s="59">
        <f t="shared" si="90"/>
        <v>323.52003392365867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0.97024571906001389</v>
      </c>
      <c r="AV106" s="21">
        <f>EXP(-LN(2)/25)*AV105+(1-EXP(-LN(2)/25))/(LN(2)/25)*Calculateur!AQ106*Calculateur!AS106*VLOOKUP('Données projet'!$B$10,Paramètres!$A$1:$I$89,3,0)*0.475*44/12</f>
        <v>3.2163733293664984</v>
      </c>
      <c r="AW106" s="21">
        <f>EXP(-LN(2)/2)*AW105+(1-EXP(-LN(2)/2))/(LN(2)/2)*AQ106*AT106*VLOOKUP('Données projet'!$B$10,Paramètres!$A$1:$I$89,3,0)*0.475*44/12</f>
        <v>2.9975880614143919E-11</v>
      </c>
      <c r="AX106" s="21">
        <f t="shared" si="60"/>
        <v>4.186619048456488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-4.5474735088646412E-13</v>
      </c>
      <c r="O107" s="13">
        <f>N107*VLOOKUP('Données projet'!$B$9,Paramètres!$A$1:$I$89,3,0)*VLOOKUP('Données projet'!$B$9,Paramètres!$A$1:$I$89,5,0)</f>
        <v>-2.5420376914553347E-13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512.21337090113502</v>
      </c>
      <c r="T107" s="59">
        <f t="shared" si="88"/>
        <v>621.03633124474163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0.90429612001259885</v>
      </c>
      <c r="AA107" s="21">
        <f>EXP(-LN(2)/25)*AA106+(1-EXP(-LN(2)/25))/(LN(2)/25)*Calculateur!V107*Calculateur!X107*VLOOKUP('Données projet'!$B$9,Paramètres!$A$1:$I$89,3,0)*0.475*44/12</f>
        <v>2.0762741276999863</v>
      </c>
      <c r="AB107" s="21">
        <f>EXP(-LN(2)/2)*AB106+(1-EXP(-LN(2)/2))/(LN(2)/2)*V107*Y107*VLOOKUP('Données projet'!$B$9,Paramètres!$A$1:$I$89,3,0)*0.475*44/12</f>
        <v>5.1047001511046343E-11</v>
      </c>
      <c r="AC107" s="22">
        <f t="shared" si="57"/>
        <v>2.9805702477636324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2.2737367544323206E-13</v>
      </c>
      <c r="AJ107" s="13">
        <f>AI107*VLOOKUP('Données projet'!$B$10,Paramètres!$A$1:$I$89,3,0)*VLOOKUP('Données projet'!$B$10,Paramètres!$A$1:$I$89,5,0)</f>
        <v>1.064108801074326E-13</v>
      </c>
      <c r="AK107" s="13">
        <f t="shared" si="89"/>
        <v>1.5870730813698654E-12</v>
      </c>
      <c r="AL107" s="20">
        <f t="shared" si="58"/>
        <v>2.9494845662396269E-12</v>
      </c>
      <c r="AM107" s="59">
        <f t="shared" si="59"/>
        <v>293.33333333333627</v>
      </c>
      <c r="AN107" s="59">
        <f ca="1">AVERAGE(OFFSET($AM$3,0,0,'Données projet'!$E$10+1,1))-AVERAGE(OFFSET($H$3,0,0,'Données projet'!$E$10+1,1))</f>
        <v>294.78071095255143</v>
      </c>
      <c r="AO107" s="59">
        <f t="shared" si="90"/>
        <v>323.52003392365867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0.95121979230070108</v>
      </c>
      <c r="AV107" s="21">
        <f>EXP(-LN(2)/25)*AV106+(1-EXP(-LN(2)/25))/(LN(2)/25)*Calculateur!AQ107*Calculateur!AS107*VLOOKUP('Données projet'!$B$10,Paramètres!$A$1:$I$89,3,0)*0.475*44/12</f>
        <v>3.1284214315332495</v>
      </c>
      <c r="AW107" s="21">
        <f>EXP(-LN(2)/2)*AW106+(1-EXP(-LN(2)/2))/(LN(2)/2)*AQ107*AT107*VLOOKUP('Données projet'!$B$10,Paramètres!$A$1:$I$89,3,0)*0.475*44/12</f>
        <v>2.1196148454299536E-11</v>
      </c>
      <c r="AX107" s="21">
        <f t="shared" si="60"/>
        <v>4.0796412238551474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-4.5474735088646412E-13</v>
      </c>
      <c r="O108" s="13">
        <f>N108*VLOOKUP('Données projet'!$B$9,Paramètres!$A$1:$I$89,3,0)*VLOOKUP('Données projet'!$B$9,Paramètres!$A$1:$I$89,5,0)</f>
        <v>-2.5420376914553347E-13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512.21337090113502</v>
      </c>
      <c r="T108" s="59">
        <f t="shared" si="88"/>
        <v>621.03633124474163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0.88656342466532234</v>
      </c>
      <c r="AA108" s="21">
        <f>EXP(-LN(2)/25)*AA107+(1-EXP(-LN(2)/25))/(LN(2)/25)*Calculateur!V108*Calculateur!X108*VLOOKUP('Données projet'!$B$9,Paramètres!$A$1:$I$89,3,0)*0.475*44/12</f>
        <v>2.0194983024915194</v>
      </c>
      <c r="AB108" s="21">
        <f>EXP(-LN(2)/2)*AB107+(1-EXP(-LN(2)/2))/(LN(2)/2)*V108*Y108*VLOOKUP('Données projet'!$B$9,Paramètres!$A$1:$I$89,3,0)*0.475*44/12</f>
        <v>3.6095680927700807E-11</v>
      </c>
      <c r="AC108" s="22">
        <f t="shared" si="57"/>
        <v>2.9060617271929372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2.2737367544323206E-13</v>
      </c>
      <c r="AJ108" s="13">
        <f>AI108*VLOOKUP('Données projet'!$B$10,Paramètres!$A$1:$I$89,3,0)*VLOOKUP('Données projet'!$B$10,Paramètres!$A$1:$I$89,5,0)</f>
        <v>1.064108801074326E-13</v>
      </c>
      <c r="AK108" s="13">
        <f t="shared" si="89"/>
        <v>1.5870730813698654E-12</v>
      </c>
      <c r="AL108" s="20">
        <f t="shared" si="58"/>
        <v>2.9494845662396269E-12</v>
      </c>
      <c r="AM108" s="59">
        <f t="shared" si="59"/>
        <v>293.33333333333627</v>
      </c>
      <c r="AN108" s="59">
        <f ca="1">AVERAGE(OFFSET($AM$3,0,0,'Données projet'!$E$10+1,1))-AVERAGE(OFFSET($H$3,0,0,'Données projet'!$E$10+1,1))</f>
        <v>294.78071095255143</v>
      </c>
      <c r="AO108" s="59">
        <f t="shared" si="90"/>
        <v>323.52003392365867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0.93256695236046894</v>
      </c>
      <c r="AV108" s="21">
        <f>EXP(-LN(2)/25)*AV107+(1-EXP(-LN(2)/25))/(LN(2)/25)*Calculateur!AQ108*Calculateur!AS108*VLOOKUP('Données projet'!$B$10,Paramètres!$A$1:$I$89,3,0)*0.475*44/12</f>
        <v>3.0428745829714399</v>
      </c>
      <c r="AW108" s="21">
        <f>EXP(-LN(2)/2)*AW107+(1-EXP(-LN(2)/2))/(LN(2)/2)*AQ108*AT108*VLOOKUP('Données projet'!$B$10,Paramètres!$A$1:$I$89,3,0)*0.475*44/12</f>
        <v>1.4987940307071959E-11</v>
      </c>
      <c r="AX108" s="21">
        <f t="shared" si="60"/>
        <v>3.9754415353468966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-4.5474735088646412E-13</v>
      </c>
      <c r="O109" s="13">
        <f>N109*VLOOKUP('Données projet'!$B$9,Paramètres!$A$1:$I$89,3,0)*VLOOKUP('Données projet'!$B$9,Paramètres!$A$1:$I$89,5,0)</f>
        <v>-2.5420376914553347E-13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512.21337090113502</v>
      </c>
      <c r="T109" s="59">
        <f t="shared" si="88"/>
        <v>621.03633124474163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0.86917845665792981</v>
      </c>
      <c r="AA109" s="21">
        <f>EXP(-LN(2)/25)*AA108+(1-EXP(-LN(2)/25))/(LN(2)/25)*Calculateur!V109*Calculateur!X109*VLOOKUP('Données projet'!$B$9,Paramètres!$A$1:$I$89,3,0)*0.475*44/12</f>
        <v>1.9642750152090886</v>
      </c>
      <c r="AB109" s="21">
        <f>EXP(-LN(2)/2)*AB108+(1-EXP(-LN(2)/2))/(LN(2)/2)*V109*Y109*VLOOKUP('Données projet'!$B$9,Paramètres!$A$1:$I$89,3,0)*0.475*44/12</f>
        <v>2.5523500755523171E-11</v>
      </c>
      <c r="AC109" s="22">
        <f t="shared" si="57"/>
        <v>2.8334534718925419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2.2737367544323206E-13</v>
      </c>
      <c r="AJ109" s="13">
        <f>AI109*VLOOKUP('Données projet'!$B$10,Paramètres!$A$1:$I$89,3,0)*VLOOKUP('Données projet'!$B$10,Paramètres!$A$1:$I$89,5,0)</f>
        <v>1.064108801074326E-13</v>
      </c>
      <c r="AK109" s="13">
        <f t="shared" si="89"/>
        <v>1.5870730813698654E-12</v>
      </c>
      <c r="AL109" s="20">
        <f t="shared" si="58"/>
        <v>2.9494845662396269E-12</v>
      </c>
      <c r="AM109" s="59">
        <f t="shared" si="59"/>
        <v>293.33333333333627</v>
      </c>
      <c r="AN109" s="59">
        <f ca="1">AVERAGE(OFFSET($AM$3,0,0,'Données projet'!$E$10+1,1))-AVERAGE(OFFSET($H$3,0,0,'Données projet'!$E$10+1,1))</f>
        <v>294.78071095255143</v>
      </c>
      <c r="AO109" s="59">
        <f t="shared" si="90"/>
        <v>323.52003392365867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0.91427988323435583</v>
      </c>
      <c r="AV109" s="21">
        <f>EXP(-LN(2)/25)*AV108+(1-EXP(-LN(2)/25))/(LN(2)/25)*Calculateur!AQ109*Calculateur!AS109*VLOOKUP('Données projet'!$B$10,Paramètres!$A$1:$I$89,3,0)*0.475*44/12</f>
        <v>2.9596670174822659</v>
      </c>
      <c r="AW109" s="21">
        <f>EXP(-LN(2)/2)*AW108+(1-EXP(-LN(2)/2))/(LN(2)/2)*AQ109*AT109*VLOOKUP('Données projet'!$B$10,Paramètres!$A$1:$I$89,3,0)*0.475*44/12</f>
        <v>1.0598074227149768E-11</v>
      </c>
      <c r="AX109" s="21">
        <f t="shared" si="60"/>
        <v>3.87394690072722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-4.5474735088646412E-13</v>
      </c>
      <c r="O110" s="13">
        <f>N110*VLOOKUP('Données projet'!$B$9,Paramètres!$A$1:$I$89,3,0)*VLOOKUP('Données projet'!$B$9,Paramètres!$A$1:$I$89,5,0)</f>
        <v>-2.5420376914553347E-13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512.21337090113502</v>
      </c>
      <c r="T110" s="59">
        <f t="shared" si="88"/>
        <v>621.03633124474163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0.85213439726937878</v>
      </c>
      <c r="AA110" s="21">
        <f>EXP(-LN(2)/25)*AA109+(1-EXP(-LN(2)/25))/(LN(2)/25)*Calculateur!V110*Calculateur!X110*VLOOKUP('Données projet'!$B$9,Paramètres!$A$1:$I$89,3,0)*0.475*44/12</f>
        <v>1.9105618116214624</v>
      </c>
      <c r="AB110" s="21">
        <f>EXP(-LN(2)/2)*AB109+(1-EXP(-LN(2)/2))/(LN(2)/2)*V110*Y110*VLOOKUP('Données projet'!$B$9,Paramètres!$A$1:$I$89,3,0)*0.475*44/12</f>
        <v>1.8047840463850403E-11</v>
      </c>
      <c r="AC110" s="22">
        <f t="shared" si="57"/>
        <v>2.7626962089088889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2.2737367544323206E-13</v>
      </c>
      <c r="AJ110" s="13">
        <f>AI110*VLOOKUP('Données projet'!$B$10,Paramètres!$A$1:$I$89,3,0)*VLOOKUP('Données projet'!$B$10,Paramètres!$A$1:$I$89,5,0)</f>
        <v>1.064108801074326E-13</v>
      </c>
      <c r="AK110" s="13">
        <f t="shared" si="89"/>
        <v>1.5870730813698654E-12</v>
      </c>
      <c r="AL110" s="20">
        <f t="shared" si="58"/>
        <v>2.9494845662396269E-12</v>
      </c>
      <c r="AM110" s="59">
        <f t="shared" si="59"/>
        <v>293.33333333333627</v>
      </c>
      <c r="AN110" s="59">
        <f ca="1">AVERAGE(OFFSET($AM$3,0,0,'Données projet'!$E$10+1,1))-AVERAGE(OFFSET($H$3,0,0,'Données projet'!$E$10+1,1))</f>
        <v>294.78071095255143</v>
      </c>
      <c r="AO110" s="59">
        <f t="shared" si="90"/>
        <v>323.52003392365867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0.89635141237979499</v>
      </c>
      <c r="AV110" s="21">
        <f>EXP(-LN(2)/25)*AV109+(1-EXP(-LN(2)/25))/(LN(2)/25)*Calculateur!AQ110*Calculateur!AS110*VLOOKUP('Données projet'!$B$10,Paramètres!$A$1:$I$89,3,0)*0.475*44/12</f>
        <v>2.8787347672470891</v>
      </c>
      <c r="AW110" s="21">
        <f>EXP(-LN(2)/2)*AW109+(1-EXP(-LN(2)/2))/(LN(2)/2)*AQ110*AT110*VLOOKUP('Données projet'!$B$10,Paramètres!$A$1:$I$89,3,0)*0.475*44/12</f>
        <v>7.4939701535359797E-12</v>
      </c>
      <c r="AX110" s="21">
        <f t="shared" si="60"/>
        <v>3.775086179634378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-4.5474735088646412E-13</v>
      </c>
      <c r="O111" s="13">
        <f>N111*VLOOKUP('Données projet'!$B$9,Paramètres!$A$1:$I$89,3,0)*VLOOKUP('Données projet'!$B$9,Paramètres!$A$1:$I$89,5,0)</f>
        <v>-2.5420376914553347E-13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512.21337090113502</v>
      </c>
      <c r="T111" s="59">
        <f t="shared" si="88"/>
        <v>621.03633124474163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0.83542456148958744</v>
      </c>
      <c r="AA111" s="21">
        <f>EXP(-LN(2)/25)*AA110+(1-EXP(-LN(2)/25))/(LN(2)/25)*Calculateur!V111*Calculateur!X111*VLOOKUP('Données projet'!$B$9,Paramètres!$A$1:$I$89,3,0)*0.475*44/12</f>
        <v>1.8583173984105945</v>
      </c>
      <c r="AB111" s="21">
        <f>EXP(-LN(2)/2)*AB110+(1-EXP(-LN(2)/2))/(LN(2)/2)*V111*Y111*VLOOKUP('Données projet'!$B$9,Paramètres!$A$1:$I$89,3,0)*0.475*44/12</f>
        <v>1.2761750377761586E-11</v>
      </c>
      <c r="AC111" s="22">
        <f t="shared" si="57"/>
        <v>2.6937419599129435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2.2737367544323206E-13</v>
      </c>
      <c r="AJ111" s="13">
        <f>AI111*VLOOKUP('Données projet'!$B$10,Paramètres!$A$1:$I$89,3,0)*VLOOKUP('Données projet'!$B$10,Paramètres!$A$1:$I$89,5,0)</f>
        <v>1.064108801074326E-13</v>
      </c>
      <c r="AK111" s="13">
        <f t="shared" si="89"/>
        <v>1.5870730813698654E-12</v>
      </c>
      <c r="AL111" s="20">
        <f t="shared" si="58"/>
        <v>2.9494845662396269E-12</v>
      </c>
      <c r="AM111" s="59">
        <f t="shared" si="59"/>
        <v>293.33333333333627</v>
      </c>
      <c r="AN111" s="59">
        <f ca="1">AVERAGE(OFFSET($AM$3,0,0,'Données projet'!$E$10+1,1))-AVERAGE(OFFSET($H$3,0,0,'Données projet'!$E$10+1,1))</f>
        <v>294.78071095255143</v>
      </c>
      <c r="AO111" s="59">
        <f t="shared" si="90"/>
        <v>323.52003392365867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0.87877450790340461</v>
      </c>
      <c r="AV111" s="21">
        <f>EXP(-LN(2)/25)*AV110+(1-EXP(-LN(2)/25))/(LN(2)/25)*Calculateur!AQ111*Calculateur!AS111*VLOOKUP('Données projet'!$B$10,Paramètres!$A$1:$I$89,3,0)*0.475*44/12</f>
        <v>2.8000156136506353</v>
      </c>
      <c r="AW111" s="21">
        <f>EXP(-LN(2)/2)*AW110+(1-EXP(-LN(2)/2))/(LN(2)/2)*AQ111*AT111*VLOOKUP('Données projet'!$B$10,Paramètres!$A$1:$I$89,3,0)*0.475*44/12</f>
        <v>5.299037113574884E-12</v>
      </c>
      <c r="AX111" s="21">
        <f t="shared" si="60"/>
        <v>3.6787901215593388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-4.5474735088646412E-13</v>
      </c>
      <c r="O112" s="13">
        <f>N112*VLOOKUP('Données projet'!$B$9,Paramètres!$A$1:$I$89,3,0)*VLOOKUP('Données projet'!$B$9,Paramètres!$A$1:$I$89,5,0)</f>
        <v>-2.5420376914553347E-13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512.21337090113502</v>
      </c>
      <c r="T112" s="59">
        <f t="shared" si="88"/>
        <v>621.03633124474163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0.81904239539744439</v>
      </c>
      <c r="AA112" s="21">
        <f>EXP(-LN(2)/25)*AA111+(1-EXP(-LN(2)/25))/(LN(2)/25)*Calculateur!V112*Calculateur!X112*VLOOKUP('Données projet'!$B$9,Paramètres!$A$1:$I$89,3,0)*0.475*44/12</f>
        <v>1.807501611426392</v>
      </c>
      <c r="AB112" s="21">
        <f>EXP(-LN(2)/2)*AB111+(1-EXP(-LN(2)/2))/(LN(2)/2)*V112*Y112*VLOOKUP('Données projet'!$B$9,Paramètres!$A$1:$I$89,3,0)*0.475*44/12</f>
        <v>9.0239202319252016E-12</v>
      </c>
      <c r="AC112" s="22">
        <f t="shared" si="57"/>
        <v>2.6265440068328605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2.2737367544323206E-13</v>
      </c>
      <c r="AJ112" s="13">
        <f>AI112*VLOOKUP('Données projet'!$B$10,Paramètres!$A$1:$I$89,3,0)*VLOOKUP('Données projet'!$B$10,Paramètres!$A$1:$I$89,5,0)</f>
        <v>1.064108801074326E-13</v>
      </c>
      <c r="AK112" s="13">
        <f t="shared" si="89"/>
        <v>1.5870730813698654E-12</v>
      </c>
      <c r="AL112" s="20">
        <f t="shared" si="58"/>
        <v>2.9494845662396269E-12</v>
      </c>
      <c r="AM112" s="59">
        <f t="shared" si="59"/>
        <v>293.33333333333627</v>
      </c>
      <c r="AN112" s="59">
        <f ca="1">AVERAGE(OFFSET($AM$3,0,0,'Données projet'!$E$10+1,1))-AVERAGE(OFFSET($H$3,0,0,'Données projet'!$E$10+1,1))</f>
        <v>294.78071095255143</v>
      </c>
      <c r="AO112" s="59">
        <f t="shared" si="90"/>
        <v>323.52003392365867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0.86154227580294307</v>
      </c>
      <c r="AV112" s="21">
        <f>EXP(-LN(2)/25)*AV111+(1-EXP(-LN(2)/25))/(LN(2)/25)*Calculateur!AQ112*Calculateur!AS112*VLOOKUP('Données projet'!$B$10,Paramètres!$A$1:$I$89,3,0)*0.475*44/12</f>
        <v>2.723449039448937</v>
      </c>
      <c r="AW112" s="21">
        <f>EXP(-LN(2)/2)*AW111+(1-EXP(-LN(2)/2))/(LN(2)/2)*AQ112*AT112*VLOOKUP('Données projet'!$B$10,Paramètres!$A$1:$I$89,3,0)*0.475*44/12</f>
        <v>3.7469850767679899E-12</v>
      </c>
      <c r="AX112" s="21">
        <f t="shared" si="60"/>
        <v>3.584991315255627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-4.5474735088646412E-13</v>
      </c>
      <c r="O113" s="13">
        <f>N113*VLOOKUP('Données projet'!$B$9,Paramètres!$A$1:$I$89,3,0)*VLOOKUP('Données projet'!$B$9,Paramètres!$A$1:$I$89,5,0)</f>
        <v>-2.5420376914553347E-13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512.21337090113502</v>
      </c>
      <c r="T113" s="59">
        <f t="shared" si="88"/>
        <v>621.03633124474163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0.80298147359023364</v>
      </c>
      <c r="AA113" s="21">
        <f>EXP(-LN(2)/25)*AA112+(1-EXP(-LN(2)/25))/(LN(2)/25)*Calculateur!V113*Calculateur!X113*VLOOKUP('Données projet'!$B$9,Paramètres!$A$1:$I$89,3,0)*0.475*44/12</f>
        <v>1.7580753848095587</v>
      </c>
      <c r="AB113" s="21">
        <f>EXP(-LN(2)/2)*AB112+(1-EXP(-LN(2)/2))/(LN(2)/2)*V113*Y113*VLOOKUP('Données projet'!$B$9,Paramètres!$A$1:$I$89,3,0)*0.475*44/12</f>
        <v>6.3808751888807929E-12</v>
      </c>
      <c r="AC113" s="22">
        <f t="shared" si="57"/>
        <v>2.561056858406173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2.2737367544323206E-13</v>
      </c>
      <c r="AJ113" s="13">
        <f>AI113*VLOOKUP('Données projet'!$B$10,Paramètres!$A$1:$I$89,3,0)*VLOOKUP('Données projet'!$B$10,Paramètres!$A$1:$I$89,5,0)</f>
        <v>1.064108801074326E-13</v>
      </c>
      <c r="AK113" s="13">
        <f t="shared" si="89"/>
        <v>1.5870730813698654E-12</v>
      </c>
      <c r="AL113" s="20">
        <f t="shared" si="58"/>
        <v>2.9494845662396269E-12</v>
      </c>
      <c r="AM113" s="59">
        <f t="shared" si="59"/>
        <v>293.33333333333627</v>
      </c>
      <c r="AN113" s="59">
        <f ca="1">AVERAGE(OFFSET($AM$3,0,0,'Données projet'!$E$10+1,1))-AVERAGE(OFFSET($H$3,0,0,'Données projet'!$E$10+1,1))</f>
        <v>294.78071095255143</v>
      </c>
      <c r="AO113" s="59">
        <f t="shared" si="90"/>
        <v>323.52003392365867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0.84464795726334785</v>
      </c>
      <c r="AV113" s="21">
        <f>EXP(-LN(2)/25)*AV112+(1-EXP(-LN(2)/25))/(LN(2)/25)*Calculateur!AQ113*Calculateur!AS113*VLOOKUP('Données projet'!$B$10,Paramètres!$A$1:$I$89,3,0)*0.475*44/12</f>
        <v>2.6489761822452453</v>
      </c>
      <c r="AW113" s="21">
        <f>EXP(-LN(2)/2)*AW112+(1-EXP(-LN(2)/2))/(LN(2)/2)*AQ113*AT113*VLOOKUP('Données projet'!$B$10,Paramètres!$A$1:$I$89,3,0)*0.475*44/12</f>
        <v>2.649518556787442E-12</v>
      </c>
      <c r="AX113" s="21">
        <f t="shared" si="60"/>
        <v>3.4936241395112426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-4.5474735088646412E-13</v>
      </c>
      <c r="O114" s="13">
        <f>N114*VLOOKUP('Données projet'!$B$9,Paramètres!$A$1:$I$89,3,0)*VLOOKUP('Données projet'!$B$9,Paramètres!$A$1:$I$89,5,0)</f>
        <v>-2.5420376914553347E-13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512.21337090113502</v>
      </c>
      <c r="T114" s="59">
        <f t="shared" si="88"/>
        <v>621.03633124474163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0.78723549666346726</v>
      </c>
      <c r="AA114" s="21">
        <f>EXP(-LN(2)/25)*AA113+(1-EXP(-LN(2)/25))/(LN(2)/25)*Calculateur!V114*Calculateur!X114*VLOOKUP('Données projet'!$B$9,Paramètres!$A$1:$I$89,3,0)*0.475*44/12</f>
        <v>1.7100007209587751</v>
      </c>
      <c r="AB114" s="21">
        <f>EXP(-LN(2)/2)*AB113+(1-EXP(-LN(2)/2))/(LN(2)/2)*V114*Y114*VLOOKUP('Données projet'!$B$9,Paramètres!$A$1:$I$89,3,0)*0.475*44/12</f>
        <v>4.5119601159626008E-12</v>
      </c>
      <c r="AC114" s="22">
        <f t="shared" si="57"/>
        <v>2.4972362176267544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2.2737367544323206E-13</v>
      </c>
      <c r="AJ114" s="13">
        <f>AI114*VLOOKUP('Données projet'!$B$10,Paramètres!$A$1:$I$89,3,0)*VLOOKUP('Données projet'!$B$10,Paramètres!$A$1:$I$89,5,0)</f>
        <v>1.064108801074326E-13</v>
      </c>
      <c r="AK114" s="13">
        <f t="shared" si="89"/>
        <v>1.5870730813698654E-12</v>
      </c>
      <c r="AL114" s="20">
        <f t="shared" si="58"/>
        <v>2.9494845662396269E-12</v>
      </c>
      <c r="AM114" s="59">
        <f t="shared" si="59"/>
        <v>293.33333333333627</v>
      </c>
      <c r="AN114" s="59">
        <f ca="1">AVERAGE(OFFSET($AM$3,0,0,'Données projet'!$E$10+1,1))-AVERAGE(OFFSET($H$3,0,0,'Données projet'!$E$10+1,1))</f>
        <v>294.78071095255143</v>
      </c>
      <c r="AO114" s="59">
        <f t="shared" si="90"/>
        <v>323.52003392365867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0.82808492600579731</v>
      </c>
      <c r="AV114" s="21">
        <f>EXP(-LN(2)/25)*AV113+(1-EXP(-LN(2)/25))/(LN(2)/25)*Calculateur!AQ114*Calculateur!AS114*VLOOKUP('Données projet'!$B$10,Paramètres!$A$1:$I$89,3,0)*0.475*44/12</f>
        <v>2.5765397892381459</v>
      </c>
      <c r="AW114" s="21">
        <f>EXP(-LN(2)/2)*AW113+(1-EXP(-LN(2)/2))/(LN(2)/2)*AQ114*AT114*VLOOKUP('Données projet'!$B$10,Paramètres!$A$1:$I$89,3,0)*0.475*44/12</f>
        <v>1.8734925383839949E-12</v>
      </c>
      <c r="AX114" s="21">
        <f t="shared" si="60"/>
        <v>3.4046247152458169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-4.5474735088646412E-13</v>
      </c>
      <c r="O115" s="13">
        <f>N115*VLOOKUP('Données projet'!$B$9,Paramètres!$A$1:$I$89,3,0)*VLOOKUP('Données projet'!$B$9,Paramètres!$A$1:$I$89,5,0)</f>
        <v>-2.5420376914553347E-13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512.21337090113502</v>
      </c>
      <c r="T115" s="59">
        <f t="shared" si="88"/>
        <v>621.03633124474163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0.77179828874013712</v>
      </c>
      <c r="AA115" s="21">
        <f>EXP(-LN(2)/25)*AA114+(1-EXP(-LN(2)/25))/(LN(2)/25)*Calculateur!V115*Calculateur!X115*VLOOKUP('Données projet'!$B$9,Paramètres!$A$1:$I$89,3,0)*0.475*44/12</f>
        <v>1.6632406613191277</v>
      </c>
      <c r="AB115" s="21">
        <f>EXP(-LN(2)/2)*AB114+(1-EXP(-LN(2)/2))/(LN(2)/2)*V115*Y115*VLOOKUP('Données projet'!$B$9,Paramètres!$A$1:$I$89,3,0)*0.475*44/12</f>
        <v>3.1904375944403964E-12</v>
      </c>
      <c r="AC115" s="22">
        <f t="shared" si="57"/>
        <v>2.435038950062455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2.2737367544323206E-13</v>
      </c>
      <c r="AJ115" s="13">
        <f>AI115*VLOOKUP('Données projet'!$B$10,Paramètres!$A$1:$I$89,3,0)*VLOOKUP('Données projet'!$B$10,Paramètres!$A$1:$I$89,5,0)</f>
        <v>1.064108801074326E-13</v>
      </c>
      <c r="AK115" s="13">
        <f t="shared" si="89"/>
        <v>1.5870730813698654E-12</v>
      </c>
      <c r="AL115" s="20">
        <f t="shared" si="58"/>
        <v>2.9494845662396269E-12</v>
      </c>
      <c r="AM115" s="59">
        <f t="shared" si="59"/>
        <v>293.33333333333627</v>
      </c>
      <c r="AN115" s="59">
        <f ca="1">AVERAGE(OFFSET($AM$3,0,0,'Données projet'!$E$10+1,1))-AVERAGE(OFFSET($H$3,0,0,'Données projet'!$E$10+1,1))</f>
        <v>294.78071095255143</v>
      </c>
      <c r="AO115" s="59">
        <f t="shared" si="90"/>
        <v>323.52003392365867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0.81184668568875573</v>
      </c>
      <c r="AV115" s="21">
        <f>EXP(-LN(2)/25)*AV114+(1-EXP(-LN(2)/25))/(LN(2)/25)*Calculateur!AQ115*Calculateur!AS115*VLOOKUP('Données projet'!$B$10,Paramètres!$A$1:$I$89,3,0)*0.475*44/12</f>
        <v>2.50608417320709</v>
      </c>
      <c r="AW115" s="21">
        <f>EXP(-LN(2)/2)*AW114+(1-EXP(-LN(2)/2))/(LN(2)/2)*AQ115*AT115*VLOOKUP('Données projet'!$B$10,Paramètres!$A$1:$I$89,3,0)*0.475*44/12</f>
        <v>1.324759278393721E-12</v>
      </c>
      <c r="AX115" s="21">
        <f t="shared" si="60"/>
        <v>3.3179308588971703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-4.5474735088646412E-13</v>
      </c>
      <c r="O116" s="13">
        <f>N116*VLOOKUP('Données projet'!$B$9,Paramètres!$A$1:$I$89,3,0)*VLOOKUP('Données projet'!$B$9,Paramètres!$A$1:$I$89,5,0)</f>
        <v>-2.5420376914553347E-13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512.21337090113502</v>
      </c>
      <c r="T116" s="59">
        <f t="shared" si="88"/>
        <v>621.03633124474163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0.75666379504841641</v>
      </c>
      <c r="AA116" s="21">
        <f>EXP(-LN(2)/25)*AA115+(1-EXP(-LN(2)/25))/(LN(2)/25)*Calculateur!V116*Calculateur!X116*VLOOKUP('Données projet'!$B$9,Paramètres!$A$1:$I$89,3,0)*0.475*44/12</f>
        <v>1.6177592579693312</v>
      </c>
      <c r="AB116" s="21">
        <f>EXP(-LN(2)/2)*AB115+(1-EXP(-LN(2)/2))/(LN(2)/2)*V116*Y116*VLOOKUP('Données projet'!$B$9,Paramètres!$A$1:$I$89,3,0)*0.475*44/12</f>
        <v>2.2559800579813004E-12</v>
      </c>
      <c r="AC116" s="22">
        <f t="shared" si="57"/>
        <v>2.3744230530200037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2.2737367544323206E-13</v>
      </c>
      <c r="AJ116" s="13">
        <f>AI116*VLOOKUP('Données projet'!$B$10,Paramètres!$A$1:$I$89,3,0)*VLOOKUP('Données projet'!$B$10,Paramètres!$A$1:$I$89,5,0)</f>
        <v>1.064108801074326E-13</v>
      </c>
      <c r="AK116" s="13">
        <f t="shared" si="89"/>
        <v>1.5870730813698654E-12</v>
      </c>
      <c r="AL116" s="20">
        <f t="shared" si="58"/>
        <v>2.9494845662396269E-12</v>
      </c>
      <c r="AM116" s="59">
        <f t="shared" si="59"/>
        <v>293.33333333333627</v>
      </c>
      <c r="AN116" s="59">
        <f ca="1">AVERAGE(OFFSET($AM$3,0,0,'Données projet'!$E$10+1,1))-AVERAGE(OFFSET($H$3,0,0,'Données projet'!$E$10+1,1))</f>
        <v>294.78071095255143</v>
      </c>
      <c r="AO116" s="59">
        <f t="shared" si="90"/>
        <v>323.52003392365867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0.79592686735998275</v>
      </c>
      <c r="AV116" s="21">
        <f>EXP(-LN(2)/25)*AV115+(1-EXP(-LN(2)/25))/(LN(2)/25)*Calculateur!AQ116*Calculateur!AS116*VLOOKUP('Données projet'!$B$10,Paramètres!$A$1:$I$89,3,0)*0.475*44/12</f>
        <v>2.4375551697015032</v>
      </c>
      <c r="AW116" s="21">
        <f>EXP(-LN(2)/2)*AW115+(1-EXP(-LN(2)/2))/(LN(2)/2)*AQ116*AT116*VLOOKUP('Données projet'!$B$10,Paramètres!$A$1:$I$89,3,0)*0.475*44/12</f>
        <v>9.3674626919199747E-13</v>
      </c>
      <c r="AX116" s="21">
        <f t="shared" si="60"/>
        <v>3.2334820370624224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-4.5474735088646412E-13</v>
      </c>
      <c r="O117" s="13">
        <f>N117*VLOOKUP('Données projet'!$B$9,Paramètres!$A$1:$I$89,3,0)*VLOOKUP('Données projet'!$B$9,Paramètres!$A$1:$I$89,5,0)</f>
        <v>-2.5420376914553347E-13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512.21337090113502</v>
      </c>
      <c r="T117" s="59">
        <f t="shared" si="88"/>
        <v>621.03633124474163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0.74182607954686064</v>
      </c>
      <c r="AA117" s="21">
        <f>EXP(-LN(2)/25)*AA116+(1-EXP(-LN(2)/25))/(LN(2)/25)*Calculateur!V117*Calculateur!X117*VLOOKUP('Données projet'!$B$9,Paramètres!$A$1:$I$89,3,0)*0.475*44/12</f>
        <v>1.5735215459858978</v>
      </c>
      <c r="AB117" s="21">
        <f>EXP(-LN(2)/2)*AB116+(1-EXP(-LN(2)/2))/(LN(2)/2)*V117*Y117*VLOOKUP('Données projet'!$B$9,Paramètres!$A$1:$I$89,3,0)*0.475*44/12</f>
        <v>1.5952187972201982E-12</v>
      </c>
      <c r="AC117" s="22">
        <f t="shared" si="57"/>
        <v>2.3153476255343537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2.2737367544323206E-13</v>
      </c>
      <c r="AJ117" s="13">
        <f>AI117*VLOOKUP('Données projet'!$B$10,Paramètres!$A$1:$I$89,3,0)*VLOOKUP('Données projet'!$B$10,Paramètres!$A$1:$I$89,5,0)</f>
        <v>1.064108801074326E-13</v>
      </c>
      <c r="AK117" s="13">
        <f t="shared" si="89"/>
        <v>1.5870730813698654E-12</v>
      </c>
      <c r="AL117" s="20">
        <f t="shared" si="58"/>
        <v>2.9494845662396269E-12</v>
      </c>
      <c r="AM117" s="59">
        <f t="shared" si="59"/>
        <v>293.33333333333627</v>
      </c>
      <c r="AN117" s="59">
        <f ca="1">AVERAGE(OFFSET($AM$3,0,0,'Données projet'!$E$10+1,1))-AVERAGE(OFFSET($H$3,0,0,'Données projet'!$E$10+1,1))</f>
        <v>294.78071095255143</v>
      </c>
      <c r="AO117" s="59">
        <f t="shared" si="90"/>
        <v>323.52003392365867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0.78031922695850664</v>
      </c>
      <c r="AV117" s="21">
        <f>EXP(-LN(2)/25)*AV116+(1-EXP(-LN(2)/25))/(LN(2)/25)*Calculateur!AQ117*Calculateur!AS117*VLOOKUP('Données projet'!$B$10,Paramètres!$A$1:$I$89,3,0)*0.475*44/12</f>
        <v>2.3709000954005601</v>
      </c>
      <c r="AW117" s="21">
        <f>EXP(-LN(2)/2)*AW116+(1-EXP(-LN(2)/2))/(LN(2)/2)*AQ117*AT117*VLOOKUP('Données projet'!$B$10,Paramètres!$A$1:$I$89,3,0)*0.475*44/12</f>
        <v>6.623796391968605E-13</v>
      </c>
      <c r="AX117" s="21">
        <f t="shared" si="60"/>
        <v>3.1512193223597293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-4.5474735088646412E-13</v>
      </c>
      <c r="O118" s="13">
        <f>N118*VLOOKUP('Données projet'!$B$9,Paramètres!$A$1:$I$89,3,0)*VLOOKUP('Données projet'!$B$9,Paramètres!$A$1:$I$89,5,0)</f>
        <v>-2.5420376914553347E-13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512.21337090113502</v>
      </c>
      <c r="T118" s="59">
        <f t="shared" si="88"/>
        <v>621.03633124474163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0.72727932259617756</v>
      </c>
      <c r="AA118" s="21">
        <f>EXP(-LN(2)/25)*AA117+(1-EXP(-LN(2)/25))/(LN(2)/25)*Calculateur!V118*Calculateur!X118*VLOOKUP('Données projet'!$B$9,Paramètres!$A$1:$I$89,3,0)*0.475*44/12</f>
        <v>1.5304935165630116</v>
      </c>
      <c r="AB118" s="21">
        <f>EXP(-LN(2)/2)*AB117+(1-EXP(-LN(2)/2))/(LN(2)/2)*V118*Y118*VLOOKUP('Données projet'!$B$9,Paramètres!$A$1:$I$89,3,0)*0.475*44/12</f>
        <v>1.1279900289906502E-12</v>
      </c>
      <c r="AC118" s="22">
        <f t="shared" si="57"/>
        <v>2.2577728391603173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2.2737367544323206E-13</v>
      </c>
      <c r="AJ118" s="13">
        <f>AI118*VLOOKUP('Données projet'!$B$10,Paramètres!$A$1:$I$89,3,0)*VLOOKUP('Données projet'!$B$10,Paramètres!$A$1:$I$89,5,0)</f>
        <v>1.064108801074326E-13</v>
      </c>
      <c r="AK118" s="13">
        <f t="shared" si="89"/>
        <v>1.5870730813698654E-12</v>
      </c>
      <c r="AL118" s="20">
        <f t="shared" si="58"/>
        <v>2.9494845662396269E-12</v>
      </c>
      <c r="AM118" s="59">
        <f t="shared" si="59"/>
        <v>293.33333333333627</v>
      </c>
      <c r="AN118" s="59">
        <f ca="1">AVERAGE(OFFSET($AM$3,0,0,'Données projet'!$E$10+1,1))-AVERAGE(OFFSET($H$3,0,0,'Données projet'!$E$10+1,1))</f>
        <v>294.78071095255143</v>
      </c>
      <c r="AO118" s="59">
        <f t="shared" si="90"/>
        <v>323.52003392365867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0.76501764286558283</v>
      </c>
      <c r="AV118" s="21">
        <f>EXP(-LN(2)/25)*AV117+(1-EXP(-LN(2)/25))/(LN(2)/25)*Calculateur!AQ118*Calculateur!AS118*VLOOKUP('Données projet'!$B$10,Paramètres!$A$1:$I$89,3,0)*0.475*44/12</f>
        <v>2.3060677076116147</v>
      </c>
      <c r="AW118" s="21">
        <f>EXP(-LN(2)/2)*AW117+(1-EXP(-LN(2)/2))/(LN(2)/2)*AQ118*AT118*VLOOKUP('Données projet'!$B$10,Paramètres!$A$1:$I$89,3,0)*0.475*44/12</f>
        <v>4.6837313459599873E-13</v>
      </c>
      <c r="AX118" s="21">
        <f t="shared" si="60"/>
        <v>3.0710853504776661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-4.5474735088646412E-13</v>
      </c>
      <c r="O119" s="13">
        <f>N119*VLOOKUP('Données projet'!$B$9,Paramètres!$A$1:$I$89,3,0)*VLOOKUP('Données projet'!$B$9,Paramètres!$A$1:$I$89,5,0)</f>
        <v>-2.5420376914553347E-13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512.21337090113502</v>
      </c>
      <c r="T119" s="59">
        <f t="shared" si="88"/>
        <v>621.03633124474163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0.71301781867665182</v>
      </c>
      <c r="AA119" s="21">
        <f>EXP(-LN(2)/25)*AA118+(1-EXP(-LN(2)/25))/(LN(2)/25)*Calculateur!V119*Calculateur!X119*VLOOKUP('Données projet'!$B$9,Paramètres!$A$1:$I$89,3,0)*0.475*44/12</f>
        <v>1.48864209086744</v>
      </c>
      <c r="AB119" s="21">
        <f>EXP(-LN(2)/2)*AB118+(1-EXP(-LN(2)/2))/(LN(2)/2)*V119*Y119*VLOOKUP('Données projet'!$B$9,Paramètres!$A$1:$I$89,3,0)*0.475*44/12</f>
        <v>7.9760939861009911E-13</v>
      </c>
      <c r="AC119" s="22">
        <f t="shared" si="57"/>
        <v>2.2016599095448894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2.2737367544323206E-13</v>
      </c>
      <c r="AJ119" s="13">
        <f>AI119*VLOOKUP('Données projet'!$B$10,Paramètres!$A$1:$I$89,3,0)*VLOOKUP('Données projet'!$B$10,Paramètres!$A$1:$I$89,5,0)</f>
        <v>1.064108801074326E-13</v>
      </c>
      <c r="AK119" s="13">
        <f t="shared" si="89"/>
        <v>1.5870730813698654E-12</v>
      </c>
      <c r="AL119" s="20">
        <f t="shared" si="58"/>
        <v>2.9494845662396269E-12</v>
      </c>
      <c r="AM119" s="59">
        <f t="shared" si="59"/>
        <v>293.33333333333627</v>
      </c>
      <c r="AN119" s="59">
        <f ca="1">AVERAGE(OFFSET($AM$3,0,0,'Données projet'!$E$10+1,1))-AVERAGE(OFFSET($H$3,0,0,'Données projet'!$E$10+1,1))</f>
        <v>294.78071095255143</v>
      </c>
      <c r="AO119" s="59">
        <f t="shared" si="90"/>
        <v>323.52003392365867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0.75001611350367647</v>
      </c>
      <c r="AV119" s="21">
        <f>EXP(-LN(2)/25)*AV118+(1-EXP(-LN(2)/25))/(LN(2)/25)*Calculateur!AQ119*Calculateur!AS119*VLOOKUP('Données projet'!$B$10,Paramètres!$A$1:$I$89,3,0)*0.475*44/12</f>
        <v>2.2430081648761448</v>
      </c>
      <c r="AW119" s="21">
        <f>EXP(-LN(2)/2)*AW118+(1-EXP(-LN(2)/2))/(LN(2)/2)*AQ119*AT119*VLOOKUP('Données projet'!$B$10,Paramètres!$A$1:$I$89,3,0)*0.475*44/12</f>
        <v>3.3118981959843025E-13</v>
      </c>
      <c r="AX119" s="21">
        <f t="shared" si="60"/>
        <v>2.9930242783801528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-4.5474735088646412E-13</v>
      </c>
      <c r="O120" s="13">
        <f>N120*VLOOKUP('Données projet'!$B$9,Paramètres!$A$1:$I$89,3,0)*VLOOKUP('Données projet'!$B$9,Paramètres!$A$1:$I$89,5,0)</f>
        <v>-2.5420376914553347E-13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512.21337090113502</v>
      </c>
      <c r="T120" s="59">
        <f t="shared" si="88"/>
        <v>621.03633124474163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0.69903597415032948</v>
      </c>
      <c r="AA120" s="21">
        <f>EXP(-LN(2)/25)*AA119+(1-EXP(-LN(2)/25))/(LN(2)/25)*Calculateur!V120*Calculateur!X120*VLOOKUP('Données projet'!$B$9,Paramètres!$A$1:$I$89,3,0)*0.475*44/12</f>
        <v>1.4479350946083847</v>
      </c>
      <c r="AB120" s="21">
        <f>EXP(-LN(2)/2)*AB119+(1-EXP(-LN(2)/2))/(LN(2)/2)*V120*Y120*VLOOKUP('Données projet'!$B$9,Paramètres!$A$1:$I$89,3,0)*0.475*44/12</f>
        <v>5.639950144953251E-13</v>
      </c>
      <c r="AC120" s="22">
        <f t="shared" si="57"/>
        <v>2.146971068759278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2.2737367544323206E-13</v>
      </c>
      <c r="AJ120" s="13">
        <f>AI120*VLOOKUP('Données projet'!$B$10,Paramètres!$A$1:$I$89,3,0)*VLOOKUP('Données projet'!$B$10,Paramètres!$A$1:$I$89,5,0)</f>
        <v>1.064108801074326E-13</v>
      </c>
      <c r="AK120" s="13">
        <f t="shared" si="89"/>
        <v>1.5870730813698654E-12</v>
      </c>
      <c r="AL120" s="20">
        <f t="shared" si="58"/>
        <v>2.9494845662396269E-12</v>
      </c>
      <c r="AM120" s="59">
        <f t="shared" si="59"/>
        <v>293.33333333333627</v>
      </c>
      <c r="AN120" s="59">
        <f ca="1">AVERAGE(OFFSET($AM$3,0,0,'Données projet'!$E$10+1,1))-AVERAGE(OFFSET($H$3,0,0,'Données projet'!$E$10+1,1))</f>
        <v>294.78071095255143</v>
      </c>
      <c r="AO120" s="59">
        <f t="shared" si="90"/>
        <v>323.52003392365867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0.73530875498252768</v>
      </c>
      <c r="AV120" s="21">
        <f>EXP(-LN(2)/25)*AV119+(1-EXP(-LN(2)/25))/(LN(2)/25)*Calculateur!AQ120*Calculateur!AS120*VLOOKUP('Données projet'!$B$10,Paramètres!$A$1:$I$89,3,0)*0.475*44/12</f>
        <v>2.1816729886529336</v>
      </c>
      <c r="AW120" s="21">
        <f>EXP(-LN(2)/2)*AW119+(1-EXP(-LN(2)/2))/(LN(2)/2)*AQ120*AT120*VLOOKUP('Données projet'!$B$10,Paramètres!$A$1:$I$89,3,0)*0.475*44/12</f>
        <v>2.3418656729799937E-13</v>
      </c>
      <c r="AX120" s="21">
        <f t="shared" si="60"/>
        <v>2.9169817436356955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-4.5474735088646412E-13</v>
      </c>
      <c r="O121" s="13">
        <f>N121*VLOOKUP('Données projet'!$B$9,Paramètres!$A$1:$I$89,3,0)*VLOOKUP('Données projet'!$B$9,Paramètres!$A$1:$I$89,5,0)</f>
        <v>-2.5420376914553347E-13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512.21337090113502</v>
      </c>
      <c r="T121" s="59">
        <f t="shared" si="88"/>
        <v>621.03633124474163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0.6853283050670852</v>
      </c>
      <c r="AA121" s="21">
        <f>EXP(-LN(2)/25)*AA120+(1-EXP(-LN(2)/25))/(LN(2)/25)*Calculateur!V121*Calculateur!X121*VLOOKUP('Données projet'!$B$9,Paramètres!$A$1:$I$89,3,0)*0.475*44/12</f>
        <v>1.408341233302721</v>
      </c>
      <c r="AB121" s="21">
        <f>EXP(-LN(2)/2)*AB120+(1-EXP(-LN(2)/2))/(LN(2)/2)*V121*Y121*VLOOKUP('Données projet'!$B$9,Paramètres!$A$1:$I$89,3,0)*0.475*44/12</f>
        <v>3.9880469930504955E-13</v>
      </c>
      <c r="AC121" s="22">
        <f t="shared" si="57"/>
        <v>2.0936695383702051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2.2737367544323206E-13</v>
      </c>
      <c r="AJ121" s="13">
        <f>AI121*VLOOKUP('Données projet'!$B$10,Paramètres!$A$1:$I$89,3,0)*VLOOKUP('Données projet'!$B$10,Paramètres!$A$1:$I$89,5,0)</f>
        <v>1.064108801074326E-13</v>
      </c>
      <c r="AK121" s="13">
        <f t="shared" si="89"/>
        <v>1.5870730813698654E-12</v>
      </c>
      <c r="AL121" s="20">
        <f t="shared" si="58"/>
        <v>2.9494845662396269E-12</v>
      </c>
      <c r="AM121" s="59">
        <f t="shared" si="59"/>
        <v>293.33333333333627</v>
      </c>
      <c r="AN121" s="59">
        <f ca="1">AVERAGE(OFFSET($AM$3,0,0,'Données projet'!$E$10+1,1))-AVERAGE(OFFSET($H$3,0,0,'Données projet'!$E$10+1,1))</f>
        <v>294.78071095255143</v>
      </c>
      <c r="AO121" s="59">
        <f t="shared" si="90"/>
        <v>323.52003392365867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0.72088979879137571</v>
      </c>
      <c r="AV121" s="21">
        <f>EXP(-LN(2)/25)*AV120+(1-EXP(-LN(2)/25))/(LN(2)/25)*Calculateur!AQ121*Calculateur!AS121*VLOOKUP('Données projet'!$B$10,Paramètres!$A$1:$I$89,3,0)*0.475*44/12</f>
        <v>2.1220150260490227</v>
      </c>
      <c r="AW121" s="21">
        <f>EXP(-LN(2)/2)*AW120+(1-EXP(-LN(2)/2))/(LN(2)/2)*AQ121*AT121*VLOOKUP('Données projet'!$B$10,Paramètres!$A$1:$I$89,3,0)*0.475*44/12</f>
        <v>1.6559490979921513E-13</v>
      </c>
      <c r="AX121" s="21">
        <f t="shared" si="60"/>
        <v>2.8429048248405642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-4.5474735088646412E-13</v>
      </c>
      <c r="O122" s="13">
        <f>N122*VLOOKUP('Données projet'!$B$9,Paramètres!$A$1:$I$89,3,0)*VLOOKUP('Données projet'!$B$9,Paramètres!$A$1:$I$89,5,0)</f>
        <v>-2.5420376914553347E-13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512.21337090113502</v>
      </c>
      <c r="T122" s="59">
        <f t="shared" si="88"/>
        <v>621.03633124474163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0.67188943501371079</v>
      </c>
      <c r="AA122" s="21">
        <f>EXP(-LN(2)/25)*AA121+(1-EXP(-LN(2)/25))/(LN(2)/25)*Calculateur!V122*Calculateur!X122*VLOOKUP('Données projet'!$B$9,Paramètres!$A$1:$I$89,3,0)*0.475*44/12</f>
        <v>1.3698300682166114</v>
      </c>
      <c r="AB122" s="21">
        <f>EXP(-LN(2)/2)*AB121+(1-EXP(-LN(2)/2))/(LN(2)/2)*V122*Y122*VLOOKUP('Données projet'!$B$9,Paramètres!$A$1:$I$89,3,0)*0.475*44/12</f>
        <v>2.8199750724766255E-13</v>
      </c>
      <c r="AC122" s="22">
        <f t="shared" si="57"/>
        <v>2.0417195032306039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2.2737367544323206E-13</v>
      </c>
      <c r="AJ122" s="13">
        <f>AI122*VLOOKUP('Données projet'!$B$10,Paramètres!$A$1:$I$89,3,0)*VLOOKUP('Données projet'!$B$10,Paramètres!$A$1:$I$89,5,0)</f>
        <v>1.064108801074326E-13</v>
      </c>
      <c r="AK122" s="13">
        <f t="shared" si="89"/>
        <v>1.5870730813698654E-12</v>
      </c>
      <c r="AL122" s="20">
        <f t="shared" si="58"/>
        <v>2.9494845662396269E-12</v>
      </c>
      <c r="AM122" s="59">
        <f t="shared" si="59"/>
        <v>293.33333333333627</v>
      </c>
      <c r="AN122" s="59">
        <f ca="1">AVERAGE(OFFSET($AM$3,0,0,'Données projet'!$E$10+1,1))-AVERAGE(OFFSET($H$3,0,0,'Données projet'!$E$10+1,1))</f>
        <v>294.78071095255143</v>
      </c>
      <c r="AO122" s="59">
        <f t="shared" si="90"/>
        <v>323.52003392365867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0.70675358953643741</v>
      </c>
      <c r="AV122" s="21">
        <f>EXP(-LN(2)/25)*AV121+(1-EXP(-LN(2)/25))/(LN(2)/25)*Calculateur!AQ122*Calculateur!AS122*VLOOKUP('Données projet'!$B$10,Paramètres!$A$1:$I$89,3,0)*0.475*44/12</f>
        <v>2.0639884135697919</v>
      </c>
      <c r="AW122" s="21">
        <f>EXP(-LN(2)/2)*AW121+(1-EXP(-LN(2)/2))/(LN(2)/2)*AQ122*AT122*VLOOKUP('Données projet'!$B$10,Paramètres!$A$1:$I$89,3,0)*0.475*44/12</f>
        <v>1.1709328364899968E-13</v>
      </c>
      <c r="AX122" s="21">
        <f t="shared" si="60"/>
        <v>2.7707420031063466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-4.5474735088646412E-13</v>
      </c>
      <c r="O123" s="13">
        <f>N123*VLOOKUP('Données projet'!$B$9,Paramètres!$A$1:$I$89,3,0)*VLOOKUP('Données projet'!$B$9,Paramètres!$A$1:$I$89,5,0)</f>
        <v>-2.5420376914553347E-13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512.21337090113502</v>
      </c>
      <c r="T123" s="59">
        <f t="shared" si="88"/>
        <v>621.03633124474163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0.65871409300518169</v>
      </c>
      <c r="AA123" s="21">
        <f>EXP(-LN(2)/25)*AA122+(1-EXP(-LN(2)/25))/(LN(2)/25)*Calculateur!V123*Calculateur!X123*VLOOKUP('Données projet'!$B$9,Paramètres!$A$1:$I$89,3,0)*0.475*44/12</f>
        <v>1.3323719929649955</v>
      </c>
      <c r="AB123" s="21">
        <f>EXP(-LN(2)/2)*AB122+(1-EXP(-LN(2)/2))/(LN(2)/2)*V123*Y123*VLOOKUP('Données projet'!$B$9,Paramètres!$A$1:$I$89,3,0)*0.475*44/12</f>
        <v>1.9940234965252478E-13</v>
      </c>
      <c r="AC123" s="22">
        <f t="shared" si="57"/>
        <v>1.9910860859703767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2.2737367544323206E-13</v>
      </c>
      <c r="AJ123" s="13">
        <f>AI123*VLOOKUP('Données projet'!$B$10,Paramètres!$A$1:$I$89,3,0)*VLOOKUP('Données projet'!$B$10,Paramètres!$A$1:$I$89,5,0)</f>
        <v>1.064108801074326E-13</v>
      </c>
      <c r="AK123" s="13">
        <f t="shared" si="89"/>
        <v>1.5870730813698654E-12</v>
      </c>
      <c r="AL123" s="20">
        <f t="shared" si="58"/>
        <v>2.9494845662396269E-12</v>
      </c>
      <c r="AM123" s="59">
        <f t="shared" si="59"/>
        <v>293.33333333333627</v>
      </c>
      <c r="AN123" s="59">
        <f ca="1">AVERAGE(OFFSET($AM$3,0,0,'Données projet'!$E$10+1,1))-AVERAGE(OFFSET($H$3,0,0,'Données projet'!$E$10+1,1))</f>
        <v>294.78071095255143</v>
      </c>
      <c r="AO123" s="59">
        <f t="shared" si="90"/>
        <v>323.52003392365867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0.69289458272275217</v>
      </c>
      <c r="AV123" s="21">
        <f>EXP(-LN(2)/25)*AV122+(1-EXP(-LN(2)/25))/(LN(2)/25)*Calculateur!AQ123*Calculateur!AS123*VLOOKUP('Données projet'!$B$10,Paramètres!$A$1:$I$89,3,0)*0.475*44/12</f>
        <v>2.0075485418602925</v>
      </c>
      <c r="AW123" s="21">
        <f>EXP(-LN(2)/2)*AW122+(1-EXP(-LN(2)/2))/(LN(2)/2)*AQ123*AT123*VLOOKUP('Données projet'!$B$10,Paramètres!$A$1:$I$89,3,0)*0.475*44/12</f>
        <v>8.2797454899607563E-14</v>
      </c>
      <c r="AX123" s="21">
        <f t="shared" si="60"/>
        <v>2.7004431245831273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-4.5474735088646412E-13</v>
      </c>
      <c r="O124" s="13">
        <f>N124*VLOOKUP('Données projet'!$B$9,Paramètres!$A$1:$I$89,3,0)*VLOOKUP('Données projet'!$B$9,Paramètres!$A$1:$I$89,5,0)</f>
        <v>-2.5420376914553347E-13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512.21337090113502</v>
      </c>
      <c r="T124" s="59">
        <f t="shared" si="88"/>
        <v>621.03633124474163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0.64579711141727469</v>
      </c>
      <c r="AA124" s="21">
        <f>EXP(-LN(2)/25)*AA123+(1-EXP(-LN(2)/25))/(LN(2)/25)*Calculateur!V124*Calculateur!X124*VLOOKUP('Données projet'!$B$9,Paramètres!$A$1:$I$89,3,0)*0.475*44/12</f>
        <v>1.2959382107509698</v>
      </c>
      <c r="AB124" s="21">
        <f>EXP(-LN(2)/2)*AB123+(1-EXP(-LN(2)/2))/(LN(2)/2)*V124*Y124*VLOOKUP('Données projet'!$B$9,Paramètres!$A$1:$I$89,3,0)*0.475*44/12</f>
        <v>1.4099875362383128E-13</v>
      </c>
      <c r="AC124" s="22">
        <f t="shared" si="57"/>
        <v>1.9417353221683855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2.2737367544323206E-13</v>
      </c>
      <c r="AJ124" s="13">
        <f>AI124*VLOOKUP('Données projet'!$B$10,Paramètres!$A$1:$I$89,3,0)*VLOOKUP('Données projet'!$B$10,Paramètres!$A$1:$I$89,5,0)</f>
        <v>1.064108801074326E-13</v>
      </c>
      <c r="AK124" s="13">
        <f t="shared" si="89"/>
        <v>1.5870730813698654E-12</v>
      </c>
      <c r="AL124" s="20">
        <f t="shared" si="58"/>
        <v>2.9494845662396269E-12</v>
      </c>
      <c r="AM124" s="59">
        <f t="shared" si="59"/>
        <v>293.33333333333627</v>
      </c>
      <c r="AN124" s="59">
        <f ca="1">AVERAGE(OFFSET($AM$3,0,0,'Données projet'!$E$10+1,1))-AVERAGE(OFFSET($H$3,0,0,'Données projet'!$E$10+1,1))</f>
        <v>294.78071095255143</v>
      </c>
      <c r="AO124" s="59">
        <f t="shared" si="90"/>
        <v>323.52003392365867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0.67930734257952385</v>
      </c>
      <c r="AV124" s="21">
        <f>EXP(-LN(2)/25)*AV123+(1-EXP(-LN(2)/25))/(LN(2)/25)*Calculateur!AQ124*Calculateur!AS124*VLOOKUP('Données projet'!$B$10,Paramètres!$A$1:$I$89,3,0)*0.475*44/12</f>
        <v>1.9526520214107332</v>
      </c>
      <c r="AW124" s="21">
        <f>EXP(-LN(2)/2)*AW123+(1-EXP(-LN(2)/2))/(LN(2)/2)*AQ124*AT124*VLOOKUP('Données projet'!$B$10,Paramètres!$A$1:$I$89,3,0)*0.475*44/12</f>
        <v>5.8546641824499842E-14</v>
      </c>
      <c r="AX124" s="21">
        <f t="shared" si="60"/>
        <v>2.6319593639903158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-4.5474735088646412E-13</v>
      </c>
      <c r="O125" s="13">
        <f>N125*VLOOKUP('Données projet'!$B$9,Paramètres!$A$1:$I$89,3,0)*VLOOKUP('Données projet'!$B$9,Paramètres!$A$1:$I$89,5,0)</f>
        <v>-2.5420376914553347E-13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512.21337090113502</v>
      </c>
      <c r="T125" s="59">
        <f t="shared" si="88"/>
        <v>621.03633124474163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0.63313342395972572</v>
      </c>
      <c r="AA125" s="21">
        <f>EXP(-LN(2)/25)*AA124+(1-EXP(-LN(2)/25))/(LN(2)/25)*Calculateur!V125*Calculateur!X125*VLOOKUP('Données projet'!$B$9,Paramètres!$A$1:$I$89,3,0)*0.475*44/12</f>
        <v>1.260500712227556</v>
      </c>
      <c r="AB125" s="21">
        <f>EXP(-LN(2)/2)*AB124+(1-EXP(-LN(2)/2))/(LN(2)/2)*V125*Y125*VLOOKUP('Données projet'!$B$9,Paramètres!$A$1:$I$89,3,0)*0.475*44/12</f>
        <v>9.9701174826262389E-14</v>
      </c>
      <c r="AC125" s="22">
        <f t="shared" si="57"/>
        <v>1.8936341361873814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2.2737367544323206E-13</v>
      </c>
      <c r="AJ125" s="13">
        <f>AI125*VLOOKUP('Données projet'!$B$10,Paramètres!$A$1:$I$89,3,0)*VLOOKUP('Données projet'!$B$10,Paramètres!$A$1:$I$89,5,0)</f>
        <v>1.064108801074326E-13</v>
      </c>
      <c r="AK125" s="13">
        <f t="shared" si="89"/>
        <v>1.5870730813698654E-12</v>
      </c>
      <c r="AL125" s="20">
        <f t="shared" si="58"/>
        <v>2.9494845662396269E-12</v>
      </c>
      <c r="AM125" s="59">
        <f t="shared" si="59"/>
        <v>293.33333333333627</v>
      </c>
      <c r="AN125" s="59">
        <f ca="1">AVERAGE(OFFSET($AM$3,0,0,'Données projet'!$E$10+1,1))-AVERAGE(OFFSET($H$3,0,0,'Données projet'!$E$10+1,1))</f>
        <v>294.78071095255143</v>
      </c>
      <c r="AO125" s="59">
        <f t="shared" si="90"/>
        <v>323.52003392365867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0.66598653992810608</v>
      </c>
      <c r="AV125" s="21">
        <f>EXP(-LN(2)/25)*AV124+(1-EXP(-LN(2)/25))/(LN(2)/25)*Calculateur!AQ125*Calculateur!AS125*VLOOKUP('Données projet'!$B$10,Paramètres!$A$1:$I$89,3,0)*0.475*44/12</f>
        <v>1.8992566491997498</v>
      </c>
      <c r="AW125" s="21">
        <f>EXP(-LN(2)/2)*AW124+(1-EXP(-LN(2)/2))/(LN(2)/2)*AQ125*AT125*VLOOKUP('Données projet'!$B$10,Paramètres!$A$1:$I$89,3,0)*0.475*44/12</f>
        <v>4.1398727449803781E-14</v>
      </c>
      <c r="AX125" s="21">
        <f t="shared" si="60"/>
        <v>2.5652431891278971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-4.5474735088646412E-13</v>
      </c>
      <c r="O126" s="13">
        <f>N126*VLOOKUP('Données projet'!$B$9,Paramètres!$A$1:$I$89,3,0)*VLOOKUP('Données projet'!$B$9,Paramètres!$A$1:$I$89,5,0)</f>
        <v>-2.5420376914553347E-13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512.21337090113502</v>
      </c>
      <c r="T126" s="59">
        <f t="shared" si="88"/>
        <v>621.03633124474163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0.62071806368913263</v>
      </c>
      <c r="AA126" s="21">
        <f>EXP(-LN(2)/25)*AA125+(1-EXP(-LN(2)/25))/(LN(2)/25)*Calculateur!V126*Calculateur!X126*VLOOKUP('Données projet'!$B$9,Paramètres!$A$1:$I$89,3,0)*0.475*44/12</f>
        <v>1.2260322539648418</v>
      </c>
      <c r="AB126" s="21">
        <f>EXP(-LN(2)/2)*AB125+(1-EXP(-LN(2)/2))/(LN(2)/2)*V126*Y126*VLOOKUP('Données projet'!$B$9,Paramètres!$A$1:$I$89,3,0)*0.475*44/12</f>
        <v>7.0499376811915638E-14</v>
      </c>
      <c r="AC126" s="22">
        <f t="shared" si="57"/>
        <v>1.846750317654045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2.2737367544323206E-13</v>
      </c>
      <c r="AJ126" s="13">
        <f>AI126*VLOOKUP('Données projet'!$B$10,Paramètres!$A$1:$I$89,3,0)*VLOOKUP('Données projet'!$B$10,Paramètres!$A$1:$I$89,5,0)</f>
        <v>1.064108801074326E-13</v>
      </c>
      <c r="AK126" s="13">
        <f t="shared" si="89"/>
        <v>1.5870730813698654E-12</v>
      </c>
      <c r="AL126" s="20">
        <f t="shared" si="58"/>
        <v>2.9494845662396269E-12</v>
      </c>
      <c r="AM126" s="59">
        <f t="shared" si="59"/>
        <v>293.33333333333627</v>
      </c>
      <c r="AN126" s="59">
        <f ca="1">AVERAGE(OFFSET($AM$3,0,0,'Données projet'!$E$10+1,1))-AVERAGE(OFFSET($H$3,0,0,'Données projet'!$E$10+1,1))</f>
        <v>294.78071095255143</v>
      </c>
      <c r="AO126" s="59">
        <f t="shared" si="90"/>
        <v>323.52003392365867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0.65292695009179524</v>
      </c>
      <c r="AV126" s="21">
        <f>EXP(-LN(2)/25)*AV125+(1-EXP(-LN(2)/25))/(LN(2)/25)*Calculateur!AQ126*Calculateur!AS126*VLOOKUP('Données projet'!$B$10,Paramètres!$A$1:$I$89,3,0)*0.475*44/12</f>
        <v>1.8473213762498162</v>
      </c>
      <c r="AW126" s="21">
        <f>EXP(-LN(2)/2)*AW125+(1-EXP(-LN(2)/2))/(LN(2)/2)*AQ126*AT126*VLOOKUP('Données projet'!$B$10,Paramètres!$A$1:$I$89,3,0)*0.475*44/12</f>
        <v>2.9273320912249921E-14</v>
      </c>
      <c r="AX126" s="21">
        <f t="shared" si="60"/>
        <v>2.5002483263416408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-4.5474735088646412E-13</v>
      </c>
      <c r="O127" s="13">
        <f>N127*VLOOKUP('Données projet'!$B$9,Paramètres!$A$1:$I$89,3,0)*VLOOKUP('Données projet'!$B$9,Paramètres!$A$1:$I$89,5,0)</f>
        <v>-2.5420376914553347E-13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512.21337090113502</v>
      </c>
      <c r="T127" s="59">
        <f t="shared" si="88"/>
        <v>621.03633124474163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0.60854616106082393</v>
      </c>
      <c r="AA127" s="21">
        <f>EXP(-LN(2)/25)*AA126+(1-EXP(-LN(2)/25))/(LN(2)/25)*Calculateur!V127*Calculateur!X127*VLOOKUP('Données projet'!$B$9,Paramètres!$A$1:$I$89,3,0)*0.475*44/12</f>
        <v>1.192506337505939</v>
      </c>
      <c r="AB127" s="21">
        <f>EXP(-LN(2)/2)*AB126+(1-EXP(-LN(2)/2))/(LN(2)/2)*V127*Y127*VLOOKUP('Données projet'!$B$9,Paramètres!$A$1:$I$89,3,0)*0.475*44/12</f>
        <v>4.9850587413131194E-14</v>
      </c>
      <c r="AC127" s="22">
        <f t="shared" si="57"/>
        <v>1.8010524985668128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2.2737367544323206E-13</v>
      </c>
      <c r="AJ127" s="13">
        <f>AI127*VLOOKUP('Données projet'!$B$10,Paramètres!$A$1:$I$89,3,0)*VLOOKUP('Données projet'!$B$10,Paramètres!$A$1:$I$89,5,0)</f>
        <v>1.064108801074326E-13</v>
      </c>
      <c r="AK127" s="13">
        <f t="shared" si="89"/>
        <v>1.5870730813698654E-12</v>
      </c>
      <c r="AL127" s="20">
        <f t="shared" si="58"/>
        <v>2.9494845662396269E-12</v>
      </c>
      <c r="AM127" s="59">
        <f t="shared" si="59"/>
        <v>293.33333333333627</v>
      </c>
      <c r="AN127" s="59">
        <f ca="1">AVERAGE(OFFSET($AM$3,0,0,'Données projet'!$E$10+1,1))-AVERAGE(OFFSET($H$3,0,0,'Données projet'!$E$10+1,1))</f>
        <v>294.78071095255143</v>
      </c>
      <c r="AO127" s="59">
        <f t="shared" si="90"/>
        <v>323.52003392365867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0.64012345084661115</v>
      </c>
      <c r="AV127" s="21">
        <f>EXP(-LN(2)/25)*AV126+(1-EXP(-LN(2)/25))/(LN(2)/25)*Calculateur!AQ127*Calculateur!AS127*VLOOKUP('Données projet'!$B$10,Paramètres!$A$1:$I$89,3,0)*0.475*44/12</f>
        <v>1.796806276069856</v>
      </c>
      <c r="AW127" s="21">
        <f>EXP(-LN(2)/2)*AW126+(1-EXP(-LN(2)/2))/(LN(2)/2)*AQ127*AT127*VLOOKUP('Données projet'!$B$10,Paramètres!$A$1:$I$89,3,0)*0.475*44/12</f>
        <v>2.0699363724901891E-14</v>
      </c>
      <c r="AX127" s="21">
        <f t="shared" si="60"/>
        <v>2.436929726916488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-4.5474735088646412E-13</v>
      </c>
      <c r="O128" s="13">
        <f>N128*VLOOKUP('Données projet'!$B$9,Paramètres!$A$1:$I$89,3,0)*VLOOKUP('Données projet'!$B$9,Paramètres!$A$1:$I$89,5,0)</f>
        <v>-2.5420376914553347E-13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512.21337090113502</v>
      </c>
      <c r="T128" s="59">
        <f t="shared" si="88"/>
        <v>621.03633124474163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0.59661294201892878</v>
      </c>
      <c r="AA128" s="21">
        <f>EXP(-LN(2)/25)*AA127+(1-EXP(-LN(2)/25))/(LN(2)/25)*Calculateur!V128*Calculateur!X128*VLOOKUP('Données projet'!$B$9,Paramètres!$A$1:$I$89,3,0)*0.475*44/12</f>
        <v>1.1598971889956564</v>
      </c>
      <c r="AB128" s="21">
        <f>EXP(-LN(2)/2)*AB127+(1-EXP(-LN(2)/2))/(LN(2)/2)*V128*Y128*VLOOKUP('Données projet'!$B$9,Paramètres!$A$1:$I$89,3,0)*0.475*44/12</f>
        <v>3.5249688405957819E-14</v>
      </c>
      <c r="AC128" s="22">
        <f t="shared" si="57"/>
        <v>1.7565101310146205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2.2737367544323206E-13</v>
      </c>
      <c r="AJ128" s="13">
        <f>AI128*VLOOKUP('Données projet'!$B$10,Paramètres!$A$1:$I$89,3,0)*VLOOKUP('Données projet'!$B$10,Paramètres!$A$1:$I$89,5,0)</f>
        <v>1.064108801074326E-13</v>
      </c>
      <c r="AK128" s="13">
        <f t="shared" si="89"/>
        <v>1.5870730813698654E-12</v>
      </c>
      <c r="AL128" s="20">
        <f t="shared" si="58"/>
        <v>2.9494845662396269E-12</v>
      </c>
      <c r="AM128" s="59">
        <f t="shared" si="59"/>
        <v>293.33333333333627</v>
      </c>
      <c r="AN128" s="59">
        <f ca="1">AVERAGE(OFFSET($AM$3,0,0,'Données projet'!$E$10+1,1))-AVERAGE(OFFSET($H$3,0,0,'Données projet'!$E$10+1,1))</f>
        <v>294.78071095255143</v>
      </c>
      <c r="AO128" s="59">
        <f t="shared" si="90"/>
        <v>323.52003392365867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0.62757102041226165</v>
      </c>
      <c r="AV128" s="21">
        <f>EXP(-LN(2)/25)*AV127+(1-EXP(-LN(2)/25))/(LN(2)/25)*Calculateur!AQ128*Calculateur!AS128*VLOOKUP('Données projet'!$B$10,Paramètres!$A$1:$I$89,3,0)*0.475*44/12</f>
        <v>1.7476725139607905</v>
      </c>
      <c r="AW128" s="21">
        <f>EXP(-LN(2)/2)*AW127+(1-EXP(-LN(2)/2))/(LN(2)/2)*AQ128*AT128*VLOOKUP('Données projet'!$B$10,Paramètres!$A$1:$I$89,3,0)*0.475*44/12</f>
        <v>1.463666045612496E-14</v>
      </c>
      <c r="AX128" s="21">
        <f t="shared" si="60"/>
        <v>2.3752435343730669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-4.5474735088646412E-13</v>
      </c>
      <c r="O129" s="13">
        <f>N129*VLOOKUP('Données projet'!$B$9,Paramètres!$A$1:$I$89,3,0)*VLOOKUP('Données projet'!$B$9,Paramètres!$A$1:$I$89,5,0)</f>
        <v>-2.5420376914553347E-13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512.21337090113502</v>
      </c>
      <c r="T129" s="59">
        <f t="shared" si="88"/>
        <v>621.03633124474163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0.58491372612390025</v>
      </c>
      <c r="AA129" s="21">
        <f>EXP(-LN(2)/25)*AA128+(1-EXP(-LN(2)/25))/(LN(2)/25)*Calculateur!V129*Calculateur!X129*VLOOKUP('Données projet'!$B$9,Paramètres!$A$1:$I$89,3,0)*0.475*44/12</f>
        <v>1.1281797393662281</v>
      </c>
      <c r="AB129" s="21">
        <f>EXP(-LN(2)/2)*AB128+(1-EXP(-LN(2)/2))/(LN(2)/2)*V129*Y129*VLOOKUP('Données projet'!$B$9,Paramètres!$A$1:$I$89,3,0)*0.475*44/12</f>
        <v>2.4925293706565597E-14</v>
      </c>
      <c r="AC129" s="22">
        <f t="shared" si="57"/>
        <v>1.7130934654901533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2.2737367544323206E-13</v>
      </c>
      <c r="AJ129" s="13">
        <f>AI129*VLOOKUP('Données projet'!$B$10,Paramètres!$A$1:$I$89,3,0)*VLOOKUP('Données projet'!$B$10,Paramètres!$A$1:$I$89,5,0)</f>
        <v>1.064108801074326E-13</v>
      </c>
      <c r="AK129" s="13">
        <f t="shared" si="89"/>
        <v>1.5870730813698654E-12</v>
      </c>
      <c r="AL129" s="20">
        <f t="shared" si="58"/>
        <v>2.9494845662396269E-12</v>
      </c>
      <c r="AM129" s="59">
        <f t="shared" si="59"/>
        <v>293.33333333333627</v>
      </c>
      <c r="AN129" s="59">
        <f ca="1">AVERAGE(OFFSET($AM$3,0,0,'Données projet'!$E$10+1,1))-AVERAGE(OFFSET($H$3,0,0,'Données projet'!$E$10+1,1))</f>
        <v>294.78071095255143</v>
      </c>
      <c r="AO129" s="59">
        <f t="shared" si="90"/>
        <v>323.52003392365867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0.61526473548250327</v>
      </c>
      <c r="AV129" s="21">
        <f>EXP(-LN(2)/25)*AV128+(1-EXP(-LN(2)/25))/(LN(2)/25)*Calculateur!AQ129*Calculateur!AS129*VLOOKUP('Données projet'!$B$10,Paramètres!$A$1:$I$89,3,0)*0.475*44/12</f>
        <v>1.6998823171604296</v>
      </c>
      <c r="AW129" s="21">
        <f>EXP(-LN(2)/2)*AW128+(1-EXP(-LN(2)/2))/(LN(2)/2)*AQ129*AT129*VLOOKUP('Données projet'!$B$10,Paramètres!$A$1:$I$89,3,0)*0.475*44/12</f>
        <v>1.0349681862450945E-14</v>
      </c>
      <c r="AX129" s="21">
        <f t="shared" si="60"/>
        <v>2.315147052642943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-4.5474735088646412E-13</v>
      </c>
      <c r="O130" s="13">
        <f>N130*VLOOKUP('Données projet'!$B$9,Paramètres!$A$1:$I$89,3,0)*VLOOKUP('Données projet'!$B$9,Paramètres!$A$1:$I$89,5,0)</f>
        <v>-2.5420376914553347E-13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512.21337090113502</v>
      </c>
      <c r="T130" s="59">
        <f t="shared" si="88"/>
        <v>621.03633124474163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0.5734439247167562</v>
      </c>
      <c r="AA130" s="21">
        <f>EXP(-LN(2)/25)*AA129+(1-EXP(-LN(2)/25))/(LN(2)/25)*Calculateur!V130*Calculateur!X130*VLOOKUP('Données projet'!$B$9,Paramètres!$A$1:$I$89,3,0)*0.475*44/12</f>
        <v>1.0973296050648647</v>
      </c>
      <c r="AB130" s="21">
        <f>EXP(-LN(2)/2)*AB129+(1-EXP(-LN(2)/2))/(LN(2)/2)*V130*Y130*VLOOKUP('Données projet'!$B$9,Paramètres!$A$1:$I$89,3,0)*0.475*44/12</f>
        <v>1.7624844202978909E-14</v>
      </c>
      <c r="AC130" s="22">
        <f t="shared" si="57"/>
        <v>1.6707735297816384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2.2737367544323206E-13</v>
      </c>
      <c r="AJ130" s="13">
        <f>AI130*VLOOKUP('Données projet'!$B$10,Paramètres!$A$1:$I$89,3,0)*VLOOKUP('Données projet'!$B$10,Paramètres!$A$1:$I$89,5,0)</f>
        <v>1.064108801074326E-13</v>
      </c>
      <c r="AK130" s="13">
        <f t="shared" si="89"/>
        <v>1.5870730813698654E-12</v>
      </c>
      <c r="AL130" s="20">
        <f t="shared" si="58"/>
        <v>2.9494845662396269E-12</v>
      </c>
      <c r="AM130" s="59">
        <f t="shared" si="59"/>
        <v>293.33333333333627</v>
      </c>
      <c r="AN130" s="59">
        <f ca="1">AVERAGE(OFFSET($AM$3,0,0,'Données projet'!$E$10+1,1))-AVERAGE(OFFSET($H$3,0,0,'Données projet'!$E$10+1,1))</f>
        <v>294.78071095255143</v>
      </c>
      <c r="AO130" s="59">
        <f t="shared" si="90"/>
        <v>323.52003392365867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0.60319976929412478</v>
      </c>
      <c r="AV130" s="21">
        <f>EXP(-LN(2)/25)*AV129+(1-EXP(-LN(2)/25))/(LN(2)/25)*Calculateur!AQ130*Calculateur!AS130*VLOOKUP('Données projet'!$B$10,Paramètres!$A$1:$I$89,3,0)*0.475*44/12</f>
        <v>1.6533989458047518</v>
      </c>
      <c r="AW130" s="21">
        <f>EXP(-LN(2)/2)*AW129+(1-EXP(-LN(2)/2))/(LN(2)/2)*AQ130*AT130*VLOOKUP('Données projet'!$B$10,Paramètres!$A$1:$I$89,3,0)*0.475*44/12</f>
        <v>7.3183302280624802E-15</v>
      </c>
      <c r="AX130" s="21">
        <f t="shared" si="60"/>
        <v>2.2565987150988835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-4.5474735088646412E-13</v>
      </c>
      <c r="O131" s="13">
        <f>N131*VLOOKUP('Données projet'!$B$9,Paramètres!$A$1:$I$89,3,0)*VLOOKUP('Données projet'!$B$9,Paramètres!$A$1:$I$89,5,0)</f>
        <v>-2.5420376914553347E-13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512.21337090113502</v>
      </c>
      <c r="T131" s="59">
        <f t="shared" si="88"/>
        <v>621.03633124474163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0.56219903911931812</v>
      </c>
      <c r="AA131" s="21">
        <f>EXP(-LN(2)/25)*AA130+(1-EXP(-LN(2)/25))/(LN(2)/25)*Calculateur!V131*Calculateur!X131*VLOOKUP('Données projet'!$B$9,Paramètres!$A$1:$I$89,3,0)*0.475*44/12</f>
        <v>1.06732306930831</v>
      </c>
      <c r="AB131" s="21">
        <f>EXP(-LN(2)/2)*AB130+(1-EXP(-LN(2)/2))/(LN(2)/2)*V131*Y131*VLOOKUP('Données projet'!$B$9,Paramètres!$A$1:$I$89,3,0)*0.475*44/12</f>
        <v>1.2462646853282799E-14</v>
      </c>
      <c r="AC131" s="22">
        <f t="shared" si="57"/>
        <v>1.6295221084276406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2.2737367544323206E-13</v>
      </c>
      <c r="AJ131" s="13">
        <f>AI131*VLOOKUP('Données projet'!$B$10,Paramètres!$A$1:$I$89,3,0)*VLOOKUP('Données projet'!$B$10,Paramètres!$A$1:$I$89,5,0)</f>
        <v>1.064108801074326E-13</v>
      </c>
      <c r="AK131" s="13">
        <f t="shared" si="89"/>
        <v>1.5870730813698654E-12</v>
      </c>
      <c r="AL131" s="20">
        <f t="shared" si="58"/>
        <v>2.9494845662396269E-12</v>
      </c>
      <c r="AM131" s="59">
        <f t="shared" si="59"/>
        <v>293.33333333333627</v>
      </c>
      <c r="AN131" s="59">
        <f ca="1">AVERAGE(OFFSET($AM$3,0,0,'Données projet'!$E$10+1,1))-AVERAGE(OFFSET($H$3,0,0,'Données projet'!$E$10+1,1))</f>
        <v>294.78071095255143</v>
      </c>
      <c r="AO131" s="59">
        <f t="shared" si="90"/>
        <v>323.52003392365867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0.59137138973379766</v>
      </c>
      <c r="AV131" s="21">
        <f>EXP(-LN(2)/25)*AV130+(1-EXP(-LN(2)/25))/(LN(2)/25)*Calculateur!AQ131*Calculateur!AS131*VLOOKUP('Données projet'!$B$10,Paramètres!$A$1:$I$89,3,0)*0.475*44/12</f>
        <v>1.6081866646832492</v>
      </c>
      <c r="AW131" s="21">
        <f>EXP(-LN(2)/2)*AW130+(1-EXP(-LN(2)/2))/(LN(2)/2)*AQ131*AT131*VLOOKUP('Données projet'!$B$10,Paramètres!$A$1:$I$89,3,0)*0.475*44/12</f>
        <v>5.1748409312254727E-15</v>
      </c>
      <c r="AX131" s="21">
        <f t="shared" si="60"/>
        <v>2.1995580544170523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-4.5474735088646412E-13</v>
      </c>
      <c r="O132" s="13">
        <f>N132*VLOOKUP('Données projet'!$B$9,Paramètres!$A$1:$I$89,3,0)*VLOOKUP('Données projet'!$B$9,Paramètres!$A$1:$I$89,5,0)</f>
        <v>-2.5420376914553347E-13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512.21337090113502</v>
      </c>
      <c r="T132" s="59">
        <f t="shared" si="88"/>
        <v>621.03633124474163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0.55117465886974282</v>
      </c>
      <c r="AA132" s="21">
        <f>EXP(-LN(2)/25)*AA131+(1-EXP(-LN(2)/25))/(LN(2)/25)*Calculateur!V132*Calculateur!X132*VLOOKUP('Données projet'!$B$9,Paramètres!$A$1:$I$89,3,0)*0.475*44/12</f>
        <v>1.0381370638499934</v>
      </c>
      <c r="AB132" s="21">
        <f>EXP(-LN(2)/2)*AB131+(1-EXP(-LN(2)/2))/(LN(2)/2)*V132*Y132*VLOOKUP('Données projet'!$B$9,Paramètres!$A$1:$I$89,3,0)*0.475*44/12</f>
        <v>8.8124221014894547E-15</v>
      </c>
      <c r="AC132" s="22">
        <f t="shared" ref="AC132:AC153" si="111">SUM(Z132:AB132)</f>
        <v>1.5893117227197451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2.2737367544323206E-13</v>
      </c>
      <c r="AJ132" s="13">
        <f>AI132*VLOOKUP('Données projet'!$B$10,Paramètres!$A$1:$I$89,3,0)*VLOOKUP('Données projet'!$B$10,Paramètres!$A$1:$I$89,5,0)</f>
        <v>1.064108801074326E-13</v>
      </c>
      <c r="AK132" s="13">
        <f t="shared" si="89"/>
        <v>1.5870730813698654E-12</v>
      </c>
      <c r="AL132" s="20">
        <f t="shared" ref="AL132:AL153" si="112">(AJ132+AK132)*0.475*44/12</f>
        <v>2.9494845662396269E-12</v>
      </c>
      <c r="AM132" s="59">
        <f t="shared" ref="AM132:AM195" si="113">AL132+(AD132+AE132)*44/12</f>
        <v>293.33333333333627</v>
      </c>
      <c r="AN132" s="59">
        <f ca="1">AVERAGE(OFFSET($AM$3,0,0,'Données projet'!$E$10+1,1))-AVERAGE(OFFSET($H$3,0,0,'Données projet'!$E$10+1,1))</f>
        <v>294.78071095255143</v>
      </c>
      <c r="AO132" s="59">
        <f t="shared" si="90"/>
        <v>323.52003392365867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0.57977495748204932</v>
      </c>
      <c r="AV132" s="21">
        <f>EXP(-LN(2)/25)*AV131+(1-EXP(-LN(2)/25))/(LN(2)/25)*Calculateur!AQ132*Calculateur!AS132*VLOOKUP('Données projet'!$B$10,Paramètres!$A$1:$I$89,3,0)*0.475*44/12</f>
        <v>1.5642107157666247</v>
      </c>
      <c r="AW132" s="21">
        <f>EXP(-LN(2)/2)*AW131+(1-EXP(-LN(2)/2))/(LN(2)/2)*AQ132*AT132*VLOOKUP('Données projet'!$B$10,Paramètres!$A$1:$I$89,3,0)*0.475*44/12</f>
        <v>3.6591651140312401E-15</v>
      </c>
      <c r="AX132" s="21">
        <f t="shared" ref="AX132:AX153" si="114">SUM(AU132:AW132)</f>
        <v>2.1439856732486775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-4.5474735088646412E-13</v>
      </c>
      <c r="O133" s="13">
        <f>N133*VLOOKUP('Données projet'!$B$9,Paramètres!$A$1:$I$89,3,0)*VLOOKUP('Données projet'!$B$9,Paramètres!$A$1:$I$89,5,0)</f>
        <v>-2.5420376914553347E-13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512.21337090113502</v>
      </c>
      <c r="T133" s="59">
        <f t="shared" ref="T133:T196" si="142">$T$3</f>
        <v>621.03633124474163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0.54036645999265376</v>
      </c>
      <c r="AA133" s="21">
        <f>EXP(-LN(2)/25)*AA132+(1-EXP(-LN(2)/25))/(LN(2)/25)*Calculateur!V133*Calculateur!X133*VLOOKUP('Données projet'!$B$9,Paramètres!$A$1:$I$89,3,0)*0.475*44/12</f>
        <v>1.0097491512457599</v>
      </c>
      <c r="AB133" s="21">
        <f>EXP(-LN(2)/2)*AB132+(1-EXP(-LN(2)/2))/(LN(2)/2)*V133*Y133*VLOOKUP('Données projet'!$B$9,Paramètres!$A$1:$I$89,3,0)*0.475*44/12</f>
        <v>6.2313234266413993E-15</v>
      </c>
      <c r="AC133" s="22">
        <f t="shared" si="111"/>
        <v>1.5501156112384198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2.2737367544323206E-13</v>
      </c>
      <c r="AJ133" s="13">
        <f>AI133*VLOOKUP('Données projet'!$B$10,Paramètres!$A$1:$I$89,3,0)*VLOOKUP('Données projet'!$B$10,Paramètres!$A$1:$I$89,5,0)</f>
        <v>1.064108801074326E-13</v>
      </c>
      <c r="AK133" s="13">
        <f t="shared" ref="AK133:AK153" si="143">EXP(-1.0587+0.8836*LN(AJ133)+0.284)</f>
        <v>1.5870730813698654E-12</v>
      </c>
      <c r="AL133" s="20">
        <f t="shared" si="112"/>
        <v>2.9494845662396269E-12</v>
      </c>
      <c r="AM133" s="59">
        <f t="shared" si="113"/>
        <v>293.33333333333627</v>
      </c>
      <c r="AN133" s="59">
        <f ca="1">AVERAGE(OFFSET($AM$3,0,0,'Données projet'!$E$10+1,1))-AVERAGE(OFFSET($H$3,0,0,'Données projet'!$E$10+1,1))</f>
        <v>294.78071095255143</v>
      </c>
      <c r="AO133" s="59">
        <f t="shared" ref="AO133:AO196" si="144">$AO$3</f>
        <v>323.52003392365867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0.56840592419363256</v>
      </c>
      <c r="AV133" s="21">
        <f>EXP(-LN(2)/25)*AV132+(1-EXP(-LN(2)/25))/(LN(2)/25)*Calculateur!AQ133*Calculateur!AS133*VLOOKUP('Données projet'!$B$10,Paramètres!$A$1:$I$89,3,0)*0.475*44/12</f>
        <v>1.5214372914857199</v>
      </c>
      <c r="AW133" s="21">
        <f>EXP(-LN(2)/2)*AW132+(1-EXP(-LN(2)/2))/(LN(2)/2)*AQ133*AT133*VLOOKUP('Données projet'!$B$10,Paramètres!$A$1:$I$89,3,0)*0.475*44/12</f>
        <v>2.5874204656127363E-15</v>
      </c>
      <c r="AX133" s="21">
        <f t="shared" si="114"/>
        <v>2.0898432156793554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-4.5474735088646412E-13</v>
      </c>
      <c r="O134" s="13">
        <f>N134*VLOOKUP('Données projet'!$B$9,Paramètres!$A$1:$I$89,3,0)*VLOOKUP('Données projet'!$B$9,Paramètres!$A$1:$I$89,5,0)</f>
        <v>-2.5420376914553347E-13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512.21337090113502</v>
      </c>
      <c r="T134" s="59">
        <f t="shared" si="142"/>
        <v>621.03633124474163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0.52977020330319402</v>
      </c>
      <c r="AA134" s="21">
        <f>EXP(-LN(2)/25)*AA133+(1-EXP(-LN(2)/25))/(LN(2)/25)*Calculateur!V134*Calculateur!X134*VLOOKUP('Données projet'!$B$9,Paramètres!$A$1:$I$89,3,0)*0.475*44/12</f>
        <v>0.98213750760454455</v>
      </c>
      <c r="AB134" s="21">
        <f>EXP(-LN(2)/2)*AB133+(1-EXP(-LN(2)/2))/(LN(2)/2)*V134*Y134*VLOOKUP('Données projet'!$B$9,Paramètres!$A$1:$I$89,3,0)*0.475*44/12</f>
        <v>4.4062110507447274E-15</v>
      </c>
      <c r="AC134" s="22">
        <f t="shared" si="111"/>
        <v>1.511907710907743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2.2737367544323206E-13</v>
      </c>
      <c r="AJ134" s="13">
        <f>AI134*VLOOKUP('Données projet'!$B$10,Paramètres!$A$1:$I$89,3,0)*VLOOKUP('Données projet'!$B$10,Paramètres!$A$1:$I$89,5,0)</f>
        <v>1.064108801074326E-13</v>
      </c>
      <c r="AK134" s="13">
        <f t="shared" si="143"/>
        <v>1.5870730813698654E-12</v>
      </c>
      <c r="AL134" s="20">
        <f t="shared" si="112"/>
        <v>2.9494845662396269E-12</v>
      </c>
      <c r="AM134" s="59">
        <f t="shared" si="113"/>
        <v>293.33333333333627</v>
      </c>
      <c r="AN134" s="59">
        <f ca="1">AVERAGE(OFFSET($AM$3,0,0,'Données projet'!$E$10+1,1))-AVERAGE(OFFSET($H$3,0,0,'Données projet'!$E$10+1,1))</f>
        <v>294.78071095255143</v>
      </c>
      <c r="AO134" s="59">
        <f t="shared" si="144"/>
        <v>323.52003392365867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0.5572598307135761</v>
      </c>
      <c r="AV134" s="21">
        <f>EXP(-LN(2)/25)*AV133+(1-EXP(-LN(2)/25))/(LN(2)/25)*Calculateur!AQ134*Calculateur!AS134*VLOOKUP('Données projet'!$B$10,Paramètres!$A$1:$I$89,3,0)*0.475*44/12</f>
        <v>1.479833508741133</v>
      </c>
      <c r="AW134" s="21">
        <f>EXP(-LN(2)/2)*AW133+(1-EXP(-LN(2)/2))/(LN(2)/2)*AQ134*AT134*VLOOKUP('Données projet'!$B$10,Paramètres!$A$1:$I$89,3,0)*0.475*44/12</f>
        <v>1.8295825570156201E-15</v>
      </c>
      <c r="AX134" s="21">
        <f t="shared" si="114"/>
        <v>2.037093339454711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-4.5474735088646412E-13</v>
      </c>
      <c r="O135" s="13">
        <f>N135*VLOOKUP('Données projet'!$B$9,Paramètres!$A$1:$I$89,3,0)*VLOOKUP('Données projet'!$B$9,Paramètres!$A$1:$I$89,5,0)</f>
        <v>-2.5420376914553347E-13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512.21337090113502</v>
      </c>
      <c r="T135" s="59">
        <f t="shared" si="142"/>
        <v>621.03633124474163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0.51938173274433619</v>
      </c>
      <c r="AA135" s="21">
        <f>EXP(-LN(2)/25)*AA134+(1-EXP(-LN(2)/25))/(LN(2)/25)*Calculateur!V135*Calculateur!X135*VLOOKUP('Données projet'!$B$9,Paramètres!$A$1:$I$89,3,0)*0.475*44/12</f>
        <v>0.95528090581073144</v>
      </c>
      <c r="AB135" s="21">
        <f>EXP(-LN(2)/2)*AB134+(1-EXP(-LN(2)/2))/(LN(2)/2)*V135*Y135*VLOOKUP('Données projet'!$B$9,Paramètres!$A$1:$I$89,3,0)*0.475*44/12</f>
        <v>3.1156617133206996E-15</v>
      </c>
      <c r="AC135" s="22">
        <f t="shared" si="111"/>
        <v>1.4746626385550707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2.2737367544323206E-13</v>
      </c>
      <c r="AJ135" s="13">
        <f>AI135*VLOOKUP('Données projet'!$B$10,Paramètres!$A$1:$I$89,3,0)*VLOOKUP('Données projet'!$B$10,Paramètres!$A$1:$I$89,5,0)</f>
        <v>1.064108801074326E-13</v>
      </c>
      <c r="AK135" s="13">
        <f t="shared" si="143"/>
        <v>1.5870730813698654E-12</v>
      </c>
      <c r="AL135" s="20">
        <f t="shared" si="112"/>
        <v>2.9494845662396269E-12</v>
      </c>
      <c r="AM135" s="59">
        <f t="shared" si="113"/>
        <v>293.33333333333627</v>
      </c>
      <c r="AN135" s="59">
        <f ca="1">AVERAGE(OFFSET($AM$3,0,0,'Données projet'!$E$10+1,1))-AVERAGE(OFFSET($H$3,0,0,'Données projet'!$E$10+1,1))</f>
        <v>294.78071095255143</v>
      </c>
      <c r="AO135" s="59">
        <f t="shared" si="144"/>
        <v>323.52003392365867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0.54633230532821775</v>
      </c>
      <c r="AV135" s="21">
        <f>EXP(-LN(2)/25)*AV134+(1-EXP(-LN(2)/25))/(LN(2)/25)*Calculateur!AQ135*Calculateur!AS135*VLOOKUP('Données projet'!$B$10,Paramètres!$A$1:$I$89,3,0)*0.475*44/12</f>
        <v>1.4393673836235445</v>
      </c>
      <c r="AW135" s="21">
        <f>EXP(-LN(2)/2)*AW134+(1-EXP(-LN(2)/2))/(LN(2)/2)*AQ135*AT135*VLOOKUP('Données projet'!$B$10,Paramètres!$A$1:$I$89,3,0)*0.475*44/12</f>
        <v>1.2937102328063682E-15</v>
      </c>
      <c r="AX135" s="21">
        <f t="shared" si="114"/>
        <v>1.9856996889517635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-4.5474735088646412E-13</v>
      </c>
      <c r="O136" s="13">
        <f>N136*VLOOKUP('Données projet'!$B$9,Paramètres!$A$1:$I$89,3,0)*VLOOKUP('Données projet'!$B$9,Paramètres!$A$1:$I$89,5,0)</f>
        <v>-2.5420376914553347E-13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512.21337090113502</v>
      </c>
      <c r="T136" s="59">
        <f t="shared" si="142"/>
        <v>621.03633124474163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0.50919697375679618</v>
      </c>
      <c r="AA136" s="21">
        <f>EXP(-LN(2)/25)*AA135+(1-EXP(-LN(2)/25))/(LN(2)/25)*Calculateur!V136*Calculateur!X136*VLOOKUP('Données projet'!$B$9,Paramètres!$A$1:$I$89,3,0)*0.475*44/12</f>
        <v>0.92915869920529748</v>
      </c>
      <c r="AB136" s="21">
        <f>EXP(-LN(2)/2)*AB135+(1-EXP(-LN(2)/2))/(LN(2)/2)*V136*Y136*VLOOKUP('Données projet'!$B$9,Paramètres!$A$1:$I$89,3,0)*0.475*44/12</f>
        <v>2.2031055253723637E-15</v>
      </c>
      <c r="AC136" s="22">
        <f t="shared" si="111"/>
        <v>1.4383556729620959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2.2737367544323206E-13</v>
      </c>
      <c r="AJ136" s="13">
        <f>AI136*VLOOKUP('Données projet'!$B$10,Paramètres!$A$1:$I$89,3,0)*VLOOKUP('Données projet'!$B$10,Paramètres!$A$1:$I$89,5,0)</f>
        <v>1.064108801074326E-13</v>
      </c>
      <c r="AK136" s="13">
        <f t="shared" si="143"/>
        <v>1.5870730813698654E-12</v>
      </c>
      <c r="AL136" s="20">
        <f t="shared" si="112"/>
        <v>2.9494845662396269E-12</v>
      </c>
      <c r="AM136" s="59">
        <f t="shared" si="113"/>
        <v>293.33333333333627</v>
      </c>
      <c r="AN136" s="59">
        <f ca="1">AVERAGE(OFFSET($AM$3,0,0,'Données projet'!$E$10+1,1))-AVERAGE(OFFSET($H$3,0,0,'Données projet'!$E$10+1,1))</f>
        <v>294.78071095255143</v>
      </c>
      <c r="AO136" s="59">
        <f t="shared" si="144"/>
        <v>323.52003392365867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0.53561906205053389</v>
      </c>
      <c r="AV136" s="21">
        <f>EXP(-LN(2)/25)*AV135+(1-EXP(-LN(2)/25))/(LN(2)/25)*Calculateur!AQ136*Calculateur!AS136*VLOOKUP('Données projet'!$B$10,Paramètres!$A$1:$I$89,3,0)*0.475*44/12</f>
        <v>1.4000078068253177</v>
      </c>
      <c r="AW136" s="21">
        <f>EXP(-LN(2)/2)*AW135+(1-EXP(-LN(2)/2))/(LN(2)/2)*AQ136*AT136*VLOOKUP('Données projet'!$B$10,Paramètres!$A$1:$I$89,3,0)*0.475*44/12</f>
        <v>9.1479127850781003E-16</v>
      </c>
      <c r="AX136" s="21">
        <f t="shared" si="114"/>
        <v>1.9356268688758524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-4.5474735088646412E-13</v>
      </c>
      <c r="O137" s="13">
        <f>N137*VLOOKUP('Données projet'!$B$9,Paramètres!$A$1:$I$89,3,0)*VLOOKUP('Données projet'!$B$9,Paramètres!$A$1:$I$89,5,0)</f>
        <v>-2.5420376914553347E-13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512.21337090113502</v>
      </c>
      <c r="T137" s="59">
        <f t="shared" si="142"/>
        <v>621.03633124474163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0.49921193168091221</v>
      </c>
      <c r="AA137" s="21">
        <f>EXP(-LN(2)/25)*AA136+(1-EXP(-LN(2)/25))/(LN(2)/25)*Calculateur!V137*Calculateur!X137*VLOOKUP('Données projet'!$B$9,Paramètres!$A$1:$I$89,3,0)*0.475*44/12</f>
        <v>0.90375080571319621</v>
      </c>
      <c r="AB137" s="21">
        <f>EXP(-LN(2)/2)*AB136+(1-EXP(-LN(2)/2))/(LN(2)/2)*V137*Y137*VLOOKUP('Données projet'!$B$9,Paramètres!$A$1:$I$89,3,0)*0.475*44/12</f>
        <v>1.5578308566603498E-15</v>
      </c>
      <c r="AC137" s="22">
        <f t="shared" si="111"/>
        <v>1.40296273739411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2.2737367544323206E-13</v>
      </c>
      <c r="AJ137" s="13">
        <f>AI137*VLOOKUP('Données projet'!$B$10,Paramètres!$A$1:$I$89,3,0)*VLOOKUP('Données projet'!$B$10,Paramètres!$A$1:$I$89,5,0)</f>
        <v>1.064108801074326E-13</v>
      </c>
      <c r="AK137" s="13">
        <f t="shared" si="143"/>
        <v>1.5870730813698654E-12</v>
      </c>
      <c r="AL137" s="20">
        <f t="shared" si="112"/>
        <v>2.9494845662396269E-12</v>
      </c>
      <c r="AM137" s="59">
        <f t="shared" si="113"/>
        <v>293.33333333333627</v>
      </c>
      <c r="AN137" s="59">
        <f ca="1">AVERAGE(OFFSET($AM$3,0,0,'Données projet'!$E$10+1,1))-AVERAGE(OFFSET($H$3,0,0,'Données projet'!$E$10+1,1))</f>
        <v>294.78071095255143</v>
      </c>
      <c r="AO137" s="59">
        <f t="shared" si="144"/>
        <v>323.52003392365867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0.52511589893909227</v>
      </c>
      <c r="AV137" s="21">
        <f>EXP(-LN(2)/25)*AV136+(1-EXP(-LN(2)/25))/(LN(2)/25)*Calculateur!AQ137*Calculateur!AS137*VLOOKUP('Données projet'!$B$10,Paramètres!$A$1:$I$89,3,0)*0.475*44/12</f>
        <v>1.3617245197244685</v>
      </c>
      <c r="AW137" s="21">
        <f>EXP(-LN(2)/2)*AW136+(1-EXP(-LN(2)/2))/(LN(2)/2)*AQ137*AT137*VLOOKUP('Données projet'!$B$10,Paramètres!$A$1:$I$89,3,0)*0.475*44/12</f>
        <v>6.4685511640318408E-16</v>
      </c>
      <c r="AX137" s="21">
        <f t="shared" si="114"/>
        <v>1.8868404186635614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-4.5474735088646412E-13</v>
      </c>
      <c r="O138" s="13">
        <f>N138*VLOOKUP('Données projet'!$B$9,Paramètres!$A$1:$I$89,3,0)*VLOOKUP('Données projet'!$B$9,Paramètres!$A$1:$I$89,5,0)</f>
        <v>-2.5420376914553347E-13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512.21337090113502</v>
      </c>
      <c r="T138" s="59">
        <f t="shared" si="142"/>
        <v>621.03633124474163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0.48942269018986206</v>
      </c>
      <c r="AA138" s="21">
        <f>EXP(-LN(2)/25)*AA137+(1-EXP(-LN(2)/25))/(LN(2)/25)*Calculateur!V138*Calculateur!X138*VLOOKUP('Données projet'!$B$9,Paramètres!$A$1:$I$89,3,0)*0.475*44/12</f>
        <v>0.87903769240477958</v>
      </c>
      <c r="AB138" s="21">
        <f>EXP(-LN(2)/2)*AB137+(1-EXP(-LN(2)/2))/(LN(2)/2)*V138*Y138*VLOOKUP('Données projet'!$B$9,Paramètres!$A$1:$I$89,3,0)*0.475*44/12</f>
        <v>1.1015527626861818E-15</v>
      </c>
      <c r="AC138" s="22">
        <f t="shared" si="111"/>
        <v>1.3684603825946426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2.2737367544323206E-13</v>
      </c>
      <c r="AJ138" s="13">
        <f>AI138*VLOOKUP('Données projet'!$B$10,Paramètres!$A$1:$I$89,3,0)*VLOOKUP('Données projet'!$B$10,Paramètres!$A$1:$I$89,5,0)</f>
        <v>1.064108801074326E-13</v>
      </c>
      <c r="AK138" s="13">
        <f t="shared" si="143"/>
        <v>1.5870730813698654E-12</v>
      </c>
      <c r="AL138" s="20">
        <f t="shared" si="112"/>
        <v>2.9494845662396269E-12</v>
      </c>
      <c r="AM138" s="59">
        <f t="shared" si="113"/>
        <v>293.33333333333627</v>
      </c>
      <c r="AN138" s="59">
        <f ca="1">AVERAGE(OFFSET($AM$3,0,0,'Données projet'!$E$10+1,1))-AVERAGE(OFFSET($H$3,0,0,'Données projet'!$E$10+1,1))</f>
        <v>294.78071095255143</v>
      </c>
      <c r="AO138" s="59">
        <f t="shared" si="144"/>
        <v>323.52003392365867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0.51481869644996914</v>
      </c>
      <c r="AV138" s="21">
        <f>EXP(-LN(2)/25)*AV137+(1-EXP(-LN(2)/25))/(LN(2)/25)*Calculateur!AQ138*Calculateur!AS138*VLOOKUP('Données projet'!$B$10,Paramètres!$A$1:$I$89,3,0)*0.475*44/12</f>
        <v>1.3244880911226227</v>
      </c>
      <c r="AW138" s="21">
        <f>EXP(-LN(2)/2)*AW137+(1-EXP(-LN(2)/2))/(LN(2)/2)*AQ138*AT138*VLOOKUP('Données projet'!$B$10,Paramètres!$A$1:$I$89,3,0)*0.475*44/12</f>
        <v>4.5739563925390501E-16</v>
      </c>
      <c r="AX138" s="21">
        <f t="shared" si="114"/>
        <v>1.8393067875725921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-4.5474735088646412E-13</v>
      </c>
      <c r="O139" s="13">
        <f>N139*VLOOKUP('Données projet'!$B$9,Paramètres!$A$1:$I$89,3,0)*VLOOKUP('Données projet'!$B$9,Paramètres!$A$1:$I$89,5,0)</f>
        <v>-2.5420376914553347E-13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512.21337090113502</v>
      </c>
      <c r="T139" s="59">
        <f t="shared" si="142"/>
        <v>621.03633124474163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0.47982540975360366</v>
      </c>
      <c r="AA139" s="21">
        <f>EXP(-LN(2)/25)*AA138+(1-EXP(-LN(2)/25))/(LN(2)/25)*Calculateur!V139*Calculateur!X139*VLOOKUP('Données projet'!$B$9,Paramètres!$A$1:$I$89,3,0)*0.475*44/12</f>
        <v>0.85500036047938766</v>
      </c>
      <c r="AB139" s="21">
        <f>EXP(-LN(2)/2)*AB138+(1-EXP(-LN(2)/2))/(LN(2)/2)*V139*Y139*VLOOKUP('Données projet'!$B$9,Paramètres!$A$1:$I$89,3,0)*0.475*44/12</f>
        <v>7.7891542833017491E-16</v>
      </c>
      <c r="AC139" s="22">
        <f t="shared" si="111"/>
        <v>1.3348257702329922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2.2737367544323206E-13</v>
      </c>
      <c r="AJ139" s="13">
        <f>AI139*VLOOKUP('Données projet'!$B$10,Paramètres!$A$1:$I$89,3,0)*VLOOKUP('Données projet'!$B$10,Paramètres!$A$1:$I$89,5,0)</f>
        <v>1.064108801074326E-13</v>
      </c>
      <c r="AK139" s="13">
        <f t="shared" si="143"/>
        <v>1.5870730813698654E-12</v>
      </c>
      <c r="AL139" s="20">
        <f t="shared" si="112"/>
        <v>2.9494845662396269E-12</v>
      </c>
      <c r="AM139" s="59">
        <f t="shared" si="113"/>
        <v>293.33333333333627</v>
      </c>
      <c r="AN139" s="59">
        <f ca="1">AVERAGE(OFFSET($AM$3,0,0,'Données projet'!$E$10+1,1))-AVERAGE(OFFSET($H$3,0,0,'Données projet'!$E$10+1,1))</f>
        <v>294.78071095255143</v>
      </c>
      <c r="AO139" s="59">
        <f t="shared" si="144"/>
        <v>323.52003392365867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0.50472341582098434</v>
      </c>
      <c r="AV139" s="21">
        <f>EXP(-LN(2)/25)*AV138+(1-EXP(-LN(2)/25))/(LN(2)/25)*Calculateur!AQ139*Calculateur!AS139*VLOOKUP('Données projet'!$B$10,Paramètres!$A$1:$I$89,3,0)*0.475*44/12</f>
        <v>1.2882698946190729</v>
      </c>
      <c r="AW139" s="21">
        <f>EXP(-LN(2)/2)*AW138+(1-EXP(-LN(2)/2))/(LN(2)/2)*AQ139*AT139*VLOOKUP('Données projet'!$B$10,Paramètres!$A$1:$I$89,3,0)*0.475*44/12</f>
        <v>3.2342755820159204E-16</v>
      </c>
      <c r="AX139" s="21">
        <f t="shared" si="114"/>
        <v>1.7929933104400575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-4.5474735088646412E-13</v>
      </c>
      <c r="O140" s="13">
        <f>N140*VLOOKUP('Données projet'!$B$9,Paramètres!$A$1:$I$89,3,0)*VLOOKUP('Données projet'!$B$9,Paramètres!$A$1:$I$89,5,0)</f>
        <v>-2.5420376914553347E-13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512.21337090113502</v>
      </c>
      <c r="T140" s="59">
        <f t="shared" si="142"/>
        <v>621.03633124474163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0.47041632613293721</v>
      </c>
      <c r="AA140" s="21">
        <f>EXP(-LN(2)/25)*AA139+(1-EXP(-LN(2)/25))/(LN(2)/25)*Calculateur!V140*Calculateur!X140*VLOOKUP('Données projet'!$B$9,Paramètres!$A$1:$I$89,3,0)*0.475*44/12</f>
        <v>0.83162033065956398</v>
      </c>
      <c r="AB140" s="21">
        <f>EXP(-LN(2)/2)*AB139+(1-EXP(-LN(2)/2))/(LN(2)/2)*V140*Y140*VLOOKUP('Données projet'!$B$9,Paramètres!$A$1:$I$89,3,0)*0.475*44/12</f>
        <v>5.5077638134309092E-16</v>
      </c>
      <c r="AC140" s="22">
        <f t="shared" si="111"/>
        <v>1.3020366567925017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2.2737367544323206E-13</v>
      </c>
      <c r="AJ140" s="13">
        <f>AI140*VLOOKUP('Données projet'!$B$10,Paramètres!$A$1:$I$89,3,0)*VLOOKUP('Données projet'!$B$10,Paramètres!$A$1:$I$89,5,0)</f>
        <v>1.064108801074326E-13</v>
      </c>
      <c r="AK140" s="13">
        <f t="shared" si="143"/>
        <v>1.5870730813698654E-12</v>
      </c>
      <c r="AL140" s="20">
        <f t="shared" si="112"/>
        <v>2.9494845662396269E-12</v>
      </c>
      <c r="AM140" s="59">
        <f t="shared" si="113"/>
        <v>293.33333333333627</v>
      </c>
      <c r="AN140" s="59">
        <f ca="1">AVERAGE(OFFSET($AM$3,0,0,'Données projet'!$E$10+1,1))-AVERAGE(OFFSET($H$3,0,0,'Données projet'!$E$10+1,1))</f>
        <v>294.78071095255143</v>
      </c>
      <c r="AO140" s="59">
        <f t="shared" si="144"/>
        <v>323.52003392365867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0.49482609748762074</v>
      </c>
      <c r="AV140" s="21">
        <f>EXP(-LN(2)/25)*AV139+(1-EXP(-LN(2)/25))/(LN(2)/25)*Calculateur!AQ140*Calculateur!AS140*VLOOKUP('Données projet'!$B$10,Paramètres!$A$1:$I$89,3,0)*0.475*44/12</f>
        <v>1.253042086603545</v>
      </c>
      <c r="AW140" s="21">
        <f>EXP(-LN(2)/2)*AW139+(1-EXP(-LN(2)/2))/(LN(2)/2)*AQ140*AT140*VLOOKUP('Données projet'!$B$10,Paramètres!$A$1:$I$89,3,0)*0.475*44/12</f>
        <v>2.2869781962695251E-16</v>
      </c>
      <c r="AX140" s="21">
        <f t="shared" si="114"/>
        <v>1.7478681840911661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-4.5474735088646412E-13</v>
      </c>
      <c r="O141" s="13">
        <f>N141*VLOOKUP('Données projet'!$B$9,Paramètres!$A$1:$I$89,3,0)*VLOOKUP('Données projet'!$B$9,Paramètres!$A$1:$I$89,5,0)</f>
        <v>-2.5420376914553347E-13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512.21337090113502</v>
      </c>
      <c r="T141" s="59">
        <f t="shared" si="142"/>
        <v>621.03633124474163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0.46119174890309772</v>
      </c>
      <c r="AA141" s="21">
        <f>EXP(-LN(2)/25)*AA140+(1-EXP(-LN(2)/25))/(LN(2)/25)*Calculateur!V141*Calculateur!X141*VLOOKUP('Données projet'!$B$9,Paramètres!$A$1:$I$89,3,0)*0.475*44/12</f>
        <v>0.8088796289846657</v>
      </c>
      <c r="AB141" s="21">
        <f>EXP(-LN(2)/2)*AB140+(1-EXP(-LN(2)/2))/(LN(2)/2)*V141*Y141*VLOOKUP('Données projet'!$B$9,Paramètres!$A$1:$I$89,3,0)*0.475*44/12</f>
        <v>3.8945771416508746E-16</v>
      </c>
      <c r="AC141" s="22">
        <f t="shared" si="111"/>
        <v>1.2700713778877639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2.2737367544323206E-13</v>
      </c>
      <c r="AJ141" s="13">
        <f>AI141*VLOOKUP('Données projet'!$B$10,Paramètres!$A$1:$I$89,3,0)*VLOOKUP('Données projet'!$B$10,Paramètres!$A$1:$I$89,5,0)</f>
        <v>1.064108801074326E-13</v>
      </c>
      <c r="AK141" s="13">
        <f t="shared" si="143"/>
        <v>1.5870730813698654E-12</v>
      </c>
      <c r="AL141" s="20">
        <f t="shared" si="112"/>
        <v>2.9494845662396269E-12</v>
      </c>
      <c r="AM141" s="59">
        <f t="shared" si="113"/>
        <v>293.33333333333627</v>
      </c>
      <c r="AN141" s="59">
        <f ca="1">AVERAGE(OFFSET($AM$3,0,0,'Données projet'!$E$10+1,1))-AVERAGE(OFFSET($H$3,0,0,'Données projet'!$E$10+1,1))</f>
        <v>294.78071095255143</v>
      </c>
      <c r="AO141" s="59">
        <f t="shared" si="144"/>
        <v>323.52003392365867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0.48512285953000628</v>
      </c>
      <c r="AV141" s="21">
        <f>EXP(-LN(2)/25)*AV140+(1-EXP(-LN(2)/25))/(LN(2)/25)*Calculateur!AQ141*Calculateur!AS141*VLOOKUP('Données projet'!$B$10,Paramètres!$A$1:$I$89,3,0)*0.475*44/12</f>
        <v>1.2187775848507516</v>
      </c>
      <c r="AW141" s="21">
        <f>EXP(-LN(2)/2)*AW140+(1-EXP(-LN(2)/2))/(LN(2)/2)*AQ141*AT141*VLOOKUP('Données projet'!$B$10,Paramètres!$A$1:$I$89,3,0)*0.475*44/12</f>
        <v>1.6171377910079602E-16</v>
      </c>
      <c r="AX141" s="21">
        <f t="shared" si="114"/>
        <v>1.7039004443807582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-4.5474735088646412E-13</v>
      </c>
      <c r="O142" s="13">
        <f>N142*VLOOKUP('Données projet'!$B$9,Paramètres!$A$1:$I$89,3,0)*VLOOKUP('Données projet'!$B$9,Paramètres!$A$1:$I$89,5,0)</f>
        <v>-2.5420376914553347E-13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512.21337090113502</v>
      </c>
      <c r="T142" s="59">
        <f t="shared" si="142"/>
        <v>621.03633124474163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0.45214806000629881</v>
      </c>
      <c r="AA142" s="21">
        <f>EXP(-LN(2)/25)*AA141+(1-EXP(-LN(2)/25))/(LN(2)/25)*Calculateur!V142*Calculateur!X142*VLOOKUP('Données projet'!$B$9,Paramètres!$A$1:$I$89,3,0)*0.475*44/12</f>
        <v>0.786760772992949</v>
      </c>
      <c r="AB142" s="21">
        <f>EXP(-LN(2)/2)*AB141+(1-EXP(-LN(2)/2))/(LN(2)/2)*V142*Y142*VLOOKUP('Données projet'!$B$9,Paramètres!$A$1:$I$89,3,0)*0.475*44/12</f>
        <v>2.7538819067154546E-16</v>
      </c>
      <c r="AC142" s="22">
        <f t="shared" si="111"/>
        <v>1.2389088329992479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2.2737367544323206E-13</v>
      </c>
      <c r="AJ142" s="13">
        <f>AI142*VLOOKUP('Données projet'!$B$10,Paramètres!$A$1:$I$89,3,0)*VLOOKUP('Données projet'!$B$10,Paramètres!$A$1:$I$89,5,0)</f>
        <v>1.064108801074326E-13</v>
      </c>
      <c r="AK142" s="13">
        <f t="shared" si="143"/>
        <v>1.5870730813698654E-12</v>
      </c>
      <c r="AL142" s="20">
        <f t="shared" si="112"/>
        <v>2.9494845662396269E-12</v>
      </c>
      <c r="AM142" s="59">
        <f t="shared" si="113"/>
        <v>293.33333333333627</v>
      </c>
      <c r="AN142" s="59">
        <f ca="1">AVERAGE(OFFSET($AM$3,0,0,'Données projet'!$E$10+1,1))-AVERAGE(OFFSET($H$3,0,0,'Données projet'!$E$10+1,1))</f>
        <v>294.78071095255143</v>
      </c>
      <c r="AO142" s="59">
        <f t="shared" si="144"/>
        <v>323.52003392365867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0.47560989615034988</v>
      </c>
      <c r="AV142" s="21">
        <f>EXP(-LN(2)/25)*AV141+(1-EXP(-LN(2)/25))/(LN(2)/25)*Calculateur!AQ142*Calculateur!AS142*VLOOKUP('Données projet'!$B$10,Paramètres!$A$1:$I$89,3,0)*0.475*44/12</f>
        <v>1.1854500477002801</v>
      </c>
      <c r="AW142" s="21">
        <f>EXP(-LN(2)/2)*AW141+(1-EXP(-LN(2)/2))/(LN(2)/2)*AQ142*AT142*VLOOKUP('Données projet'!$B$10,Paramètres!$A$1:$I$89,3,0)*0.475*44/12</f>
        <v>1.1434890981347625E-16</v>
      </c>
      <c r="AX142" s="21">
        <f t="shared" si="114"/>
        <v>1.6610599438506302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-4.5474735088646412E-13</v>
      </c>
      <c r="O143" s="13">
        <f>N143*VLOOKUP('Données projet'!$B$9,Paramètres!$A$1:$I$89,3,0)*VLOOKUP('Données projet'!$B$9,Paramètres!$A$1:$I$89,5,0)</f>
        <v>-2.5420376914553347E-13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512.21337090113502</v>
      </c>
      <c r="T143" s="59">
        <f t="shared" si="142"/>
        <v>621.03633124474163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0.44328171233266056</v>
      </c>
      <c r="AA143" s="21">
        <f>EXP(-LN(2)/25)*AA142+(1-EXP(-LN(2)/25))/(LN(2)/25)*Calculateur!V143*Calculateur!X143*VLOOKUP('Données projet'!$B$9,Paramètres!$A$1:$I$89,3,0)*0.475*44/12</f>
        <v>0.7652467582815059</v>
      </c>
      <c r="AB143" s="21">
        <f>EXP(-LN(2)/2)*AB142+(1-EXP(-LN(2)/2))/(LN(2)/2)*V143*Y143*VLOOKUP('Données projet'!$B$9,Paramètres!$A$1:$I$89,3,0)*0.475*44/12</f>
        <v>1.9472885708254373E-16</v>
      </c>
      <c r="AC143" s="22">
        <f t="shared" si="111"/>
        <v>1.2085284706141668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2.2737367544323206E-13</v>
      </c>
      <c r="AJ143" s="13">
        <f>AI143*VLOOKUP('Données projet'!$B$10,Paramètres!$A$1:$I$89,3,0)*VLOOKUP('Données projet'!$B$10,Paramètres!$A$1:$I$89,5,0)</f>
        <v>1.064108801074326E-13</v>
      </c>
      <c r="AK143" s="13">
        <f t="shared" si="143"/>
        <v>1.5870730813698654E-12</v>
      </c>
      <c r="AL143" s="20">
        <f t="shared" si="112"/>
        <v>2.9494845662396269E-12</v>
      </c>
      <c r="AM143" s="59">
        <f t="shared" si="113"/>
        <v>293.33333333333627</v>
      </c>
      <c r="AN143" s="59">
        <f ca="1">AVERAGE(OFFSET($AM$3,0,0,'Données projet'!$E$10+1,1))-AVERAGE(OFFSET($H$3,0,0,'Données projet'!$E$10+1,1))</f>
        <v>294.78071095255143</v>
      </c>
      <c r="AO143" s="59">
        <f t="shared" si="144"/>
        <v>323.52003392365867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0.4662834761802338</v>
      </c>
      <c r="AV143" s="21">
        <f>EXP(-LN(2)/25)*AV142+(1-EXP(-LN(2)/25))/(LN(2)/25)*Calculateur!AQ143*Calculateur!AS143*VLOOKUP('Données projet'!$B$10,Paramètres!$A$1:$I$89,3,0)*0.475*44/12</f>
        <v>1.1530338538058074</v>
      </c>
      <c r="AW143" s="21">
        <f>EXP(-LN(2)/2)*AW142+(1-EXP(-LN(2)/2))/(LN(2)/2)*AQ143*AT143*VLOOKUP('Données projet'!$B$10,Paramètres!$A$1:$I$89,3,0)*0.475*44/12</f>
        <v>8.085688955039801E-17</v>
      </c>
      <c r="AX143" s="21">
        <f t="shared" si="114"/>
        <v>1.6193173299860413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-4.5474735088646412E-13</v>
      </c>
      <c r="O144" s="13">
        <f>N144*VLOOKUP('Données projet'!$B$9,Paramètres!$A$1:$I$89,3,0)*VLOOKUP('Données projet'!$B$9,Paramètres!$A$1:$I$89,5,0)</f>
        <v>-2.5420376914553347E-13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512.21337090113502</v>
      </c>
      <c r="T144" s="59">
        <f t="shared" si="142"/>
        <v>621.03633124474163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0.43458922832896429</v>
      </c>
      <c r="AA144" s="21">
        <f>EXP(-LN(2)/25)*AA143+(1-EXP(-LN(2)/25))/(LN(2)/25)*Calculateur!V144*Calculateur!X144*VLOOKUP('Données projet'!$B$9,Paramètres!$A$1:$I$89,3,0)*0.475*44/12</f>
        <v>0.74432104543372013</v>
      </c>
      <c r="AB144" s="21">
        <f>EXP(-LN(2)/2)*AB143+(1-EXP(-LN(2)/2))/(LN(2)/2)*V144*Y144*VLOOKUP('Données projet'!$B$9,Paramètres!$A$1:$I$89,3,0)*0.475*44/12</f>
        <v>1.3769409533577273E-16</v>
      </c>
      <c r="AC144" s="22">
        <f t="shared" si="111"/>
        <v>1.1789102737626846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2.2737367544323206E-13</v>
      </c>
      <c r="AJ144" s="13">
        <f>AI144*VLOOKUP('Données projet'!$B$10,Paramètres!$A$1:$I$89,3,0)*VLOOKUP('Données projet'!$B$10,Paramètres!$A$1:$I$89,5,0)</f>
        <v>1.064108801074326E-13</v>
      </c>
      <c r="AK144" s="13">
        <f t="shared" si="143"/>
        <v>1.5870730813698654E-12</v>
      </c>
      <c r="AL144" s="20">
        <f t="shared" si="112"/>
        <v>2.9494845662396269E-12</v>
      </c>
      <c r="AM144" s="59">
        <f t="shared" si="113"/>
        <v>293.33333333333627</v>
      </c>
      <c r="AN144" s="59">
        <f ca="1">AVERAGE(OFFSET($AM$3,0,0,'Données projet'!$E$10+1,1))-AVERAGE(OFFSET($H$3,0,0,'Données projet'!$E$10+1,1))</f>
        <v>294.78071095255143</v>
      </c>
      <c r="AO144" s="59">
        <f t="shared" si="144"/>
        <v>323.52003392365867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0.45713994161717725</v>
      </c>
      <c r="AV144" s="21">
        <f>EXP(-LN(2)/25)*AV143+(1-EXP(-LN(2)/25))/(LN(2)/25)*Calculateur!AQ144*Calculateur!AS144*VLOOKUP('Données projet'!$B$10,Paramètres!$A$1:$I$89,3,0)*0.475*44/12</f>
        <v>1.1215040824380724</v>
      </c>
      <c r="AW144" s="21">
        <f>EXP(-LN(2)/2)*AW143+(1-EXP(-LN(2)/2))/(LN(2)/2)*AQ144*AT144*VLOOKUP('Données projet'!$B$10,Paramètres!$A$1:$I$89,3,0)*0.475*44/12</f>
        <v>5.7174454906738127E-17</v>
      </c>
      <c r="AX144" s="21">
        <f t="shared" si="114"/>
        <v>1.5786440240552497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-4.5474735088646412E-13</v>
      </c>
      <c r="O145" s="13">
        <f>N145*VLOOKUP('Données projet'!$B$9,Paramètres!$A$1:$I$89,3,0)*VLOOKUP('Données projet'!$B$9,Paramètres!$A$1:$I$89,5,0)</f>
        <v>-2.5420376914553347E-13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512.21337090113502</v>
      </c>
      <c r="T145" s="59">
        <f t="shared" si="142"/>
        <v>621.03633124474163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0.42606719863468878</v>
      </c>
      <c r="AA145" s="21">
        <f>EXP(-LN(2)/25)*AA144+(1-EXP(-LN(2)/25))/(LN(2)/25)*Calculateur!V145*Calculateur!X145*VLOOKUP('Données projet'!$B$9,Paramètres!$A$1:$I$89,3,0)*0.475*44/12</f>
        <v>0.72396754730419244</v>
      </c>
      <c r="AB145" s="21">
        <f>EXP(-LN(2)/2)*AB144+(1-EXP(-LN(2)/2))/(LN(2)/2)*V145*Y145*VLOOKUP('Données projet'!$B$9,Paramètres!$A$1:$I$89,3,0)*0.475*44/12</f>
        <v>9.7364428541271864E-17</v>
      </c>
      <c r="AC145" s="22">
        <f t="shared" si="111"/>
        <v>1.1500347459388811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2.2737367544323206E-13</v>
      </c>
      <c r="AJ145" s="13">
        <f>AI145*VLOOKUP('Données projet'!$B$10,Paramètres!$A$1:$I$89,3,0)*VLOOKUP('Données projet'!$B$10,Paramètres!$A$1:$I$89,5,0)</f>
        <v>1.064108801074326E-13</v>
      </c>
      <c r="AK145" s="13">
        <f t="shared" si="143"/>
        <v>1.5870730813698654E-12</v>
      </c>
      <c r="AL145" s="20">
        <f t="shared" si="112"/>
        <v>2.9494845662396269E-12</v>
      </c>
      <c r="AM145" s="59">
        <f t="shared" si="113"/>
        <v>293.33333333333627</v>
      </c>
      <c r="AN145" s="59">
        <f ca="1">AVERAGE(OFFSET($AM$3,0,0,'Données projet'!$E$10+1,1))-AVERAGE(OFFSET($H$3,0,0,'Données projet'!$E$10+1,1))</f>
        <v>294.78071095255143</v>
      </c>
      <c r="AO145" s="59">
        <f t="shared" si="144"/>
        <v>323.52003392365867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0.44817570618989683</v>
      </c>
      <c r="AV145" s="21">
        <f>EXP(-LN(2)/25)*AV144+(1-EXP(-LN(2)/25))/(LN(2)/25)*Calculateur!AQ145*Calculateur!AS145*VLOOKUP('Données projet'!$B$10,Paramètres!$A$1:$I$89,3,0)*0.475*44/12</f>
        <v>1.0908364943264668</v>
      </c>
      <c r="AW145" s="21">
        <f>EXP(-LN(2)/2)*AW144+(1-EXP(-LN(2)/2))/(LN(2)/2)*AQ145*AT145*VLOOKUP('Données projet'!$B$10,Paramètres!$A$1:$I$89,3,0)*0.475*44/12</f>
        <v>4.0428444775199005E-17</v>
      </c>
      <c r="AX145" s="21">
        <f t="shared" si="114"/>
        <v>1.5390122005163636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-4.5474735088646412E-13</v>
      </c>
      <c r="O146" s="13">
        <f>N146*VLOOKUP('Données projet'!$B$9,Paramètres!$A$1:$I$89,3,0)*VLOOKUP('Données projet'!$B$9,Paramètres!$A$1:$I$89,5,0)</f>
        <v>-2.5420376914553347E-13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512.21337090113502</v>
      </c>
      <c r="T146" s="59">
        <f t="shared" si="142"/>
        <v>621.03633124474163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0.41771228074479316</v>
      </c>
      <c r="AA146" s="21">
        <f>EXP(-LN(2)/25)*AA145+(1-EXP(-LN(2)/25))/(LN(2)/25)*Calculateur!V146*Calculateur!X146*VLOOKUP('Données projet'!$B$9,Paramètres!$A$1:$I$89,3,0)*0.475*44/12</f>
        <v>0.7041706166513606</v>
      </c>
      <c r="AB146" s="21">
        <f>EXP(-LN(2)/2)*AB145+(1-EXP(-LN(2)/2))/(LN(2)/2)*V146*Y146*VLOOKUP('Données projet'!$B$9,Paramètres!$A$1:$I$89,3,0)*0.475*44/12</f>
        <v>6.8847047667886365E-17</v>
      </c>
      <c r="AC146" s="22">
        <f t="shared" si="111"/>
        <v>1.1218828973961537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2.2737367544323206E-13</v>
      </c>
      <c r="AJ146" s="13">
        <f>AI146*VLOOKUP('Données projet'!$B$10,Paramètres!$A$1:$I$89,3,0)*VLOOKUP('Données projet'!$B$10,Paramètres!$A$1:$I$89,5,0)</f>
        <v>1.064108801074326E-13</v>
      </c>
      <c r="AK146" s="13">
        <f t="shared" si="143"/>
        <v>1.5870730813698654E-12</v>
      </c>
      <c r="AL146" s="20">
        <f t="shared" si="112"/>
        <v>2.9494845662396269E-12</v>
      </c>
      <c r="AM146" s="59">
        <f t="shared" si="113"/>
        <v>293.33333333333627</v>
      </c>
      <c r="AN146" s="59">
        <f ca="1">AVERAGE(OFFSET($AM$3,0,0,'Données projet'!$E$10+1,1))-AVERAGE(OFFSET($H$3,0,0,'Données projet'!$E$10+1,1))</f>
        <v>294.78071095255143</v>
      </c>
      <c r="AO146" s="59">
        <f t="shared" si="144"/>
        <v>323.52003392365867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0.43938725395170164</v>
      </c>
      <c r="AV146" s="21">
        <f>EXP(-LN(2)/25)*AV145+(1-EXP(-LN(2)/25))/(LN(2)/25)*Calculateur!AQ146*Calculateur!AS146*VLOOKUP('Données projet'!$B$10,Paramètres!$A$1:$I$89,3,0)*0.475*44/12</f>
        <v>1.0610075130245114</v>
      </c>
      <c r="AW146" s="21">
        <f>EXP(-LN(2)/2)*AW145+(1-EXP(-LN(2)/2))/(LN(2)/2)*AQ146*AT146*VLOOKUP('Données projet'!$B$10,Paramètres!$A$1:$I$89,3,0)*0.475*44/12</f>
        <v>2.8587227453369063E-17</v>
      </c>
      <c r="AX146" s="21">
        <f t="shared" si="114"/>
        <v>1.500394766976213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-4.5474735088646412E-13</v>
      </c>
      <c r="O147" s="13">
        <f>N147*VLOOKUP('Données projet'!$B$9,Paramètres!$A$1:$I$89,3,0)*VLOOKUP('Données projet'!$B$9,Paramètres!$A$1:$I$89,5,0)</f>
        <v>-2.5420376914553347E-13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512.21337090113502</v>
      </c>
      <c r="T147" s="59">
        <f t="shared" si="142"/>
        <v>621.03633124474163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0.40952119769872164</v>
      </c>
      <c r="AA147" s="21">
        <f>EXP(-LN(2)/25)*AA146+(1-EXP(-LN(2)/25))/(LN(2)/25)*Calculateur!V147*Calculateur!X147*VLOOKUP('Données projet'!$B$9,Paramètres!$A$1:$I$89,3,0)*0.475*44/12</f>
        <v>0.68491503410830579</v>
      </c>
      <c r="AB147" s="21">
        <f>EXP(-LN(2)/2)*AB146+(1-EXP(-LN(2)/2))/(LN(2)/2)*V147*Y147*VLOOKUP('Données projet'!$B$9,Paramètres!$A$1:$I$89,3,0)*0.475*44/12</f>
        <v>4.8682214270635932E-17</v>
      </c>
      <c r="AC147" s="22">
        <f t="shared" si="111"/>
        <v>1.0944362318070273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2.2737367544323206E-13</v>
      </c>
      <c r="AJ147" s="13">
        <f>AI147*VLOOKUP('Données projet'!$B$10,Paramètres!$A$1:$I$89,3,0)*VLOOKUP('Données projet'!$B$10,Paramètres!$A$1:$I$89,5,0)</f>
        <v>1.064108801074326E-13</v>
      </c>
      <c r="AK147" s="13">
        <f t="shared" si="143"/>
        <v>1.5870730813698654E-12</v>
      </c>
      <c r="AL147" s="20">
        <f t="shared" si="112"/>
        <v>2.9494845662396269E-12</v>
      </c>
      <c r="AM147" s="59">
        <f t="shared" si="113"/>
        <v>293.33333333333627</v>
      </c>
      <c r="AN147" s="59">
        <f ca="1">AVERAGE(OFFSET($AM$3,0,0,'Données projet'!$E$10+1,1))-AVERAGE(OFFSET($H$3,0,0,'Données projet'!$E$10+1,1))</f>
        <v>294.78071095255143</v>
      </c>
      <c r="AO147" s="59">
        <f t="shared" si="144"/>
        <v>323.52003392365867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0.43077113790147092</v>
      </c>
      <c r="AV147" s="21">
        <f>EXP(-LN(2)/25)*AV146+(1-EXP(-LN(2)/25))/(LN(2)/25)*Calculateur!AQ147*Calculateur!AS147*VLOOKUP('Données projet'!$B$10,Paramètres!$A$1:$I$89,3,0)*0.475*44/12</f>
        <v>1.031994206784896</v>
      </c>
      <c r="AW147" s="21">
        <f>EXP(-LN(2)/2)*AW146+(1-EXP(-LN(2)/2))/(LN(2)/2)*AQ147*AT147*VLOOKUP('Données projet'!$B$10,Paramètres!$A$1:$I$89,3,0)*0.475*44/12</f>
        <v>2.0214222387599503E-17</v>
      </c>
      <c r="AX147" s="21">
        <f t="shared" si="114"/>
        <v>1.4627653446863669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-4.5474735088646412E-13</v>
      </c>
      <c r="O148" s="13">
        <f>N148*VLOOKUP('Données projet'!$B$9,Paramètres!$A$1:$I$89,3,0)*VLOOKUP('Données projet'!$B$9,Paramètres!$A$1:$I$89,5,0)</f>
        <v>-2.5420376914553347E-13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512.21337090113502</v>
      </c>
      <c r="T148" s="59">
        <f t="shared" si="142"/>
        <v>621.03633124474163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0.40149073679511627</v>
      </c>
      <c r="AA148" s="21">
        <f>EXP(-LN(2)/25)*AA147+(1-EXP(-LN(2)/25))/(LN(2)/25)*Calculateur!V148*Calculateur!X148*VLOOKUP('Données projet'!$B$9,Paramètres!$A$1:$I$89,3,0)*0.475*44/12</f>
        <v>0.66618599648249788</v>
      </c>
      <c r="AB148" s="21">
        <f>EXP(-LN(2)/2)*AB147+(1-EXP(-LN(2)/2))/(LN(2)/2)*V148*Y148*VLOOKUP('Données projet'!$B$9,Paramètres!$A$1:$I$89,3,0)*0.475*44/12</f>
        <v>3.4423523833943183E-17</v>
      </c>
      <c r="AC148" s="22">
        <f t="shared" si="111"/>
        <v>1.0676767332776143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2.2737367544323206E-13</v>
      </c>
      <c r="AJ148" s="13">
        <f>AI148*VLOOKUP('Données projet'!$B$10,Paramètres!$A$1:$I$89,3,0)*VLOOKUP('Données projet'!$B$10,Paramètres!$A$1:$I$89,5,0)</f>
        <v>1.064108801074326E-13</v>
      </c>
      <c r="AK148" s="13">
        <f t="shared" si="143"/>
        <v>1.5870730813698654E-12</v>
      </c>
      <c r="AL148" s="20">
        <f t="shared" si="112"/>
        <v>2.9494845662396269E-12</v>
      </c>
      <c r="AM148" s="59">
        <f t="shared" si="113"/>
        <v>293.33333333333627</v>
      </c>
      <c r="AN148" s="59">
        <f ca="1">AVERAGE(OFFSET($AM$3,0,0,'Données projet'!$E$10+1,1))-AVERAGE(OFFSET($H$3,0,0,'Données projet'!$E$10+1,1))</f>
        <v>294.78071095255143</v>
      </c>
      <c r="AO148" s="59">
        <f t="shared" si="144"/>
        <v>323.52003392365867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0.42232397863167331</v>
      </c>
      <c r="AV148" s="21">
        <f>EXP(-LN(2)/25)*AV147+(1-EXP(-LN(2)/25))/(LN(2)/25)*Calculateur!AQ148*Calculateur!AS148*VLOOKUP('Données projet'!$B$10,Paramètres!$A$1:$I$89,3,0)*0.475*44/12</f>
        <v>1.0037742709301463</v>
      </c>
      <c r="AW148" s="21">
        <f>EXP(-LN(2)/2)*AW147+(1-EXP(-LN(2)/2))/(LN(2)/2)*AQ148*AT148*VLOOKUP('Données projet'!$B$10,Paramètres!$A$1:$I$89,3,0)*0.475*44/12</f>
        <v>1.4293613726684532E-17</v>
      </c>
      <c r="AX148" s="21">
        <f t="shared" si="114"/>
        <v>1.4260982495618195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-4.5474735088646412E-13</v>
      </c>
      <c r="O149" s="13">
        <f>N149*VLOOKUP('Données projet'!$B$9,Paramètres!$A$1:$I$89,3,0)*VLOOKUP('Données projet'!$B$9,Paramètres!$A$1:$I$89,5,0)</f>
        <v>-2.5420376914553347E-13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512.21337090113502</v>
      </c>
      <c r="T149" s="59">
        <f t="shared" si="142"/>
        <v>621.03633124474163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0.39361774833173307</v>
      </c>
      <c r="AA149" s="21">
        <f>EXP(-LN(2)/25)*AA148+(1-EXP(-LN(2)/25))/(LN(2)/25)*Calculateur!V149*Calculateur!X149*VLOOKUP('Données projet'!$B$9,Paramètres!$A$1:$I$89,3,0)*0.475*44/12</f>
        <v>0.64796910537548502</v>
      </c>
      <c r="AB149" s="21">
        <f>EXP(-LN(2)/2)*AB148+(1-EXP(-LN(2)/2))/(LN(2)/2)*V149*Y149*VLOOKUP('Données projet'!$B$9,Paramètres!$A$1:$I$89,3,0)*0.475*44/12</f>
        <v>2.4341107135317966E-17</v>
      </c>
      <c r="AC149" s="22">
        <f t="shared" si="111"/>
        <v>1.0415868537072182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2.2737367544323206E-13</v>
      </c>
      <c r="AJ149" s="13">
        <f>AI149*VLOOKUP('Données projet'!$B$10,Paramètres!$A$1:$I$89,3,0)*VLOOKUP('Données projet'!$B$10,Paramètres!$A$1:$I$89,5,0)</f>
        <v>1.064108801074326E-13</v>
      </c>
      <c r="AK149" s="13">
        <f t="shared" si="143"/>
        <v>1.5870730813698654E-12</v>
      </c>
      <c r="AL149" s="20">
        <f t="shared" si="112"/>
        <v>2.9494845662396269E-12</v>
      </c>
      <c r="AM149" s="59">
        <f t="shared" si="113"/>
        <v>293.33333333333627</v>
      </c>
      <c r="AN149" s="59">
        <f ca="1">AVERAGE(OFFSET($AM$3,0,0,'Données projet'!$E$10+1,1))-AVERAGE(OFFSET($H$3,0,0,'Données projet'!$E$10+1,1))</f>
        <v>294.78071095255143</v>
      </c>
      <c r="AO149" s="59">
        <f t="shared" si="144"/>
        <v>323.52003392365867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0.41404246300289804</v>
      </c>
      <c r="AV149" s="21">
        <f>EXP(-LN(2)/25)*AV148+(1-EXP(-LN(2)/25))/(LN(2)/25)*Calculateur!AQ149*Calculateur!AS149*VLOOKUP('Données projet'!$B$10,Paramètres!$A$1:$I$89,3,0)*0.475*44/12</f>
        <v>0.97632601070536662</v>
      </c>
      <c r="AW149" s="21">
        <f>EXP(-LN(2)/2)*AW148+(1-EXP(-LN(2)/2))/(LN(2)/2)*AQ149*AT149*VLOOKUP('Données projet'!$B$10,Paramètres!$A$1:$I$89,3,0)*0.475*44/12</f>
        <v>1.0107111193799751E-17</v>
      </c>
      <c r="AX149" s="21">
        <f t="shared" si="114"/>
        <v>1.3903684737082647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-4.5474735088646412E-13</v>
      </c>
      <c r="O150" s="13">
        <f>N150*VLOOKUP('Données projet'!$B$9,Paramètres!$A$1:$I$89,3,0)*VLOOKUP('Données projet'!$B$9,Paramètres!$A$1:$I$89,5,0)</f>
        <v>-2.5420376914553347E-13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512.21337090113502</v>
      </c>
      <c r="T150" s="59">
        <f t="shared" si="142"/>
        <v>621.03633124474163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0.38589914437006806</v>
      </c>
      <c r="AA150" s="21">
        <f>EXP(-LN(2)/25)*AA149+(1-EXP(-LN(2)/25))/(LN(2)/25)*Calculateur!V150*Calculateur!X150*VLOOKUP('Données projet'!$B$9,Paramètres!$A$1:$I$89,3,0)*0.475*44/12</f>
        <v>0.63025035611377811</v>
      </c>
      <c r="AB150" s="21">
        <f>EXP(-LN(2)/2)*AB149+(1-EXP(-LN(2)/2))/(LN(2)/2)*V150*Y150*VLOOKUP('Données projet'!$B$9,Paramètres!$A$1:$I$89,3,0)*0.475*44/12</f>
        <v>1.7211761916971591E-17</v>
      </c>
      <c r="AC150" s="22">
        <f t="shared" si="111"/>
        <v>1.0161495004838461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2.2737367544323206E-13</v>
      </c>
      <c r="AJ150" s="13">
        <f>AI150*VLOOKUP('Données projet'!$B$10,Paramètres!$A$1:$I$89,3,0)*VLOOKUP('Données projet'!$B$10,Paramètres!$A$1:$I$89,5,0)</f>
        <v>1.064108801074326E-13</v>
      </c>
      <c r="AK150" s="13">
        <f t="shared" si="143"/>
        <v>1.5870730813698654E-12</v>
      </c>
      <c r="AL150" s="20">
        <f t="shared" si="112"/>
        <v>2.9494845662396269E-12</v>
      </c>
      <c r="AM150" s="59">
        <f t="shared" si="113"/>
        <v>293.33333333333627</v>
      </c>
      <c r="AN150" s="59">
        <f ca="1">AVERAGE(OFFSET($AM$3,0,0,'Données projet'!$E$10+1,1))-AVERAGE(OFFSET($H$3,0,0,'Données projet'!$E$10+1,1))</f>
        <v>294.78071095255143</v>
      </c>
      <c r="AO150" s="59">
        <f t="shared" si="144"/>
        <v>323.52003392365867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0.40592334284437731</v>
      </c>
      <c r="AV150" s="21">
        <f>EXP(-LN(2)/25)*AV149+(1-EXP(-LN(2)/25))/(LN(2)/25)*Calculateur!AQ150*Calculateur!AS150*VLOOKUP('Données projet'!$B$10,Paramètres!$A$1:$I$89,3,0)*0.475*44/12</f>
        <v>0.9496283245998749</v>
      </c>
      <c r="AW150" s="21">
        <f>EXP(-LN(2)/2)*AW149+(1-EXP(-LN(2)/2))/(LN(2)/2)*AQ150*AT150*VLOOKUP('Données projet'!$B$10,Paramètres!$A$1:$I$89,3,0)*0.475*44/12</f>
        <v>7.1468068633422658E-18</v>
      </c>
      <c r="AX150" s="21">
        <f t="shared" si="114"/>
        <v>1.3555516674442523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-4.5474735088646412E-13</v>
      </c>
      <c r="O151" s="13">
        <f>N151*VLOOKUP('Données projet'!$B$9,Paramètres!$A$1:$I$89,3,0)*VLOOKUP('Données projet'!$B$9,Paramètres!$A$1:$I$89,5,0)</f>
        <v>-2.5420376914553347E-13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512.21337090113502</v>
      </c>
      <c r="T151" s="59">
        <f t="shared" si="142"/>
        <v>621.03633124474163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0.37833189752420771</v>
      </c>
      <c r="AA151" s="21">
        <f>EXP(-LN(2)/25)*AA150+(1-EXP(-LN(2)/25))/(LN(2)/25)*Calculateur!V151*Calculateur!X151*VLOOKUP('Données projet'!$B$9,Paramètres!$A$1:$I$89,3,0)*0.475*44/12</f>
        <v>0.61301612698242103</v>
      </c>
      <c r="AB151" s="21">
        <f>EXP(-LN(2)/2)*AB150+(1-EXP(-LN(2)/2))/(LN(2)/2)*V151*Y151*VLOOKUP('Données projet'!$B$9,Paramètres!$A$1:$I$89,3,0)*0.475*44/12</f>
        <v>1.2170553567658983E-17</v>
      </c>
      <c r="AC151" s="22">
        <f t="shared" si="111"/>
        <v>0.99134802450662873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2.2737367544323206E-13</v>
      </c>
      <c r="AJ151" s="13">
        <f>AI151*VLOOKUP('Données projet'!$B$10,Paramètres!$A$1:$I$89,3,0)*VLOOKUP('Données projet'!$B$10,Paramètres!$A$1:$I$89,5,0)</f>
        <v>1.064108801074326E-13</v>
      </c>
      <c r="AK151" s="13">
        <f t="shared" si="143"/>
        <v>1.5870730813698654E-12</v>
      </c>
      <c r="AL151" s="20">
        <f t="shared" si="112"/>
        <v>2.9494845662396269E-12</v>
      </c>
      <c r="AM151" s="59">
        <f t="shared" si="113"/>
        <v>293.33333333333627</v>
      </c>
      <c r="AN151" s="59">
        <f ca="1">AVERAGE(OFFSET($AM$3,0,0,'Données projet'!$E$10+1,1))-AVERAGE(OFFSET($H$3,0,0,'Données projet'!$E$10+1,1))</f>
        <v>294.78071095255143</v>
      </c>
      <c r="AO151" s="59">
        <f t="shared" si="144"/>
        <v>323.52003392365867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0.39796343367999082</v>
      </c>
      <c r="AV151" s="21">
        <f>EXP(-LN(2)/25)*AV150+(1-EXP(-LN(2)/25))/(LN(2)/25)*Calculateur!AQ151*Calculateur!AS151*VLOOKUP('Données projet'!$B$10,Paramètres!$A$1:$I$89,3,0)*0.475*44/12</f>
        <v>0.92366068812490809</v>
      </c>
      <c r="AW151" s="21">
        <f>EXP(-LN(2)/2)*AW150+(1-EXP(-LN(2)/2))/(LN(2)/2)*AQ151*AT151*VLOOKUP('Données projet'!$B$10,Paramètres!$A$1:$I$89,3,0)*0.475*44/12</f>
        <v>5.0535555968998756E-18</v>
      </c>
      <c r="AX151" s="21">
        <f t="shared" si="114"/>
        <v>1.321624121804899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-4.5474735088646412E-13</v>
      </c>
      <c r="O152" s="13">
        <f>N152*VLOOKUP('Données projet'!$B$9,Paramètres!$A$1:$I$89,3,0)*VLOOKUP('Données projet'!$B$9,Paramètres!$A$1:$I$89,5,0)</f>
        <v>-2.5420376914553347E-13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512.21337090113502</v>
      </c>
      <c r="T152" s="59">
        <f t="shared" si="142"/>
        <v>621.03633124474163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0.37091303977342988</v>
      </c>
      <c r="AA152" s="21">
        <f>EXP(-LN(2)/25)*AA151+(1-EXP(-LN(2)/25))/(LN(2)/25)*Calculateur!V152*Calculateur!X152*VLOOKUP('Données projet'!$B$9,Paramètres!$A$1:$I$89,3,0)*0.475*44/12</f>
        <v>0.59625316875296963</v>
      </c>
      <c r="AB152" s="21">
        <f>EXP(-LN(2)/2)*AB151+(1-EXP(-LN(2)/2))/(LN(2)/2)*V152*Y152*VLOOKUP('Données projet'!$B$9,Paramètres!$A$1:$I$89,3,0)*0.475*44/12</f>
        <v>8.6058809584857956E-18</v>
      </c>
      <c r="AC152" s="22">
        <f t="shared" si="111"/>
        <v>0.96716620852639945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2.2737367544323206E-13</v>
      </c>
      <c r="AJ152" s="13">
        <f>AI152*VLOOKUP('Données projet'!$B$10,Paramètres!$A$1:$I$89,3,0)*VLOOKUP('Données projet'!$B$10,Paramètres!$A$1:$I$89,5,0)</f>
        <v>1.064108801074326E-13</v>
      </c>
      <c r="AK152" s="13">
        <f t="shared" si="143"/>
        <v>1.5870730813698654E-12</v>
      </c>
      <c r="AL152" s="20">
        <f t="shared" si="112"/>
        <v>2.9494845662396269E-12</v>
      </c>
      <c r="AM152" s="59">
        <f t="shared" si="113"/>
        <v>293.33333333333627</v>
      </c>
      <c r="AN152" s="59">
        <f ca="1">AVERAGE(OFFSET($AM$3,0,0,'Données projet'!$E$10+1,1))-AVERAGE(OFFSET($H$3,0,0,'Données projet'!$E$10+1,1))</f>
        <v>294.78071095255143</v>
      </c>
      <c r="AO152" s="59">
        <f t="shared" si="144"/>
        <v>323.52003392365867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0.39015961347925276</v>
      </c>
      <c r="AV152" s="21">
        <f>EXP(-LN(2)/25)*AV151+(1-EXP(-LN(2)/25))/(LN(2)/25)*Calculateur!AQ152*Calculateur!AS152*VLOOKUP('Données projet'!$B$10,Paramètres!$A$1:$I$89,3,0)*0.475*44/12</f>
        <v>0.89840313803492799</v>
      </c>
      <c r="AW152" s="21">
        <f>EXP(-LN(2)/2)*AW151+(1-EXP(-LN(2)/2))/(LN(2)/2)*AQ152*AT152*VLOOKUP('Données projet'!$B$10,Paramètres!$A$1:$I$89,3,0)*0.475*44/12</f>
        <v>3.5734034316711329E-18</v>
      </c>
      <c r="AX152" s="21">
        <f t="shared" si="114"/>
        <v>1.2885627515141809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-4.5474735088646412E-13</v>
      </c>
      <c r="O153" s="13">
        <f>N153*VLOOKUP('Données projet'!$B$9,Paramètres!$A$1:$I$89,3,0)*VLOOKUP('Données projet'!$B$9,Paramètres!$A$1:$I$89,5,0)</f>
        <v>-2.5420376914553347E-13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512.21337090113502</v>
      </c>
      <c r="T153" s="59">
        <f t="shared" si="142"/>
        <v>621.03633124474163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0.36363966129808839</v>
      </c>
      <c r="AA153" s="21">
        <f>EXP(-LN(2)/25)*AA152+(1-EXP(-LN(2)/25))/(LN(2)/25)*Calculateur!V153*Calculateur!X153*VLOOKUP('Données projet'!$B$9,Paramètres!$A$1:$I$89,3,0)*0.475*44/12</f>
        <v>0.57994859449782832</v>
      </c>
      <c r="AB153" s="21">
        <f>EXP(-LN(2)/2)*AB152+(1-EXP(-LN(2)/2))/(LN(2)/2)*V153*Y153*VLOOKUP('Données projet'!$B$9,Paramètres!$A$1:$I$89,3,0)*0.475*44/12</f>
        <v>6.0852767838294915E-18</v>
      </c>
      <c r="AC153" s="22">
        <f t="shared" si="111"/>
        <v>0.94358825579591676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2.2737367544323206E-13</v>
      </c>
      <c r="AJ153" s="13">
        <f>AI153*VLOOKUP('Données projet'!$B$10,Paramètres!$A$1:$I$89,3,0)*VLOOKUP('Données projet'!$B$10,Paramètres!$A$1:$I$89,5,0)</f>
        <v>1.064108801074326E-13</v>
      </c>
      <c r="AK153" s="13">
        <f t="shared" si="143"/>
        <v>1.5870730813698654E-12</v>
      </c>
      <c r="AL153" s="20">
        <f t="shared" si="112"/>
        <v>2.9494845662396269E-12</v>
      </c>
      <c r="AM153" s="59">
        <f t="shared" si="113"/>
        <v>293.33333333333627</v>
      </c>
      <c r="AN153" s="59">
        <f ca="1">AVERAGE(OFFSET($AM$3,0,0,'Données projet'!$E$10+1,1))-AVERAGE(OFFSET($H$3,0,0,'Données projet'!$E$10+1,1))</f>
        <v>294.78071095255143</v>
      </c>
      <c r="AO153" s="59">
        <f t="shared" si="144"/>
        <v>323.52003392365867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0.38250882143279086</v>
      </c>
      <c r="AV153" s="21">
        <f>EXP(-LN(2)/25)*AV152+(1-EXP(-LN(2)/25))/(LN(2)/25)*Calculateur!AQ153*Calculateur!AS153*VLOOKUP('Données projet'!$B$10,Paramètres!$A$1:$I$89,3,0)*0.475*44/12</f>
        <v>0.87383625698039524</v>
      </c>
      <c r="AW153" s="21">
        <f>EXP(-LN(2)/2)*AW152+(1-EXP(-LN(2)/2))/(LN(2)/2)*AQ153*AT153*VLOOKUP('Données projet'!$B$10,Paramètres!$A$1:$I$89,3,0)*0.475*44/12</f>
        <v>2.5267777984499378E-18</v>
      </c>
      <c r="AX153" s="21">
        <f t="shared" si="114"/>
        <v>1.2563450784131862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-4.5474735088646412E-13</v>
      </c>
      <c r="O154" s="13">
        <f>N154*VLOOKUP('Données projet'!$B$9,Paramètres!$A$1:$I$89,3,0)*VLOOKUP('Données projet'!$B$9,Paramètres!$A$1:$I$89,5,0)</f>
        <v>-2.5420376914553347E-13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512.21337090113502</v>
      </c>
      <c r="T154" s="59">
        <f t="shared" si="142"/>
        <v>621.03633124474163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0.35650890933832552</v>
      </c>
      <c r="AA154" s="21">
        <f>EXP(-LN(2)/25)*AA153+(1-EXP(-LN(2)/25))/(LN(2)/25)*Calculateur!V154*Calculateur!X154*VLOOKUP('Données projet'!$B$9,Paramètres!$A$1:$I$89,3,0)*0.475*44/12</f>
        <v>0.56408986968311414</v>
      </c>
      <c r="AB154" s="21">
        <f>EXP(-LN(2)/2)*AB153+(1-EXP(-LN(2)/2))/(LN(2)/2)*V154*Y154*VLOOKUP('Données projet'!$B$9,Paramètres!$A$1:$I$89,3,0)*0.475*44/12</f>
        <v>4.3029404792428978E-18</v>
      </c>
      <c r="AC154" s="22">
        <f t="shared" ref="AC154:AC203" si="163">SUM(Z154:AB154)</f>
        <v>0.92059877902143961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2.2737367544323206E-13</v>
      </c>
      <c r="AJ154" s="13">
        <f>AI154*VLOOKUP('Données projet'!$B$10,Paramètres!$A$1:$I$89,3,0)*VLOOKUP('Données projet'!$B$10,Paramètres!$A$1:$I$89,5,0)</f>
        <v>1.064108801074326E-13</v>
      </c>
      <c r="AK154" s="13">
        <f t="shared" ref="AK154:AK203" si="164">EXP(-1.0587+0.8836*LN(AJ154)+0.284)</f>
        <v>1.5870730813698654E-12</v>
      </c>
      <c r="AL154" s="20">
        <f t="shared" ref="AL154:AL203" si="165">(AJ154+AK154)*0.475*44/12</f>
        <v>2.9494845662396269E-12</v>
      </c>
      <c r="AM154" s="59">
        <f t="shared" si="113"/>
        <v>293.33333333333627</v>
      </c>
      <c r="AN154" s="59">
        <f ca="1">AVERAGE(OFFSET($AM$3,0,0,'Données projet'!$E$10+1,1))-AVERAGE(OFFSET($H$3,0,0,'Données projet'!$E$10+1,1))</f>
        <v>294.78071095255143</v>
      </c>
      <c r="AO154" s="59">
        <f t="shared" si="144"/>
        <v>323.52003392365867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0.37500805675183774</v>
      </c>
      <c r="AV154" s="21">
        <f>EXP(-LN(2)/25)*AV153+(1-EXP(-LN(2)/25))/(LN(2)/25)*Calculateur!AQ154*Calculateur!AS154*VLOOKUP('Données projet'!$B$10,Paramètres!$A$1:$I$89,3,0)*0.475*44/12</f>
        <v>0.8499411585802148</v>
      </c>
      <c r="AW154" s="21">
        <f>EXP(-LN(2)/2)*AW153+(1-EXP(-LN(2)/2))/(LN(2)/2)*AQ154*AT154*VLOOKUP('Données projet'!$B$10,Paramètres!$A$1:$I$89,3,0)*0.475*44/12</f>
        <v>1.7867017158355665E-18</v>
      </c>
      <c r="AX154" s="21">
        <f t="shared" ref="AX154:AX203" si="166">SUM(AU154:AW154)</f>
        <v>1.2249492153320525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-4.5474735088646412E-13</v>
      </c>
      <c r="O155" s="13">
        <f>N155*VLOOKUP('Données projet'!$B$9,Paramètres!$A$1:$I$89,3,0)*VLOOKUP('Données projet'!$B$9,Paramètres!$A$1:$I$89,5,0)</f>
        <v>-2.5420376914553347E-13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512.21337090113502</v>
      </c>
      <c r="T155" s="59">
        <f t="shared" si="142"/>
        <v>621.03633124474163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0.34951798707516435</v>
      </c>
      <c r="AA155" s="21">
        <f>EXP(-LN(2)/25)*AA154+(1-EXP(-LN(2)/25))/(LN(2)/25)*Calculateur!V155*Calculateur!X155*VLOOKUP('Données projet'!$B$9,Paramètres!$A$1:$I$89,3,0)*0.475*44/12</f>
        <v>0.54866480253243244</v>
      </c>
      <c r="AB155" s="21">
        <f>EXP(-LN(2)/2)*AB154+(1-EXP(-LN(2)/2))/(LN(2)/2)*V155*Y155*VLOOKUP('Données projet'!$B$9,Paramètres!$A$1:$I$89,3,0)*0.475*44/12</f>
        <v>3.0426383919147457E-18</v>
      </c>
      <c r="AC155" s="22">
        <f t="shared" si="163"/>
        <v>0.89818278960759679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2.2737367544323206E-13</v>
      </c>
      <c r="AJ155" s="13">
        <f>AI155*VLOOKUP('Données projet'!$B$10,Paramètres!$A$1:$I$89,3,0)*VLOOKUP('Données projet'!$B$10,Paramètres!$A$1:$I$89,5,0)</f>
        <v>1.064108801074326E-13</v>
      </c>
      <c r="AK155" s="13">
        <f t="shared" si="164"/>
        <v>1.5870730813698654E-12</v>
      </c>
      <c r="AL155" s="20">
        <f t="shared" si="165"/>
        <v>2.9494845662396269E-12</v>
      </c>
      <c r="AM155" s="59">
        <f t="shared" si="113"/>
        <v>293.33333333333627</v>
      </c>
      <c r="AN155" s="59">
        <f ca="1">AVERAGE(OFFSET($AM$3,0,0,'Données projet'!$E$10+1,1))-AVERAGE(OFFSET($H$3,0,0,'Données projet'!$E$10+1,1))</f>
        <v>294.78071095255143</v>
      </c>
      <c r="AO155" s="59">
        <f t="shared" si="144"/>
        <v>323.52003392365867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0.3676543774912634</v>
      </c>
      <c r="AV155" s="21">
        <f>EXP(-LN(2)/25)*AV154+(1-EXP(-LN(2)/25))/(LN(2)/25)*Calculateur!AQ155*Calculateur!AS155*VLOOKUP('Données projet'!$B$10,Paramètres!$A$1:$I$89,3,0)*0.475*44/12</f>
        <v>0.82669947290237589</v>
      </c>
      <c r="AW155" s="21">
        <f>EXP(-LN(2)/2)*AW154+(1-EXP(-LN(2)/2))/(LN(2)/2)*AQ155*AT155*VLOOKUP('Données projet'!$B$10,Paramètres!$A$1:$I$89,3,0)*0.475*44/12</f>
        <v>1.2633888992249689E-18</v>
      </c>
      <c r="AX155" s="21">
        <f t="shared" si="166"/>
        <v>1.1943538503936393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-4.5474735088646412E-13</v>
      </c>
      <c r="O156" s="13">
        <f>N156*VLOOKUP('Données projet'!$B$9,Paramètres!$A$1:$I$89,3,0)*VLOOKUP('Données projet'!$B$9,Paramètres!$A$1:$I$89,5,0)</f>
        <v>-2.5420376914553347E-13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512.21337090113502</v>
      </c>
      <c r="T156" s="59">
        <f t="shared" si="142"/>
        <v>621.03633124474163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0.34266415253354221</v>
      </c>
      <c r="AA156" s="21">
        <f>EXP(-LN(2)/25)*AA155+(1-EXP(-LN(2)/25))/(LN(2)/25)*Calculateur!V156*Calculateur!X156*VLOOKUP('Données projet'!$B$9,Paramètres!$A$1:$I$89,3,0)*0.475*44/12</f>
        <v>0.53366153465415511</v>
      </c>
      <c r="AB156" s="21">
        <f>EXP(-LN(2)/2)*AB155+(1-EXP(-LN(2)/2))/(LN(2)/2)*V156*Y156*VLOOKUP('Données projet'!$B$9,Paramètres!$A$1:$I$89,3,0)*0.475*44/12</f>
        <v>2.1514702396214489E-18</v>
      </c>
      <c r="AC156" s="22">
        <f t="shared" si="163"/>
        <v>0.87632568718769732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2.2737367544323206E-13</v>
      </c>
      <c r="AJ156" s="13">
        <f>AI156*VLOOKUP('Données projet'!$B$10,Paramètres!$A$1:$I$89,3,0)*VLOOKUP('Données projet'!$B$10,Paramètres!$A$1:$I$89,5,0)</f>
        <v>1.064108801074326E-13</v>
      </c>
      <c r="AK156" s="13">
        <f t="shared" si="164"/>
        <v>1.5870730813698654E-12</v>
      </c>
      <c r="AL156" s="20">
        <f t="shared" si="165"/>
        <v>2.9494845662396269E-12</v>
      </c>
      <c r="AM156" s="59">
        <f t="shared" si="113"/>
        <v>293.33333333333627</v>
      </c>
      <c r="AN156" s="59">
        <f ca="1">AVERAGE(OFFSET($AM$3,0,0,'Données projet'!$E$10+1,1))-AVERAGE(OFFSET($H$3,0,0,'Données projet'!$E$10+1,1))</f>
        <v>294.78071095255143</v>
      </c>
      <c r="AO156" s="59">
        <f t="shared" si="144"/>
        <v>323.52003392365867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0.36044489939568741</v>
      </c>
      <c r="AV156" s="21">
        <f>EXP(-LN(2)/25)*AV155+(1-EXP(-LN(2)/25))/(LN(2)/25)*Calculateur!AQ156*Calculateur!AS156*VLOOKUP('Données projet'!$B$10,Paramètres!$A$1:$I$89,3,0)*0.475*44/12</f>
        <v>0.80409333234162461</v>
      </c>
      <c r="AW156" s="21">
        <f>EXP(-LN(2)/2)*AW155+(1-EXP(-LN(2)/2))/(LN(2)/2)*AQ156*AT156*VLOOKUP('Données projet'!$B$10,Paramètres!$A$1:$I$89,3,0)*0.475*44/12</f>
        <v>8.9335085791778323E-19</v>
      </c>
      <c r="AX156" s="21">
        <f t="shared" si="166"/>
        <v>1.1645382317373121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-4.5474735088646412E-13</v>
      </c>
      <c r="O157" s="13">
        <f>N157*VLOOKUP('Données projet'!$B$9,Paramètres!$A$1:$I$89,3,0)*VLOOKUP('Données projet'!$B$9,Paramètres!$A$1:$I$89,5,0)</f>
        <v>-2.5420376914553347E-13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512.21337090113502</v>
      </c>
      <c r="T157" s="59">
        <f t="shared" si="142"/>
        <v>621.03633124474163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0.33594471750685501</v>
      </c>
      <c r="AA157" s="21">
        <f>EXP(-LN(2)/25)*AA156+(1-EXP(-LN(2)/25))/(LN(2)/25)*Calculateur!V157*Calculateur!X157*VLOOKUP('Données projet'!$B$9,Paramètres!$A$1:$I$89,3,0)*0.475*44/12</f>
        <v>0.5190685319249968</v>
      </c>
      <c r="AB157" s="21">
        <f>EXP(-LN(2)/2)*AB156+(1-EXP(-LN(2)/2))/(LN(2)/2)*V157*Y157*VLOOKUP('Données projet'!$B$9,Paramètres!$A$1:$I$89,3,0)*0.475*44/12</f>
        <v>1.5213191959573729E-18</v>
      </c>
      <c r="AC157" s="22">
        <f t="shared" si="163"/>
        <v>0.85501324943185186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2.2737367544323206E-13</v>
      </c>
      <c r="AJ157" s="13">
        <f>AI157*VLOOKUP('Données projet'!$B$10,Paramètres!$A$1:$I$89,3,0)*VLOOKUP('Données projet'!$B$10,Paramètres!$A$1:$I$89,5,0)</f>
        <v>1.064108801074326E-13</v>
      </c>
      <c r="AK157" s="13">
        <f t="shared" si="164"/>
        <v>1.5870730813698654E-12</v>
      </c>
      <c r="AL157" s="20">
        <f t="shared" si="165"/>
        <v>2.9494845662396269E-12</v>
      </c>
      <c r="AM157" s="59">
        <f t="shared" si="113"/>
        <v>293.33333333333627</v>
      </c>
      <c r="AN157" s="59">
        <f ca="1">AVERAGE(OFFSET($AM$3,0,0,'Données projet'!$E$10+1,1))-AVERAGE(OFFSET($H$3,0,0,'Données projet'!$E$10+1,1))</f>
        <v>294.78071095255143</v>
      </c>
      <c r="AO157" s="59">
        <f t="shared" si="144"/>
        <v>323.52003392365867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0.35337679476821826</v>
      </c>
      <c r="AV157" s="21">
        <f>EXP(-LN(2)/25)*AV156+(1-EXP(-LN(2)/25))/(LN(2)/25)*Calculateur!AQ157*Calculateur!AS157*VLOOKUP('Données projet'!$B$10,Paramètres!$A$1:$I$89,3,0)*0.475*44/12</f>
        <v>0.78210535788331237</v>
      </c>
      <c r="AW157" s="21">
        <f>EXP(-LN(2)/2)*AW156+(1-EXP(-LN(2)/2))/(LN(2)/2)*AQ157*AT157*VLOOKUP('Données projet'!$B$10,Paramètres!$A$1:$I$89,3,0)*0.475*44/12</f>
        <v>6.3169444961248446E-19</v>
      </c>
      <c r="AX157" s="21">
        <f t="shared" si="166"/>
        <v>1.1354821526515306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-4.5474735088646412E-13</v>
      </c>
      <c r="O158" s="13">
        <f>N158*VLOOKUP('Données projet'!$B$9,Paramètres!$A$1:$I$89,3,0)*VLOOKUP('Données projet'!$B$9,Paramètres!$A$1:$I$89,5,0)</f>
        <v>-2.5420376914553347E-13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512.21337090113502</v>
      </c>
      <c r="T158" s="59">
        <f t="shared" si="142"/>
        <v>621.03633124474163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0.32935704650259046</v>
      </c>
      <c r="AA158" s="21">
        <f>EXP(-LN(2)/25)*AA157+(1-EXP(-LN(2)/25))/(LN(2)/25)*Calculateur!V158*Calculateur!X158*VLOOKUP('Données projet'!$B$9,Paramètres!$A$1:$I$89,3,0)*0.475*44/12</f>
        <v>0.50487457562287996</v>
      </c>
      <c r="AB158" s="21">
        <f>EXP(-LN(2)/2)*AB157+(1-EXP(-LN(2)/2))/(LN(2)/2)*V158*Y158*VLOOKUP('Données projet'!$B$9,Paramètres!$A$1:$I$89,3,0)*0.475*44/12</f>
        <v>1.0757351198107245E-18</v>
      </c>
      <c r="AC158" s="22">
        <f t="shared" si="163"/>
        <v>0.83423162212547042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2.2737367544323206E-13</v>
      </c>
      <c r="AJ158" s="13">
        <f>AI158*VLOOKUP('Données projet'!$B$10,Paramètres!$A$1:$I$89,3,0)*VLOOKUP('Données projet'!$B$10,Paramètres!$A$1:$I$89,5,0)</f>
        <v>1.064108801074326E-13</v>
      </c>
      <c r="AK158" s="13">
        <f t="shared" si="164"/>
        <v>1.5870730813698654E-12</v>
      </c>
      <c r="AL158" s="20">
        <f t="shared" si="165"/>
        <v>2.9494845662396269E-12</v>
      </c>
      <c r="AM158" s="59">
        <f t="shared" si="113"/>
        <v>293.33333333333627</v>
      </c>
      <c r="AN158" s="59">
        <f ca="1">AVERAGE(OFFSET($AM$3,0,0,'Données projet'!$E$10+1,1))-AVERAGE(OFFSET($H$3,0,0,'Données projet'!$E$10+1,1))</f>
        <v>294.78071095255143</v>
      </c>
      <c r="AO158" s="59">
        <f t="shared" si="144"/>
        <v>323.52003392365867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0.34644729136137564</v>
      </c>
      <c r="AV158" s="21">
        <f>EXP(-LN(2)/25)*AV157+(1-EXP(-LN(2)/25))/(LN(2)/25)*Calculateur!AQ158*Calculateur!AS158*VLOOKUP('Données projet'!$B$10,Paramètres!$A$1:$I$89,3,0)*0.475*44/12</f>
        <v>0.76071864574285997</v>
      </c>
      <c r="AW158" s="21">
        <f>EXP(-LN(2)/2)*AW157+(1-EXP(-LN(2)/2))/(LN(2)/2)*AQ158*AT158*VLOOKUP('Données projet'!$B$10,Paramètres!$A$1:$I$89,3,0)*0.475*44/12</f>
        <v>4.4667542895889161E-19</v>
      </c>
      <c r="AX158" s="21">
        <f t="shared" si="166"/>
        <v>1.1071659371042357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-4.5474735088646412E-13</v>
      </c>
      <c r="O159" s="13">
        <f>N159*VLOOKUP('Données projet'!$B$9,Paramètres!$A$1:$I$89,3,0)*VLOOKUP('Données projet'!$B$9,Paramètres!$A$1:$I$89,5,0)</f>
        <v>-2.5420376914553347E-13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512.21337090113502</v>
      </c>
      <c r="T159" s="59">
        <f t="shared" si="142"/>
        <v>621.03633124474163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0.32289855570863696</v>
      </c>
      <c r="AA159" s="21">
        <f>EXP(-LN(2)/25)*AA158+(1-EXP(-LN(2)/25))/(LN(2)/25)*Calculateur!V159*Calculateur!X159*VLOOKUP('Données projet'!$B$9,Paramètres!$A$1:$I$89,3,0)*0.475*44/12</f>
        <v>0.49106875380227227</v>
      </c>
      <c r="AB159" s="21">
        <f>EXP(-LN(2)/2)*AB158+(1-EXP(-LN(2)/2))/(LN(2)/2)*V159*Y159*VLOOKUP('Données projet'!$B$9,Paramètres!$A$1:$I$89,3,0)*0.475*44/12</f>
        <v>7.6065959797868644E-19</v>
      </c>
      <c r="AC159" s="22">
        <f t="shared" si="163"/>
        <v>0.81396730951090923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2.2737367544323206E-13</v>
      </c>
      <c r="AJ159" s="13">
        <f>AI159*VLOOKUP('Données projet'!$B$10,Paramètres!$A$1:$I$89,3,0)*VLOOKUP('Données projet'!$B$10,Paramètres!$A$1:$I$89,5,0)</f>
        <v>1.064108801074326E-13</v>
      </c>
      <c r="AK159" s="13">
        <f t="shared" si="164"/>
        <v>1.5870730813698654E-12</v>
      </c>
      <c r="AL159" s="20">
        <f t="shared" si="165"/>
        <v>2.9494845662396269E-12</v>
      </c>
      <c r="AM159" s="59">
        <f t="shared" si="113"/>
        <v>293.33333333333627</v>
      </c>
      <c r="AN159" s="59">
        <f ca="1">AVERAGE(OFFSET($AM$3,0,0,'Données projet'!$E$10+1,1))-AVERAGE(OFFSET($H$3,0,0,'Données projet'!$E$10+1,1))</f>
        <v>294.78071095255143</v>
      </c>
      <c r="AO159" s="59">
        <f t="shared" si="144"/>
        <v>323.52003392365867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0.33965367128976148</v>
      </c>
      <c r="AV159" s="21">
        <f>EXP(-LN(2)/25)*AV158+(1-EXP(-LN(2)/25))/(LN(2)/25)*Calculateur!AQ159*Calculateur!AS159*VLOOKUP('Données projet'!$B$10,Paramètres!$A$1:$I$89,3,0)*0.475*44/12</f>
        <v>0.73991675437056648</v>
      </c>
      <c r="AW159" s="21">
        <f>EXP(-LN(2)/2)*AW158+(1-EXP(-LN(2)/2))/(LN(2)/2)*AQ159*AT159*VLOOKUP('Données projet'!$B$10,Paramètres!$A$1:$I$89,3,0)*0.475*44/12</f>
        <v>3.1584722480624223E-19</v>
      </c>
      <c r="AX159" s="21">
        <f t="shared" si="166"/>
        <v>1.079570425660328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-4.5474735088646412E-13</v>
      </c>
      <c r="O160" s="13">
        <f>N160*VLOOKUP('Données projet'!$B$9,Paramètres!$A$1:$I$89,3,0)*VLOOKUP('Données projet'!$B$9,Paramètres!$A$1:$I$89,5,0)</f>
        <v>-2.5420376914553347E-13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512.21337090113502</v>
      </c>
      <c r="T160" s="59">
        <f t="shared" si="142"/>
        <v>621.03633124474163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0.31656671197986253</v>
      </c>
      <c r="AA160" s="21">
        <f>EXP(-LN(2)/25)*AA159+(1-EXP(-LN(2)/25))/(LN(2)/25)*Calculateur!V160*Calculateur!X160*VLOOKUP('Données projet'!$B$9,Paramètres!$A$1:$I$89,3,0)*0.475*44/12</f>
        <v>0.47764045290536572</v>
      </c>
      <c r="AB160" s="21">
        <f>EXP(-LN(2)/2)*AB159+(1-EXP(-LN(2)/2))/(LN(2)/2)*V160*Y160*VLOOKUP('Données projet'!$B$9,Paramètres!$A$1:$I$89,3,0)*0.475*44/12</f>
        <v>5.3786755990536223E-19</v>
      </c>
      <c r="AC160" s="22">
        <f t="shared" si="163"/>
        <v>0.79420716488522825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2.2737367544323206E-13</v>
      </c>
      <c r="AJ160" s="13">
        <f>AI160*VLOOKUP('Données projet'!$B$10,Paramètres!$A$1:$I$89,3,0)*VLOOKUP('Données projet'!$B$10,Paramètres!$A$1:$I$89,5,0)</f>
        <v>1.064108801074326E-13</v>
      </c>
      <c r="AK160" s="13">
        <f t="shared" si="164"/>
        <v>1.5870730813698654E-12</v>
      </c>
      <c r="AL160" s="20">
        <f t="shared" si="165"/>
        <v>2.9494845662396269E-12</v>
      </c>
      <c r="AM160" s="59">
        <f t="shared" si="113"/>
        <v>293.33333333333627</v>
      </c>
      <c r="AN160" s="59">
        <f ca="1">AVERAGE(OFFSET($AM$3,0,0,'Données projet'!$E$10+1,1))-AVERAGE(OFFSET($H$3,0,0,'Données projet'!$E$10+1,1))</f>
        <v>294.78071095255143</v>
      </c>
      <c r="AO160" s="59">
        <f t="shared" si="144"/>
        <v>323.52003392365867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0.3329932699640526</v>
      </c>
      <c r="AV160" s="21">
        <f>EXP(-LN(2)/25)*AV159+(1-EXP(-LN(2)/25))/(LN(2)/25)*Calculateur!AQ160*Calculateur!AS160*VLOOKUP('Données projet'!$B$10,Paramètres!$A$1:$I$89,3,0)*0.475*44/12</f>
        <v>0.71968369181177227</v>
      </c>
      <c r="AW160" s="21">
        <f>EXP(-LN(2)/2)*AW159+(1-EXP(-LN(2)/2))/(LN(2)/2)*AQ160*AT160*VLOOKUP('Données projet'!$B$10,Paramètres!$A$1:$I$89,3,0)*0.475*44/12</f>
        <v>2.2333771447944581E-19</v>
      </c>
      <c r="AX160" s="21">
        <f t="shared" si="166"/>
        <v>1.0526769617758249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-4.5474735088646412E-13</v>
      </c>
      <c r="O161" s="13">
        <f>N161*VLOOKUP('Données projet'!$B$9,Paramètres!$A$1:$I$89,3,0)*VLOOKUP('Données projet'!$B$9,Paramètres!$A$1:$I$89,5,0)</f>
        <v>-2.5420376914553347E-13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512.21337090113502</v>
      </c>
      <c r="T161" s="59">
        <f t="shared" si="142"/>
        <v>621.03633124474163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0.31035903184456598</v>
      </c>
      <c r="AA161" s="21">
        <f>EXP(-LN(2)/25)*AA160+(1-EXP(-LN(2)/25))/(LN(2)/25)*Calculateur!V161*Calculateur!X161*VLOOKUP('Données projet'!$B$9,Paramètres!$A$1:$I$89,3,0)*0.475*44/12</f>
        <v>0.46457934960264874</v>
      </c>
      <c r="AB161" s="21">
        <f>EXP(-LN(2)/2)*AB160+(1-EXP(-LN(2)/2))/(LN(2)/2)*V161*Y161*VLOOKUP('Données projet'!$B$9,Paramètres!$A$1:$I$89,3,0)*0.475*44/12</f>
        <v>3.8032979898934322E-19</v>
      </c>
      <c r="AC161" s="22">
        <f t="shared" si="163"/>
        <v>0.77493838144721472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2.2737367544323206E-13</v>
      </c>
      <c r="AJ161" s="13">
        <f>AI161*VLOOKUP('Données projet'!$B$10,Paramètres!$A$1:$I$89,3,0)*VLOOKUP('Données projet'!$B$10,Paramètres!$A$1:$I$89,5,0)</f>
        <v>1.064108801074326E-13</v>
      </c>
      <c r="AK161" s="13">
        <f t="shared" si="164"/>
        <v>1.5870730813698654E-12</v>
      </c>
      <c r="AL161" s="20">
        <f t="shared" si="165"/>
        <v>2.9494845662396269E-12</v>
      </c>
      <c r="AM161" s="59">
        <f t="shared" si="113"/>
        <v>293.33333333333627</v>
      </c>
      <c r="AN161" s="59">
        <f ca="1">AVERAGE(OFFSET($AM$3,0,0,'Données projet'!$E$10+1,1))-AVERAGE(OFFSET($H$3,0,0,'Données projet'!$E$10+1,1))</f>
        <v>294.78071095255143</v>
      </c>
      <c r="AO161" s="59">
        <f t="shared" si="144"/>
        <v>323.52003392365867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0.32646347504589718</v>
      </c>
      <c r="AV161" s="21">
        <f>EXP(-LN(2)/25)*AV160+(1-EXP(-LN(2)/25))/(LN(2)/25)*Calculateur!AQ161*Calculateur!AS161*VLOOKUP('Données projet'!$B$10,Paramètres!$A$1:$I$89,3,0)*0.475*44/12</f>
        <v>0.70000390341265883</v>
      </c>
      <c r="AW161" s="21">
        <f>EXP(-LN(2)/2)*AW160+(1-EXP(-LN(2)/2))/(LN(2)/2)*AQ161*AT161*VLOOKUP('Données projet'!$B$10,Paramètres!$A$1:$I$89,3,0)*0.475*44/12</f>
        <v>1.5792361240312111E-19</v>
      </c>
      <c r="AX161" s="21">
        <f t="shared" si="166"/>
        <v>1.0264673784585561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-4.5474735088646412E-13</v>
      </c>
      <c r="O162" s="13">
        <f>N162*VLOOKUP('Données projet'!$B$9,Paramètres!$A$1:$I$89,3,0)*VLOOKUP('Données projet'!$B$9,Paramètres!$A$1:$I$89,5,0)</f>
        <v>-2.5420376914553347E-13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512.21337090113502</v>
      </c>
      <c r="T162" s="59">
        <f t="shared" si="142"/>
        <v>621.03633124474163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0.30427308053041163</v>
      </c>
      <c r="AA162" s="21">
        <f>EXP(-LN(2)/25)*AA161+(1-EXP(-LN(2)/25))/(LN(2)/25)*Calculateur!V162*Calculateur!X162*VLOOKUP('Données projet'!$B$9,Paramètres!$A$1:$I$89,3,0)*0.475*44/12</f>
        <v>0.45187540285659811</v>
      </c>
      <c r="AB162" s="21">
        <f>EXP(-LN(2)/2)*AB161+(1-EXP(-LN(2)/2))/(LN(2)/2)*V162*Y162*VLOOKUP('Données projet'!$B$9,Paramètres!$A$1:$I$89,3,0)*0.475*44/12</f>
        <v>2.6893377995268111E-19</v>
      </c>
      <c r="AC162" s="22">
        <f t="shared" si="163"/>
        <v>0.7561484833870098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2.2737367544323206E-13</v>
      </c>
      <c r="AJ162" s="13">
        <f>AI162*VLOOKUP('Données projet'!$B$10,Paramètres!$A$1:$I$89,3,0)*VLOOKUP('Données projet'!$B$10,Paramètres!$A$1:$I$89,5,0)</f>
        <v>1.064108801074326E-13</v>
      </c>
      <c r="AK162" s="13">
        <f t="shared" si="164"/>
        <v>1.5870730813698654E-12</v>
      </c>
      <c r="AL162" s="20">
        <f t="shared" si="165"/>
        <v>2.9494845662396269E-12</v>
      </c>
      <c r="AM162" s="59">
        <f t="shared" si="113"/>
        <v>293.33333333333627</v>
      </c>
      <c r="AN162" s="59">
        <f ca="1">AVERAGE(OFFSET($AM$3,0,0,'Données projet'!$E$10+1,1))-AVERAGE(OFFSET($H$3,0,0,'Données projet'!$E$10+1,1))</f>
        <v>294.78071095255143</v>
      </c>
      <c r="AO162" s="59">
        <f t="shared" si="144"/>
        <v>323.52003392365867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0.32006172542330513</v>
      </c>
      <c r="AV162" s="21">
        <f>EXP(-LN(2)/25)*AV161+(1-EXP(-LN(2)/25))/(LN(2)/25)*Calculateur!AQ162*Calculateur!AS162*VLOOKUP('Données projet'!$B$10,Paramètres!$A$1:$I$89,3,0)*0.475*44/12</f>
        <v>0.68086225986223425</v>
      </c>
      <c r="AW162" s="21">
        <f>EXP(-LN(2)/2)*AW161+(1-EXP(-LN(2)/2))/(LN(2)/2)*AQ162*AT162*VLOOKUP('Données projet'!$B$10,Paramètres!$A$1:$I$89,3,0)*0.475*44/12</f>
        <v>1.116688572397229E-19</v>
      </c>
      <c r="AX162" s="21">
        <f t="shared" si="166"/>
        <v>1.0009239852855394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-4.5474735088646412E-13</v>
      </c>
      <c r="O163" s="13">
        <f>N163*VLOOKUP('Données projet'!$B$9,Paramètres!$A$1:$I$89,3,0)*VLOOKUP('Données projet'!$B$9,Paramètres!$A$1:$I$89,5,0)</f>
        <v>-2.5420376914553347E-13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512.21337090113502</v>
      </c>
      <c r="T163" s="59">
        <f t="shared" si="142"/>
        <v>621.03633124474163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0.29830647100946406</v>
      </c>
      <c r="AA163" s="21">
        <f>EXP(-LN(2)/25)*AA162+(1-EXP(-LN(2)/25))/(LN(2)/25)*Calculateur!V163*Calculateur!X163*VLOOKUP('Données projet'!$B$9,Paramètres!$A$1:$I$89,3,0)*0.475*44/12</f>
        <v>0.43951884620238979</v>
      </c>
      <c r="AB163" s="21">
        <f>EXP(-LN(2)/2)*AB162+(1-EXP(-LN(2)/2))/(LN(2)/2)*V163*Y163*VLOOKUP('Données projet'!$B$9,Paramètres!$A$1:$I$89,3,0)*0.475*44/12</f>
        <v>1.9016489949467161E-19</v>
      </c>
      <c r="AC163" s="22">
        <f t="shared" si="163"/>
        <v>0.73782531721185385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2.2737367544323206E-13</v>
      </c>
      <c r="AJ163" s="13">
        <f>AI163*VLOOKUP('Données projet'!$B$10,Paramètres!$A$1:$I$89,3,0)*VLOOKUP('Données projet'!$B$10,Paramètres!$A$1:$I$89,5,0)</f>
        <v>1.064108801074326E-13</v>
      </c>
      <c r="AK163" s="13">
        <f t="shared" si="164"/>
        <v>1.5870730813698654E-12</v>
      </c>
      <c r="AL163" s="20">
        <f t="shared" si="165"/>
        <v>2.9494845662396269E-12</v>
      </c>
      <c r="AM163" s="59">
        <f t="shared" si="113"/>
        <v>293.33333333333627</v>
      </c>
      <c r="AN163" s="59">
        <f ca="1">AVERAGE(OFFSET($AM$3,0,0,'Données projet'!$E$10+1,1))-AVERAGE(OFFSET($H$3,0,0,'Données projet'!$E$10+1,1))</f>
        <v>294.78071095255143</v>
      </c>
      <c r="AO163" s="59">
        <f t="shared" si="144"/>
        <v>323.52003392365867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0.31378551020613044</v>
      </c>
      <c r="AV163" s="21">
        <f>EXP(-LN(2)/25)*AV162+(1-EXP(-LN(2)/25))/(LN(2)/25)*Calculateur!AQ163*Calculateur!AS163*VLOOKUP('Données projet'!$B$10,Paramètres!$A$1:$I$89,3,0)*0.475*44/12</f>
        <v>0.66224404556131133</v>
      </c>
      <c r="AW163" s="21">
        <f>EXP(-LN(2)/2)*AW162+(1-EXP(-LN(2)/2))/(LN(2)/2)*AQ163*AT163*VLOOKUP('Données projet'!$B$10,Paramètres!$A$1:$I$89,3,0)*0.475*44/12</f>
        <v>7.8961806201560557E-20</v>
      </c>
      <c r="AX163" s="21">
        <f t="shared" si="166"/>
        <v>0.97602955576744177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-4.5474735088646412E-13</v>
      </c>
      <c r="O164" s="13">
        <f>N164*VLOOKUP('Données projet'!$B$9,Paramètres!$A$1:$I$89,3,0)*VLOOKUP('Données projet'!$B$9,Paramètres!$A$1:$I$89,5,0)</f>
        <v>-2.5420376914553347E-13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512.21337090113502</v>
      </c>
      <c r="T164" s="59">
        <f t="shared" si="142"/>
        <v>621.03633124474163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0.29245686306194979</v>
      </c>
      <c r="AA164" s="21">
        <f>EXP(-LN(2)/25)*AA163+(1-EXP(-LN(2)/25))/(LN(2)/25)*Calculateur!V164*Calculateur!X164*VLOOKUP('Données projet'!$B$9,Paramètres!$A$1:$I$89,3,0)*0.475*44/12</f>
        <v>0.42750018023969383</v>
      </c>
      <c r="AB164" s="21">
        <f>EXP(-LN(2)/2)*AB163+(1-EXP(-LN(2)/2))/(LN(2)/2)*V164*Y164*VLOOKUP('Données projet'!$B$9,Paramètres!$A$1:$I$89,3,0)*0.475*44/12</f>
        <v>1.3446688997634056E-19</v>
      </c>
      <c r="AC164" s="22">
        <f t="shared" si="163"/>
        <v>0.71995704330164356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2.2737367544323206E-13</v>
      </c>
      <c r="AJ164" s="13">
        <f>AI164*VLOOKUP('Données projet'!$B$10,Paramètres!$A$1:$I$89,3,0)*VLOOKUP('Données projet'!$B$10,Paramètres!$A$1:$I$89,5,0)</f>
        <v>1.064108801074326E-13</v>
      </c>
      <c r="AK164" s="13">
        <f t="shared" si="164"/>
        <v>1.5870730813698654E-12</v>
      </c>
      <c r="AL164" s="20">
        <f t="shared" si="165"/>
        <v>2.9494845662396269E-12</v>
      </c>
      <c r="AM164" s="59">
        <f t="shared" si="113"/>
        <v>293.33333333333627</v>
      </c>
      <c r="AN164" s="59">
        <f ca="1">AVERAGE(OFFSET($AM$3,0,0,'Données projet'!$E$10+1,1))-AVERAGE(OFFSET($H$3,0,0,'Données projet'!$E$10+1,1))</f>
        <v>294.78071095255143</v>
      </c>
      <c r="AO164" s="59">
        <f t="shared" si="144"/>
        <v>323.52003392365867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0.30763236774125124</v>
      </c>
      <c r="AV164" s="21">
        <f>EXP(-LN(2)/25)*AV163+(1-EXP(-LN(2)/25))/(LN(2)/25)*Calculateur!AQ164*Calculateur!AS164*VLOOKUP('Données projet'!$B$10,Paramètres!$A$1:$I$89,3,0)*0.475*44/12</f>
        <v>0.64413494730953647</v>
      </c>
      <c r="AW164" s="21">
        <f>EXP(-LN(2)/2)*AW163+(1-EXP(-LN(2)/2))/(LN(2)/2)*AQ164*AT164*VLOOKUP('Données projet'!$B$10,Paramètres!$A$1:$I$89,3,0)*0.475*44/12</f>
        <v>5.5834428619861452E-20</v>
      </c>
      <c r="AX164" s="21">
        <f t="shared" si="166"/>
        <v>0.95176731505078771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-4.5474735088646412E-13</v>
      </c>
      <c r="O165" s="13">
        <f>N165*VLOOKUP('Données projet'!$B$9,Paramètres!$A$1:$I$89,3,0)*VLOOKUP('Données projet'!$B$9,Paramètres!$A$1:$I$89,5,0)</f>
        <v>-2.5420376914553347E-13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512.21337090113502</v>
      </c>
      <c r="T165" s="59">
        <f t="shared" si="142"/>
        <v>621.03633124474163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0.28672196235837777</v>
      </c>
      <c r="AA165" s="21">
        <f>EXP(-LN(2)/25)*AA164+(1-EXP(-LN(2)/25))/(LN(2)/25)*Calculateur!V165*Calculateur!X165*VLOOKUP('Données projet'!$B$9,Paramètres!$A$1:$I$89,3,0)*0.475*44/12</f>
        <v>0.41581016532978199</v>
      </c>
      <c r="AB165" s="21">
        <f>EXP(-LN(2)/2)*AB164+(1-EXP(-LN(2)/2))/(LN(2)/2)*V165*Y165*VLOOKUP('Données projet'!$B$9,Paramètres!$A$1:$I$89,3,0)*0.475*44/12</f>
        <v>9.5082449747335804E-20</v>
      </c>
      <c r="AC165" s="22">
        <f t="shared" si="163"/>
        <v>0.70253212768815976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2.2737367544323206E-13</v>
      </c>
      <c r="AJ165" s="13">
        <f>AI165*VLOOKUP('Données projet'!$B$10,Paramètres!$A$1:$I$89,3,0)*VLOOKUP('Données projet'!$B$10,Paramètres!$A$1:$I$89,5,0)</f>
        <v>1.064108801074326E-13</v>
      </c>
      <c r="AK165" s="13">
        <f t="shared" si="164"/>
        <v>1.5870730813698654E-12</v>
      </c>
      <c r="AL165" s="20">
        <f t="shared" si="165"/>
        <v>2.9494845662396269E-12</v>
      </c>
      <c r="AM165" s="59">
        <f t="shared" si="113"/>
        <v>293.33333333333627</v>
      </c>
      <c r="AN165" s="59">
        <f ca="1">AVERAGE(OFFSET($AM$3,0,0,'Données projet'!$E$10+1,1))-AVERAGE(OFFSET($H$3,0,0,'Données projet'!$E$10+1,1))</f>
        <v>294.78071095255143</v>
      </c>
      <c r="AO165" s="59">
        <f t="shared" si="144"/>
        <v>323.52003392365867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0.301599884647062</v>
      </c>
      <c r="AV165" s="21">
        <f>EXP(-LN(2)/25)*AV164+(1-EXP(-LN(2)/25))/(LN(2)/25)*Calculateur!AQ165*Calculateur!AS165*VLOOKUP('Données projet'!$B$10,Paramètres!$A$1:$I$89,3,0)*0.475*44/12</f>
        <v>0.6265210433017725</v>
      </c>
      <c r="AW165" s="21">
        <f>EXP(-LN(2)/2)*AW164+(1-EXP(-LN(2)/2))/(LN(2)/2)*AQ165*AT165*VLOOKUP('Données projet'!$B$10,Paramètres!$A$1:$I$89,3,0)*0.475*44/12</f>
        <v>3.9480903100780278E-20</v>
      </c>
      <c r="AX165" s="21">
        <f t="shared" si="166"/>
        <v>0.9281209279488345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-4.5474735088646412E-13</v>
      </c>
      <c r="O166" s="13">
        <f>N166*VLOOKUP('Données projet'!$B$9,Paramètres!$A$1:$I$89,3,0)*VLOOKUP('Données projet'!$B$9,Paramètres!$A$1:$I$89,5,0)</f>
        <v>-2.5420376914553347E-13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512.21337090113502</v>
      </c>
      <c r="T166" s="59">
        <f t="shared" si="142"/>
        <v>621.03633124474163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0.28109951955965873</v>
      </c>
      <c r="AA166" s="21">
        <f>EXP(-LN(2)/25)*AA165+(1-EXP(-LN(2)/25))/(LN(2)/25)*Calculateur!V166*Calculateur!X166*VLOOKUP('Données projet'!$B$9,Paramètres!$A$1:$I$89,3,0)*0.475*44/12</f>
        <v>0.40443981449233285</v>
      </c>
      <c r="AB166" s="21">
        <f>EXP(-LN(2)/2)*AB165+(1-EXP(-LN(2)/2))/(LN(2)/2)*V166*Y166*VLOOKUP('Données projet'!$B$9,Paramètres!$A$1:$I$89,3,0)*0.475*44/12</f>
        <v>6.7233444988170278E-20</v>
      </c>
      <c r="AC166" s="22">
        <f t="shared" si="163"/>
        <v>0.68553933405199152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2.2737367544323206E-13</v>
      </c>
      <c r="AJ166" s="13">
        <f>AI166*VLOOKUP('Données projet'!$B$10,Paramètres!$A$1:$I$89,3,0)*VLOOKUP('Données projet'!$B$10,Paramètres!$A$1:$I$89,5,0)</f>
        <v>1.064108801074326E-13</v>
      </c>
      <c r="AK166" s="13">
        <f t="shared" si="164"/>
        <v>1.5870730813698654E-12</v>
      </c>
      <c r="AL166" s="20">
        <f t="shared" si="165"/>
        <v>2.9494845662396269E-12</v>
      </c>
      <c r="AM166" s="59">
        <f t="shared" si="113"/>
        <v>293.33333333333627</v>
      </c>
      <c r="AN166" s="59">
        <f ca="1">AVERAGE(OFFSET($AM$3,0,0,'Données projet'!$E$10+1,1))-AVERAGE(OFFSET($H$3,0,0,'Données projet'!$E$10+1,1))</f>
        <v>294.78071095255143</v>
      </c>
      <c r="AO166" s="59">
        <f t="shared" si="144"/>
        <v>323.52003392365867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0.29568569486689844</v>
      </c>
      <c r="AV166" s="21">
        <f>EXP(-LN(2)/25)*AV165+(1-EXP(-LN(2)/25))/(LN(2)/25)*Calculateur!AQ166*Calculateur!AS166*VLOOKUP('Données projet'!$B$10,Paramètres!$A$1:$I$89,3,0)*0.475*44/12</f>
        <v>0.6093887924253758</v>
      </c>
      <c r="AW166" s="21">
        <f>EXP(-LN(2)/2)*AW165+(1-EXP(-LN(2)/2))/(LN(2)/2)*AQ166*AT166*VLOOKUP('Données projet'!$B$10,Paramètres!$A$1:$I$89,3,0)*0.475*44/12</f>
        <v>2.7917214309930726E-20</v>
      </c>
      <c r="AX166" s="21">
        <f t="shared" si="166"/>
        <v>0.90507448729227424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-4.5474735088646412E-13</v>
      </c>
      <c r="O167" s="13">
        <f>N167*VLOOKUP('Données projet'!$B$9,Paramètres!$A$1:$I$89,3,0)*VLOOKUP('Données projet'!$B$9,Paramètres!$A$1:$I$89,5,0)</f>
        <v>-2.5420376914553347E-13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512.21337090113502</v>
      </c>
      <c r="T167" s="59">
        <f t="shared" si="142"/>
        <v>621.03633124474163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0.27558732943487108</v>
      </c>
      <c r="AA167" s="21">
        <f>EXP(-LN(2)/25)*AA166+(1-EXP(-LN(2)/25))/(LN(2)/25)*Calculateur!V167*Calculateur!X167*VLOOKUP('Données projet'!$B$9,Paramètres!$A$1:$I$89,3,0)*0.475*44/12</f>
        <v>0.3933803864964745</v>
      </c>
      <c r="AB167" s="21">
        <f>EXP(-LN(2)/2)*AB166+(1-EXP(-LN(2)/2))/(LN(2)/2)*V167*Y167*VLOOKUP('Données projet'!$B$9,Paramètres!$A$1:$I$89,3,0)*0.475*44/12</f>
        <v>4.7541224873667902E-20</v>
      </c>
      <c r="AC167" s="22">
        <f t="shared" si="163"/>
        <v>0.66896771593134563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2.2737367544323206E-13</v>
      </c>
      <c r="AJ167" s="13">
        <f>AI167*VLOOKUP('Données projet'!$B$10,Paramètres!$A$1:$I$89,3,0)*VLOOKUP('Données projet'!$B$10,Paramètres!$A$1:$I$89,5,0)</f>
        <v>1.064108801074326E-13</v>
      </c>
      <c r="AK167" s="13">
        <f t="shared" si="164"/>
        <v>1.5870730813698654E-12</v>
      </c>
      <c r="AL167" s="20">
        <f t="shared" si="165"/>
        <v>2.9494845662396269E-12</v>
      </c>
      <c r="AM167" s="59">
        <f t="shared" si="113"/>
        <v>293.33333333333627</v>
      </c>
      <c r="AN167" s="59">
        <f ca="1">AVERAGE(OFFSET($AM$3,0,0,'Données projet'!$E$10+1,1))-AVERAGE(OFFSET($H$3,0,0,'Données projet'!$E$10+1,1))</f>
        <v>294.78071095255143</v>
      </c>
      <c r="AO167" s="59">
        <f t="shared" si="144"/>
        <v>323.52003392365867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0.28988747874102433</v>
      </c>
      <c r="AV167" s="21">
        <f>EXP(-LN(2)/25)*AV166+(1-EXP(-LN(2)/25))/(LN(2)/25)*Calculateur!AQ167*Calculateur!AS167*VLOOKUP('Données projet'!$B$10,Paramètres!$A$1:$I$89,3,0)*0.475*44/12</f>
        <v>0.59272502385014003</v>
      </c>
      <c r="AW167" s="21">
        <f>EXP(-LN(2)/2)*AW166+(1-EXP(-LN(2)/2))/(LN(2)/2)*AQ167*AT167*VLOOKUP('Données projet'!$B$10,Paramètres!$A$1:$I$89,3,0)*0.475*44/12</f>
        <v>1.9740451550390139E-20</v>
      </c>
      <c r="AX167" s="21">
        <f t="shared" si="166"/>
        <v>0.88261250259116442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-4.5474735088646412E-13</v>
      </c>
      <c r="O168" s="13">
        <f>N168*VLOOKUP('Données projet'!$B$9,Paramètres!$A$1:$I$89,3,0)*VLOOKUP('Données projet'!$B$9,Paramètres!$A$1:$I$89,5,0)</f>
        <v>-2.5420376914553347E-13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512.21337090113502</v>
      </c>
      <c r="T168" s="59">
        <f t="shared" si="142"/>
        <v>621.03633124474163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0.27018322999632655</v>
      </c>
      <c r="AA168" s="21">
        <f>EXP(-LN(2)/25)*AA167+(1-EXP(-LN(2)/25))/(LN(2)/25)*Calculateur!V168*Calculateur!X168*VLOOKUP('Données projet'!$B$9,Paramètres!$A$1:$I$89,3,0)*0.475*44/12</f>
        <v>0.38262337914075295</v>
      </c>
      <c r="AB168" s="21">
        <f>EXP(-LN(2)/2)*AB167+(1-EXP(-LN(2)/2))/(LN(2)/2)*V168*Y168*VLOOKUP('Données projet'!$B$9,Paramètres!$A$1:$I$89,3,0)*0.475*44/12</f>
        <v>3.3616722494085139E-20</v>
      </c>
      <c r="AC168" s="22">
        <f t="shared" si="163"/>
        <v>0.65280660913707944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2.2737367544323206E-13</v>
      </c>
      <c r="AJ168" s="13">
        <f>AI168*VLOOKUP('Données projet'!$B$10,Paramètres!$A$1:$I$89,3,0)*VLOOKUP('Données projet'!$B$10,Paramètres!$A$1:$I$89,5,0)</f>
        <v>1.064108801074326E-13</v>
      </c>
      <c r="AK168" s="13">
        <f t="shared" si="164"/>
        <v>1.5870730813698654E-12</v>
      </c>
      <c r="AL168" s="20">
        <f t="shared" si="165"/>
        <v>2.9494845662396269E-12</v>
      </c>
      <c r="AM168" s="59">
        <f t="shared" si="113"/>
        <v>293.33333333333627</v>
      </c>
      <c r="AN168" s="59">
        <f ca="1">AVERAGE(OFFSET($AM$3,0,0,'Données projet'!$E$10+1,1))-AVERAGE(OFFSET($H$3,0,0,'Données projet'!$E$10+1,1))</f>
        <v>294.78071095255143</v>
      </c>
      <c r="AO168" s="59">
        <f t="shared" si="144"/>
        <v>323.52003392365867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0.28420296209681595</v>
      </c>
      <c r="AV168" s="21">
        <f>EXP(-LN(2)/25)*AV167+(1-EXP(-LN(2)/25))/(LN(2)/25)*Calculateur!AQ168*Calculateur!AS168*VLOOKUP('Données projet'!$B$10,Paramètres!$A$1:$I$89,3,0)*0.475*44/12</f>
        <v>0.57651692690290368</v>
      </c>
      <c r="AW168" s="21">
        <f>EXP(-LN(2)/2)*AW167+(1-EXP(-LN(2)/2))/(LN(2)/2)*AQ168*AT168*VLOOKUP('Données projet'!$B$10,Paramètres!$A$1:$I$89,3,0)*0.475*44/12</f>
        <v>1.3958607154965363E-20</v>
      </c>
      <c r="AX168" s="21">
        <f t="shared" si="166"/>
        <v>0.86071988899971963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-4.5474735088646412E-13</v>
      </c>
      <c r="O169" s="13">
        <f>N169*VLOOKUP('Données projet'!$B$9,Paramètres!$A$1:$I$89,3,0)*VLOOKUP('Données projet'!$B$9,Paramètres!$A$1:$I$89,5,0)</f>
        <v>-2.5420376914553347E-13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512.21337090113502</v>
      </c>
      <c r="T169" s="59">
        <f t="shared" si="142"/>
        <v>621.03633124474163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0.26488510165159668</v>
      </c>
      <c r="AA169" s="21">
        <f>EXP(-LN(2)/25)*AA168+(1-EXP(-LN(2)/25))/(LN(2)/25)*Calculateur!V169*Calculateur!X169*VLOOKUP('Données projet'!$B$9,Paramètres!$A$1:$I$89,3,0)*0.475*44/12</f>
        <v>0.37216052271686006</v>
      </c>
      <c r="AB169" s="21">
        <f>EXP(-LN(2)/2)*AB168+(1-EXP(-LN(2)/2))/(LN(2)/2)*V169*Y169*VLOOKUP('Données projet'!$B$9,Paramètres!$A$1:$I$89,3,0)*0.475*44/12</f>
        <v>2.3770612436833951E-20</v>
      </c>
      <c r="AC169" s="22">
        <f t="shared" si="163"/>
        <v>0.6370456243684568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2.2737367544323206E-13</v>
      </c>
      <c r="AJ169" s="13">
        <f>AI169*VLOOKUP('Données projet'!$B$10,Paramètres!$A$1:$I$89,3,0)*VLOOKUP('Données projet'!$B$10,Paramètres!$A$1:$I$89,5,0)</f>
        <v>1.064108801074326E-13</v>
      </c>
      <c r="AK169" s="13">
        <f t="shared" si="164"/>
        <v>1.5870730813698654E-12</v>
      </c>
      <c r="AL169" s="20">
        <f t="shared" si="165"/>
        <v>2.9494845662396269E-12</v>
      </c>
      <c r="AM169" s="59">
        <f t="shared" si="113"/>
        <v>293.33333333333627</v>
      </c>
      <c r="AN169" s="59">
        <f ca="1">AVERAGE(OFFSET($AM$3,0,0,'Données projet'!$E$10+1,1))-AVERAGE(OFFSET($H$3,0,0,'Données projet'!$E$10+1,1))</f>
        <v>294.78071095255143</v>
      </c>
      <c r="AO169" s="59">
        <f t="shared" si="144"/>
        <v>323.52003392365867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0.27862991535678772</v>
      </c>
      <c r="AV169" s="21">
        <f>EXP(-LN(2)/25)*AV168+(1-EXP(-LN(2)/25))/(LN(2)/25)*Calculateur!AQ169*Calculateur!AS169*VLOOKUP('Données projet'!$B$10,Paramètres!$A$1:$I$89,3,0)*0.475*44/12</f>
        <v>0.56075204121903621</v>
      </c>
      <c r="AW169" s="21">
        <f>EXP(-LN(2)/2)*AW168+(1-EXP(-LN(2)/2))/(LN(2)/2)*AQ169*AT169*VLOOKUP('Données projet'!$B$10,Paramètres!$A$1:$I$89,3,0)*0.475*44/12</f>
        <v>9.8702257751950696E-21</v>
      </c>
      <c r="AX169" s="21">
        <f t="shared" si="166"/>
        <v>0.83938195657582393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-4.5474735088646412E-13</v>
      </c>
      <c r="O170" s="13">
        <f>N170*VLOOKUP('Données projet'!$B$9,Paramètres!$A$1:$I$89,3,0)*VLOOKUP('Données projet'!$B$9,Paramètres!$A$1:$I$89,5,0)</f>
        <v>-2.5420376914553347E-13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512.21337090113502</v>
      </c>
      <c r="T170" s="59">
        <f t="shared" si="142"/>
        <v>621.03633124474163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0.25969086637216776</v>
      </c>
      <c r="AA170" s="21">
        <f>EXP(-LN(2)/25)*AA169+(1-EXP(-LN(2)/25))/(LN(2)/25)*Calculateur!V170*Calculateur!X170*VLOOKUP('Données projet'!$B$9,Paramètres!$A$1:$I$89,3,0)*0.475*44/12</f>
        <v>0.36198377365209622</v>
      </c>
      <c r="AB170" s="21">
        <f>EXP(-LN(2)/2)*AB169+(1-EXP(-LN(2)/2))/(LN(2)/2)*V170*Y170*VLOOKUP('Données projet'!$B$9,Paramètres!$A$1:$I$89,3,0)*0.475*44/12</f>
        <v>1.680836124704257E-20</v>
      </c>
      <c r="AC170" s="22">
        <f t="shared" si="163"/>
        <v>0.62167464002426398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2.2737367544323206E-13</v>
      </c>
      <c r="AJ170" s="13">
        <f>AI170*VLOOKUP('Données projet'!$B$10,Paramètres!$A$1:$I$89,3,0)*VLOOKUP('Données projet'!$B$10,Paramètres!$A$1:$I$89,5,0)</f>
        <v>1.064108801074326E-13</v>
      </c>
      <c r="AK170" s="13">
        <f t="shared" si="164"/>
        <v>1.5870730813698654E-12</v>
      </c>
      <c r="AL170" s="20">
        <f t="shared" si="165"/>
        <v>2.9494845662396269E-12</v>
      </c>
      <c r="AM170" s="59">
        <f t="shared" si="113"/>
        <v>293.33333333333627</v>
      </c>
      <c r="AN170" s="59">
        <f ca="1">AVERAGE(OFFSET($AM$3,0,0,'Données projet'!$E$10+1,1))-AVERAGE(OFFSET($H$3,0,0,'Données projet'!$E$10+1,1))</f>
        <v>294.78071095255143</v>
      </c>
      <c r="AO170" s="59">
        <f t="shared" si="144"/>
        <v>323.52003392365867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0.27316615266410854</v>
      </c>
      <c r="AV170" s="21">
        <f>EXP(-LN(2)/25)*AV169+(1-EXP(-LN(2)/25))/(LN(2)/25)*Calculateur!AQ170*Calculateur!AS170*VLOOKUP('Données projet'!$B$10,Paramètres!$A$1:$I$89,3,0)*0.475*44/12</f>
        <v>0.54541824716323339</v>
      </c>
      <c r="AW170" s="21">
        <f>EXP(-LN(2)/2)*AW169+(1-EXP(-LN(2)/2))/(LN(2)/2)*AQ170*AT170*VLOOKUP('Données projet'!$B$10,Paramètres!$A$1:$I$89,3,0)*0.475*44/12</f>
        <v>6.9793035774826815E-21</v>
      </c>
      <c r="AX170" s="21">
        <f t="shared" si="166"/>
        <v>0.81858439982734188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-4.5474735088646412E-13</v>
      </c>
      <c r="O171" s="13">
        <f>N171*VLOOKUP('Données projet'!$B$9,Paramètres!$A$1:$I$89,3,0)*VLOOKUP('Données projet'!$B$9,Paramètres!$A$1:$I$89,5,0)</f>
        <v>-2.5420376914553347E-13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512.21337090113502</v>
      </c>
      <c r="T171" s="59">
        <f t="shared" si="142"/>
        <v>621.03633124474163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0.25459848687839776</v>
      </c>
      <c r="AA171" s="21">
        <f>EXP(-LN(2)/25)*AA170+(1-EXP(-LN(2)/25))/(LN(2)/25)*Calculateur!V171*Calculateur!X171*VLOOKUP('Données projet'!$B$9,Paramètres!$A$1:$I$89,3,0)*0.475*44/12</f>
        <v>0.3520853083256803</v>
      </c>
      <c r="AB171" s="21">
        <f>EXP(-LN(2)/2)*AB170+(1-EXP(-LN(2)/2))/(LN(2)/2)*V171*Y171*VLOOKUP('Données projet'!$B$9,Paramètres!$A$1:$I$89,3,0)*0.475*44/12</f>
        <v>1.1885306218416976E-20</v>
      </c>
      <c r="AC171" s="22">
        <f t="shared" si="163"/>
        <v>0.606683795204078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2.2737367544323206E-13</v>
      </c>
      <c r="AJ171" s="13">
        <f>AI171*VLOOKUP('Données projet'!$B$10,Paramètres!$A$1:$I$89,3,0)*VLOOKUP('Données projet'!$B$10,Paramètres!$A$1:$I$89,5,0)</f>
        <v>1.064108801074326E-13</v>
      </c>
      <c r="AK171" s="13">
        <f t="shared" si="164"/>
        <v>1.5870730813698654E-12</v>
      </c>
      <c r="AL171" s="20">
        <f t="shared" si="165"/>
        <v>2.9494845662396269E-12</v>
      </c>
      <c r="AM171" s="59">
        <f t="shared" si="113"/>
        <v>293.33333333333627</v>
      </c>
      <c r="AN171" s="59">
        <f ca="1">AVERAGE(OFFSET($AM$3,0,0,'Données projet'!$E$10+1,1))-AVERAGE(OFFSET($H$3,0,0,'Données projet'!$E$10+1,1))</f>
        <v>294.78071095255143</v>
      </c>
      <c r="AO171" s="59">
        <f t="shared" si="144"/>
        <v>323.52003392365867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0.26780953102526667</v>
      </c>
      <c r="AV171" s="21">
        <f>EXP(-LN(2)/25)*AV170+(1-EXP(-LN(2)/25))/(LN(2)/25)*Calculateur!AQ171*Calculateur!AS171*VLOOKUP('Données projet'!$B$10,Paramètres!$A$1:$I$89,3,0)*0.475*44/12</f>
        <v>0.53050375651225568</v>
      </c>
      <c r="AW171" s="21">
        <f>EXP(-LN(2)/2)*AW170+(1-EXP(-LN(2)/2))/(LN(2)/2)*AQ171*AT171*VLOOKUP('Données projet'!$B$10,Paramètres!$A$1:$I$89,3,0)*0.475*44/12</f>
        <v>4.9351128875975348E-21</v>
      </c>
      <c r="AX171" s="21">
        <f t="shared" si="166"/>
        <v>0.79831328753752229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-4.5474735088646412E-13</v>
      </c>
      <c r="O172" s="13">
        <f>N172*VLOOKUP('Données projet'!$B$9,Paramètres!$A$1:$I$89,3,0)*VLOOKUP('Données projet'!$B$9,Paramètres!$A$1:$I$89,5,0)</f>
        <v>-2.5420376914553347E-13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512.21337090113502</v>
      </c>
      <c r="T172" s="59">
        <f t="shared" si="142"/>
        <v>621.03633124474163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0.24960596584045577</v>
      </c>
      <c r="AA172" s="21">
        <f>EXP(-LN(2)/25)*AA171+(1-EXP(-LN(2)/25))/(LN(2)/25)*Calculateur!V172*Calculateur!X172*VLOOKUP('Données projet'!$B$9,Paramètres!$A$1:$I$89,3,0)*0.475*44/12</f>
        <v>0.34245751705415289</v>
      </c>
      <c r="AB172" s="21">
        <f>EXP(-LN(2)/2)*AB171+(1-EXP(-LN(2)/2))/(LN(2)/2)*V172*Y172*VLOOKUP('Données projet'!$B$9,Paramètres!$A$1:$I$89,3,0)*0.475*44/12</f>
        <v>8.4041806235212848E-21</v>
      </c>
      <c r="AC172" s="22">
        <f t="shared" si="163"/>
        <v>0.59206348289460864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2.2737367544323206E-13</v>
      </c>
      <c r="AJ172" s="13">
        <f>AI172*VLOOKUP('Données projet'!$B$10,Paramètres!$A$1:$I$89,3,0)*VLOOKUP('Données projet'!$B$10,Paramètres!$A$1:$I$89,5,0)</f>
        <v>1.064108801074326E-13</v>
      </c>
      <c r="AK172" s="13">
        <f t="shared" si="164"/>
        <v>1.5870730813698654E-12</v>
      </c>
      <c r="AL172" s="20">
        <f t="shared" si="165"/>
        <v>2.9494845662396269E-12</v>
      </c>
      <c r="AM172" s="59">
        <f t="shared" si="113"/>
        <v>293.33333333333627</v>
      </c>
      <c r="AN172" s="59">
        <f ca="1">AVERAGE(OFFSET($AM$3,0,0,'Données projet'!$E$10+1,1))-AVERAGE(OFFSET($H$3,0,0,'Données projet'!$E$10+1,1))</f>
        <v>294.78071095255143</v>
      </c>
      <c r="AO172" s="59">
        <f t="shared" si="144"/>
        <v>323.52003392365867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0.26255794946954586</v>
      </c>
      <c r="AV172" s="21">
        <f>EXP(-LN(2)/25)*AV171+(1-EXP(-LN(2)/25))/(LN(2)/25)*Calculateur!AQ172*Calculateur!AS172*VLOOKUP('Données projet'!$B$10,Paramètres!$A$1:$I$89,3,0)*0.475*44/12</f>
        <v>0.51599710339244798</v>
      </c>
      <c r="AW172" s="21">
        <f>EXP(-LN(2)/2)*AW171+(1-EXP(-LN(2)/2))/(LN(2)/2)*AQ172*AT172*VLOOKUP('Données projet'!$B$10,Paramètres!$A$1:$I$89,3,0)*0.475*44/12</f>
        <v>3.4896517887413407E-21</v>
      </c>
      <c r="AX172" s="21">
        <f t="shared" si="166"/>
        <v>0.77855505286199378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-4.5474735088646412E-13</v>
      </c>
      <c r="O173" s="13">
        <f>N173*VLOOKUP('Données projet'!$B$9,Paramètres!$A$1:$I$89,3,0)*VLOOKUP('Données projet'!$B$9,Paramètres!$A$1:$I$89,5,0)</f>
        <v>-2.5420376914553347E-13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512.21337090113502</v>
      </c>
      <c r="T173" s="59">
        <f t="shared" si="142"/>
        <v>621.03633124474163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0.2447113450949307</v>
      </c>
      <c r="AA173" s="21">
        <f>EXP(-LN(2)/25)*AA172+(1-EXP(-LN(2)/25))/(LN(2)/25)*Calculateur!V173*Calculateur!X173*VLOOKUP('Données projet'!$B$9,Paramètres!$A$1:$I$89,3,0)*0.475*44/12</f>
        <v>0.33309299824124894</v>
      </c>
      <c r="AB173" s="21">
        <f>EXP(-LN(2)/2)*AB172+(1-EXP(-LN(2)/2))/(LN(2)/2)*V173*Y173*VLOOKUP('Données projet'!$B$9,Paramètres!$A$1:$I$89,3,0)*0.475*44/12</f>
        <v>5.9426531092084878E-21</v>
      </c>
      <c r="AC173" s="22">
        <f t="shared" si="163"/>
        <v>0.57780434333617969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2.2737367544323206E-13</v>
      </c>
      <c r="AJ173" s="13">
        <f>AI173*VLOOKUP('Données projet'!$B$10,Paramètres!$A$1:$I$89,3,0)*VLOOKUP('Données projet'!$B$10,Paramètres!$A$1:$I$89,5,0)</f>
        <v>1.064108801074326E-13</v>
      </c>
      <c r="AK173" s="13">
        <f t="shared" si="164"/>
        <v>1.5870730813698654E-12</v>
      </c>
      <c r="AL173" s="20">
        <f t="shared" si="165"/>
        <v>2.9494845662396269E-12</v>
      </c>
      <c r="AM173" s="59">
        <f t="shared" si="113"/>
        <v>293.33333333333627</v>
      </c>
      <c r="AN173" s="59">
        <f ca="1">AVERAGE(OFFSET($AM$3,0,0,'Données projet'!$E$10+1,1))-AVERAGE(OFFSET($H$3,0,0,'Données projet'!$E$10+1,1))</f>
        <v>294.78071095255143</v>
      </c>
      <c r="AO173" s="59">
        <f t="shared" si="144"/>
        <v>323.52003392365867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0.25740934822498429</v>
      </c>
      <c r="AV173" s="21">
        <f>EXP(-LN(2)/25)*AV172+(1-EXP(-LN(2)/25))/(LN(2)/25)*Calculateur!AQ173*Calculateur!AS173*VLOOKUP('Données projet'!$B$10,Paramètres!$A$1:$I$89,3,0)*0.475*44/12</f>
        <v>0.50188713546507313</v>
      </c>
      <c r="AW173" s="21">
        <f>EXP(-LN(2)/2)*AW172+(1-EXP(-LN(2)/2))/(LN(2)/2)*AQ173*AT173*VLOOKUP('Données projet'!$B$10,Paramètres!$A$1:$I$89,3,0)*0.475*44/12</f>
        <v>2.4675564437987674E-21</v>
      </c>
      <c r="AX173" s="21">
        <f t="shared" si="166"/>
        <v>0.75929648369005742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-4.5474735088646412E-13</v>
      </c>
      <c r="O174" s="13">
        <f>N174*VLOOKUP('Données projet'!$B$9,Paramètres!$A$1:$I$89,3,0)*VLOOKUP('Données projet'!$B$9,Paramètres!$A$1:$I$89,5,0)</f>
        <v>-2.5420376914553347E-13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512.21337090113502</v>
      </c>
      <c r="T174" s="59">
        <f t="shared" si="142"/>
        <v>621.03633124474163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0.2399127048768015</v>
      </c>
      <c r="AA174" s="21">
        <f>EXP(-LN(2)/25)*AA173+(1-EXP(-LN(2)/25))/(LN(2)/25)*Calculateur!V174*Calculateur!X174*VLOOKUP('Données projet'!$B$9,Paramètres!$A$1:$I$89,3,0)*0.475*44/12</f>
        <v>0.32398455268774251</v>
      </c>
      <c r="AB174" s="21">
        <f>EXP(-LN(2)/2)*AB173+(1-EXP(-LN(2)/2))/(LN(2)/2)*V174*Y174*VLOOKUP('Données projet'!$B$9,Paramètres!$A$1:$I$89,3,0)*0.475*44/12</f>
        <v>4.2020903117606424E-21</v>
      </c>
      <c r="AC174" s="22">
        <f t="shared" si="163"/>
        <v>0.56389725756454401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2.2737367544323206E-13</v>
      </c>
      <c r="AJ174" s="13">
        <f>AI174*VLOOKUP('Données projet'!$B$10,Paramètres!$A$1:$I$89,3,0)*VLOOKUP('Données projet'!$B$10,Paramètres!$A$1:$I$89,5,0)</f>
        <v>1.064108801074326E-13</v>
      </c>
      <c r="AK174" s="13">
        <f t="shared" si="164"/>
        <v>1.5870730813698654E-12</v>
      </c>
      <c r="AL174" s="20">
        <f t="shared" si="165"/>
        <v>2.9494845662396269E-12</v>
      </c>
      <c r="AM174" s="59">
        <f t="shared" si="113"/>
        <v>293.33333333333627</v>
      </c>
      <c r="AN174" s="59">
        <f ca="1">AVERAGE(OFFSET($AM$3,0,0,'Données projet'!$E$10+1,1))-AVERAGE(OFFSET($H$3,0,0,'Données projet'!$E$10+1,1))</f>
        <v>294.78071095255143</v>
      </c>
      <c r="AO174" s="59">
        <f t="shared" si="144"/>
        <v>323.52003392365867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0.25236170791049189</v>
      </c>
      <c r="AV174" s="21">
        <f>EXP(-LN(2)/25)*AV173+(1-EXP(-LN(2)/25))/(LN(2)/25)*Calculateur!AQ174*Calculateur!AS174*VLOOKUP('Données projet'!$B$10,Paramètres!$A$1:$I$89,3,0)*0.475*44/12</f>
        <v>0.48816300535268331</v>
      </c>
      <c r="AW174" s="21">
        <f>EXP(-LN(2)/2)*AW173+(1-EXP(-LN(2)/2))/(LN(2)/2)*AQ174*AT174*VLOOKUP('Données projet'!$B$10,Paramètres!$A$1:$I$89,3,0)*0.475*44/12</f>
        <v>1.7448258943706704E-21</v>
      </c>
      <c r="AX174" s="21">
        <f t="shared" si="166"/>
        <v>0.74052471326317515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-4.5474735088646412E-13</v>
      </c>
      <c r="O175" s="13">
        <f>N175*VLOOKUP('Données projet'!$B$9,Paramètres!$A$1:$I$89,3,0)*VLOOKUP('Données projet'!$B$9,Paramètres!$A$1:$I$89,5,0)</f>
        <v>-2.5420376914553347E-13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512.21337090113502</v>
      </c>
      <c r="T175" s="59">
        <f t="shared" si="142"/>
        <v>621.03633124474163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0.23520816306646827</v>
      </c>
      <c r="AA175" s="21">
        <f>EXP(-LN(2)/25)*AA174+(1-EXP(-LN(2)/25))/(LN(2)/25)*Calculateur!V175*Calculateur!X175*VLOOKUP('Données projet'!$B$9,Paramètres!$A$1:$I$89,3,0)*0.475*44/12</f>
        <v>0.31512517805688905</v>
      </c>
      <c r="AB175" s="21">
        <f>EXP(-LN(2)/2)*AB174+(1-EXP(-LN(2)/2))/(LN(2)/2)*V175*Y175*VLOOKUP('Données projet'!$B$9,Paramètres!$A$1:$I$89,3,0)*0.475*44/12</f>
        <v>2.9713265546042439E-21</v>
      </c>
      <c r="AC175" s="22">
        <f t="shared" si="163"/>
        <v>0.5503333411233573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2.2737367544323206E-13</v>
      </c>
      <c r="AJ175" s="13">
        <f>AI175*VLOOKUP('Données projet'!$B$10,Paramètres!$A$1:$I$89,3,0)*VLOOKUP('Données projet'!$B$10,Paramètres!$A$1:$I$89,5,0)</f>
        <v>1.064108801074326E-13</v>
      </c>
      <c r="AK175" s="13">
        <f t="shared" si="164"/>
        <v>1.5870730813698654E-12</v>
      </c>
      <c r="AL175" s="20">
        <f t="shared" si="165"/>
        <v>2.9494845662396269E-12</v>
      </c>
      <c r="AM175" s="59">
        <f t="shared" si="113"/>
        <v>293.33333333333627</v>
      </c>
      <c r="AN175" s="59">
        <f ca="1">AVERAGE(OFFSET($AM$3,0,0,'Données projet'!$E$10+1,1))-AVERAGE(OFFSET($H$3,0,0,'Données projet'!$E$10+1,1))</f>
        <v>294.78071095255143</v>
      </c>
      <c r="AO175" s="59">
        <f t="shared" si="144"/>
        <v>323.52003392365867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0.24741304874381009</v>
      </c>
      <c r="AV175" s="21">
        <f>EXP(-LN(2)/25)*AV174+(1-EXP(-LN(2)/25))/(LN(2)/25)*Calculateur!AQ175*Calculateur!AS175*VLOOKUP('Données projet'!$B$10,Paramètres!$A$1:$I$89,3,0)*0.475*44/12</f>
        <v>0.47481416229993745</v>
      </c>
      <c r="AW175" s="21">
        <f>EXP(-LN(2)/2)*AW174+(1-EXP(-LN(2)/2))/(LN(2)/2)*AQ175*AT175*VLOOKUP('Données projet'!$B$10,Paramètres!$A$1:$I$89,3,0)*0.475*44/12</f>
        <v>1.2337782218993837E-21</v>
      </c>
      <c r="AX175" s="21">
        <f t="shared" si="166"/>
        <v>0.72222721104374754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-4.5474735088646412E-13</v>
      </c>
      <c r="O176" s="13">
        <f>N176*VLOOKUP('Données projet'!$B$9,Paramètres!$A$1:$I$89,3,0)*VLOOKUP('Données projet'!$B$9,Paramètres!$A$1:$I$89,5,0)</f>
        <v>-2.5420376914553347E-13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512.21337090113502</v>
      </c>
      <c r="T176" s="59">
        <f t="shared" si="142"/>
        <v>621.03633124474163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0.23059587445154853</v>
      </c>
      <c r="AA176" s="21">
        <f>EXP(-LN(2)/25)*AA175+(1-EXP(-LN(2)/25))/(LN(2)/25)*Calculateur!V176*Calculateur!X176*VLOOKUP('Données projet'!$B$9,Paramètres!$A$1:$I$89,3,0)*0.475*44/12</f>
        <v>0.30650806349121051</v>
      </c>
      <c r="AB176" s="21">
        <f>EXP(-LN(2)/2)*AB175+(1-EXP(-LN(2)/2))/(LN(2)/2)*V176*Y176*VLOOKUP('Données projet'!$B$9,Paramètres!$A$1:$I$89,3,0)*0.475*44/12</f>
        <v>2.1010451558803212E-21</v>
      </c>
      <c r="AC176" s="22">
        <f t="shared" si="163"/>
        <v>0.53710393794275901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2.2737367544323206E-13</v>
      </c>
      <c r="AJ176" s="13">
        <f>AI176*VLOOKUP('Données projet'!$B$10,Paramètres!$A$1:$I$89,3,0)*VLOOKUP('Données projet'!$B$10,Paramètres!$A$1:$I$89,5,0)</f>
        <v>1.064108801074326E-13</v>
      </c>
      <c r="AK176" s="13">
        <f t="shared" si="164"/>
        <v>1.5870730813698654E-12</v>
      </c>
      <c r="AL176" s="20">
        <f t="shared" si="165"/>
        <v>2.9494845662396269E-12</v>
      </c>
      <c r="AM176" s="59">
        <f t="shared" si="113"/>
        <v>293.33333333333627</v>
      </c>
      <c r="AN176" s="59">
        <f ca="1">AVERAGE(OFFSET($AM$3,0,0,'Données projet'!$E$10+1,1))-AVERAGE(OFFSET($H$3,0,0,'Données projet'!$E$10+1,1))</f>
        <v>294.78071095255143</v>
      </c>
      <c r="AO176" s="59">
        <f t="shared" si="144"/>
        <v>323.52003392365867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0.24256142976500289</v>
      </c>
      <c r="AV176" s="21">
        <f>EXP(-LN(2)/25)*AV175+(1-EXP(-LN(2)/25))/(LN(2)/25)*Calculateur!AQ176*Calculateur!AS176*VLOOKUP('Données projet'!$B$10,Paramètres!$A$1:$I$89,3,0)*0.475*44/12</f>
        <v>0.46183034406245405</v>
      </c>
      <c r="AW176" s="21">
        <f>EXP(-LN(2)/2)*AW175+(1-EXP(-LN(2)/2))/(LN(2)/2)*AQ176*AT176*VLOOKUP('Données projet'!$B$10,Paramètres!$A$1:$I$89,3,0)*0.475*44/12</f>
        <v>8.7241294718533518E-22</v>
      </c>
      <c r="AX176" s="21">
        <f t="shared" si="166"/>
        <v>0.70439177382745699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-4.5474735088646412E-13</v>
      </c>
      <c r="O177" s="13">
        <f>N177*VLOOKUP('Données projet'!$B$9,Paramètres!$A$1:$I$89,3,0)*VLOOKUP('Données projet'!$B$9,Paramètres!$A$1:$I$89,5,0)</f>
        <v>-2.5420376914553347E-13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512.21337090113502</v>
      </c>
      <c r="T177" s="59">
        <f t="shared" si="142"/>
        <v>621.03633124474163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0.22607403000314907</v>
      </c>
      <c r="AA177" s="21">
        <f>EXP(-LN(2)/25)*AA176+(1-EXP(-LN(2)/25))/(LN(2)/25)*Calculateur!V177*Calculateur!X177*VLOOKUP('Données projet'!$B$9,Paramètres!$A$1:$I$89,3,0)*0.475*44/12</f>
        <v>0.29812658437648482</v>
      </c>
      <c r="AB177" s="21">
        <f>EXP(-LN(2)/2)*AB176+(1-EXP(-LN(2)/2))/(LN(2)/2)*V177*Y177*VLOOKUP('Données projet'!$B$9,Paramètres!$A$1:$I$89,3,0)*0.475*44/12</f>
        <v>1.4856632773021219E-21</v>
      </c>
      <c r="AC177" s="22">
        <f t="shared" si="163"/>
        <v>0.52420061437963383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2.2737367544323206E-13</v>
      </c>
      <c r="AJ177" s="13">
        <f>AI177*VLOOKUP('Données projet'!$B$10,Paramètres!$A$1:$I$89,3,0)*VLOOKUP('Données projet'!$B$10,Paramètres!$A$1:$I$89,5,0)</f>
        <v>1.064108801074326E-13</v>
      </c>
      <c r="AK177" s="13">
        <f t="shared" si="164"/>
        <v>1.5870730813698654E-12</v>
      </c>
      <c r="AL177" s="20">
        <f t="shared" si="165"/>
        <v>2.9494845662396269E-12</v>
      </c>
      <c r="AM177" s="59">
        <f t="shared" si="113"/>
        <v>293.33333333333627</v>
      </c>
      <c r="AN177" s="59">
        <f ca="1">AVERAGE(OFFSET($AM$3,0,0,'Données projet'!$E$10+1,1))-AVERAGE(OFFSET($H$3,0,0,'Données projet'!$E$10+1,1))</f>
        <v>294.78071095255143</v>
      </c>
      <c r="AO177" s="59">
        <f t="shared" si="144"/>
        <v>323.52003392365867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0.23780494807517469</v>
      </c>
      <c r="AV177" s="21">
        <f>EXP(-LN(2)/25)*AV176+(1-EXP(-LN(2)/25))/(LN(2)/25)*Calculateur!AQ177*Calculateur!AS177*VLOOKUP('Données projet'!$B$10,Paramètres!$A$1:$I$89,3,0)*0.475*44/12</f>
        <v>0.449201569017464</v>
      </c>
      <c r="AW177" s="21">
        <f>EXP(-LN(2)/2)*AW176+(1-EXP(-LN(2)/2))/(LN(2)/2)*AQ177*AT177*VLOOKUP('Données projet'!$B$10,Paramètres!$A$1:$I$89,3,0)*0.475*44/12</f>
        <v>6.1688911094969185E-22</v>
      </c>
      <c r="AX177" s="21">
        <f t="shared" si="166"/>
        <v>0.68700651709263871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-4.5474735088646412E-13</v>
      </c>
      <c r="O178" s="13">
        <f>N178*VLOOKUP('Données projet'!$B$9,Paramètres!$A$1:$I$89,3,0)*VLOOKUP('Données projet'!$B$9,Paramètres!$A$1:$I$89,5,0)</f>
        <v>-2.5420376914553347E-13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512.21337090113502</v>
      </c>
      <c r="T178" s="59">
        <f t="shared" si="142"/>
        <v>621.03633124474163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0.22164085616632997</v>
      </c>
      <c r="AA178" s="21">
        <f>EXP(-LN(2)/25)*AA177+(1-EXP(-LN(2)/25))/(LN(2)/25)*Calculateur!V178*Calculateur!X178*VLOOKUP('Données projet'!$B$9,Paramètres!$A$1:$I$89,3,0)*0.475*44/12</f>
        <v>0.28997429724891416</v>
      </c>
      <c r="AB178" s="21">
        <f>EXP(-LN(2)/2)*AB177+(1-EXP(-LN(2)/2))/(LN(2)/2)*V178*Y178*VLOOKUP('Données projet'!$B$9,Paramètres!$A$1:$I$89,3,0)*0.475*44/12</f>
        <v>1.0505225779401606E-21</v>
      </c>
      <c r="AC178" s="22">
        <f t="shared" si="163"/>
        <v>0.51161515341524411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2.2737367544323206E-13</v>
      </c>
      <c r="AJ178" s="13">
        <f>AI178*VLOOKUP('Données projet'!$B$10,Paramètres!$A$1:$I$89,3,0)*VLOOKUP('Données projet'!$B$10,Paramètres!$A$1:$I$89,5,0)</f>
        <v>1.064108801074326E-13</v>
      </c>
      <c r="AK178" s="13">
        <f t="shared" si="164"/>
        <v>1.5870730813698654E-12</v>
      </c>
      <c r="AL178" s="20">
        <f t="shared" si="165"/>
        <v>2.9494845662396269E-12</v>
      </c>
      <c r="AM178" s="59">
        <f t="shared" si="113"/>
        <v>293.33333333333627</v>
      </c>
      <c r="AN178" s="59">
        <f ca="1">AVERAGE(OFFSET($AM$3,0,0,'Données projet'!$E$10+1,1))-AVERAGE(OFFSET($H$3,0,0,'Données projet'!$E$10+1,1))</f>
        <v>294.78071095255143</v>
      </c>
      <c r="AO178" s="59">
        <f t="shared" si="144"/>
        <v>323.52003392365867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0.23314173809011668</v>
      </c>
      <c r="AV178" s="21">
        <f>EXP(-LN(2)/25)*AV177+(1-EXP(-LN(2)/25))/(LN(2)/25)*Calculateur!AQ178*Calculateur!AS178*VLOOKUP('Données projet'!$B$10,Paramètres!$A$1:$I$89,3,0)*0.475*44/12</f>
        <v>0.43691812849019762</v>
      </c>
      <c r="AW178" s="21">
        <f>EXP(-LN(2)/2)*AW177+(1-EXP(-LN(2)/2))/(LN(2)/2)*AQ178*AT178*VLOOKUP('Données projet'!$B$10,Paramètres!$A$1:$I$89,3,0)*0.475*44/12</f>
        <v>4.3620647359266759E-22</v>
      </c>
      <c r="AX178" s="21">
        <f t="shared" si="166"/>
        <v>0.67005986658031436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-4.5474735088646412E-13</v>
      </c>
      <c r="O179" s="13">
        <f>N179*VLOOKUP('Données projet'!$B$9,Paramètres!$A$1:$I$89,3,0)*VLOOKUP('Données projet'!$B$9,Paramètres!$A$1:$I$89,5,0)</f>
        <v>-2.5420376914553347E-13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512.21337090113502</v>
      </c>
      <c r="T179" s="59">
        <f t="shared" si="142"/>
        <v>621.03633124474163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0.21729461416448184</v>
      </c>
      <c r="AA179" s="21">
        <f>EXP(-LN(2)/25)*AA178+(1-EXP(-LN(2)/25))/(LN(2)/25)*Calculateur!V179*Calculateur!X179*VLOOKUP('Données projet'!$B$9,Paramètres!$A$1:$I$89,3,0)*0.475*44/12</f>
        <v>0.28204493484155707</v>
      </c>
      <c r="AB179" s="21">
        <f>EXP(-LN(2)/2)*AB178+(1-EXP(-LN(2)/2))/(LN(2)/2)*V179*Y179*VLOOKUP('Données projet'!$B$9,Paramètres!$A$1:$I$89,3,0)*0.475*44/12</f>
        <v>7.4283163865106097E-22</v>
      </c>
      <c r="AC179" s="22">
        <f t="shared" si="163"/>
        <v>0.49933954900603894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2.2737367544323206E-13</v>
      </c>
      <c r="AJ179" s="13">
        <f>AI179*VLOOKUP('Données projet'!$B$10,Paramètres!$A$1:$I$89,3,0)*VLOOKUP('Données projet'!$B$10,Paramètres!$A$1:$I$89,5,0)</f>
        <v>1.064108801074326E-13</v>
      </c>
      <c r="AK179" s="13">
        <f t="shared" si="164"/>
        <v>1.5870730813698654E-12</v>
      </c>
      <c r="AL179" s="20">
        <f t="shared" si="165"/>
        <v>2.9494845662396269E-12</v>
      </c>
      <c r="AM179" s="59">
        <f t="shared" si="113"/>
        <v>293.33333333333627</v>
      </c>
      <c r="AN179" s="59">
        <f ca="1">AVERAGE(OFFSET($AM$3,0,0,'Données projet'!$E$10+1,1))-AVERAGE(OFFSET($H$3,0,0,'Données projet'!$E$10+1,1))</f>
        <v>294.78071095255143</v>
      </c>
      <c r="AO179" s="59">
        <f t="shared" si="144"/>
        <v>323.52003392365867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0.2285699708085884</v>
      </c>
      <c r="AV179" s="21">
        <f>EXP(-LN(2)/25)*AV178+(1-EXP(-LN(2)/25))/(LN(2)/25)*Calculateur!AQ179*Calculateur!AS179*VLOOKUP('Données projet'!$B$10,Paramètres!$A$1:$I$89,3,0)*0.475*44/12</f>
        <v>0.4249705792901074</v>
      </c>
      <c r="AW179" s="21">
        <f>EXP(-LN(2)/2)*AW178+(1-EXP(-LN(2)/2))/(LN(2)/2)*AQ179*AT179*VLOOKUP('Données projet'!$B$10,Paramètres!$A$1:$I$89,3,0)*0.475*44/12</f>
        <v>3.0844455547484593E-22</v>
      </c>
      <c r="AX179" s="21">
        <f t="shared" si="166"/>
        <v>0.65354055009869583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-4.5474735088646412E-13</v>
      </c>
      <c r="O180" s="13">
        <f>N180*VLOOKUP('Données projet'!$B$9,Paramètres!$A$1:$I$89,3,0)*VLOOKUP('Données projet'!$B$9,Paramètres!$A$1:$I$89,5,0)</f>
        <v>-2.5420376914553347E-13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512.21337090113502</v>
      </c>
      <c r="T180" s="59">
        <f t="shared" si="142"/>
        <v>621.03633124474163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0.21303359931734409</v>
      </c>
      <c r="AA180" s="21">
        <f>EXP(-LN(2)/25)*AA179+(1-EXP(-LN(2)/25))/(LN(2)/25)*Calculateur!V180*Calculateur!X180*VLOOKUP('Données projet'!$B$9,Paramètres!$A$1:$I$89,3,0)*0.475*44/12</f>
        <v>0.27433240126621622</v>
      </c>
      <c r="AB180" s="21">
        <f>EXP(-LN(2)/2)*AB179+(1-EXP(-LN(2)/2))/(LN(2)/2)*V180*Y180*VLOOKUP('Données projet'!$B$9,Paramètres!$A$1:$I$89,3,0)*0.475*44/12</f>
        <v>5.252612889700803E-22</v>
      </c>
      <c r="AC180" s="22">
        <f t="shared" si="163"/>
        <v>0.48736600058356028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2.2737367544323206E-13</v>
      </c>
      <c r="AJ180" s="13">
        <f>AI180*VLOOKUP('Données projet'!$B$10,Paramètres!$A$1:$I$89,3,0)*VLOOKUP('Données projet'!$B$10,Paramètres!$A$1:$I$89,5,0)</f>
        <v>1.064108801074326E-13</v>
      </c>
      <c r="AK180" s="13">
        <f t="shared" si="164"/>
        <v>1.5870730813698654E-12</v>
      </c>
      <c r="AL180" s="20">
        <f t="shared" si="165"/>
        <v>2.9494845662396269E-12</v>
      </c>
      <c r="AM180" s="59">
        <f t="shared" si="113"/>
        <v>293.33333333333627</v>
      </c>
      <c r="AN180" s="59">
        <f ca="1">AVERAGE(OFFSET($AM$3,0,0,'Données projet'!$E$10+1,1))-AVERAGE(OFFSET($H$3,0,0,'Données projet'!$E$10+1,1))</f>
        <v>294.78071095255143</v>
      </c>
      <c r="AO180" s="59">
        <f t="shared" si="144"/>
        <v>323.52003392365867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0.22408785309494819</v>
      </c>
      <c r="AV180" s="21">
        <f>EXP(-LN(2)/25)*AV179+(1-EXP(-LN(2)/25))/(LN(2)/25)*Calculateur!AQ180*Calculateur!AS180*VLOOKUP('Données projet'!$B$10,Paramètres!$A$1:$I$89,3,0)*0.475*44/12</f>
        <v>0.41334973645118794</v>
      </c>
      <c r="AW180" s="21">
        <f>EXP(-LN(2)/2)*AW179+(1-EXP(-LN(2)/2))/(LN(2)/2)*AQ180*AT180*VLOOKUP('Données projet'!$B$10,Paramètres!$A$1:$I$89,3,0)*0.475*44/12</f>
        <v>2.181032367963338E-22</v>
      </c>
      <c r="AX180" s="21">
        <f t="shared" si="166"/>
        <v>0.63743758954613616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-4.5474735088646412E-13</v>
      </c>
      <c r="O181" s="13">
        <f>N181*VLOOKUP('Données projet'!$B$9,Paramètres!$A$1:$I$89,3,0)*VLOOKUP('Données projet'!$B$9,Paramètres!$A$1:$I$89,5,0)</f>
        <v>-2.5420376914553347E-13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512.21337090113502</v>
      </c>
      <c r="T181" s="59">
        <f t="shared" si="142"/>
        <v>621.03633124474163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0.20885614037239628</v>
      </c>
      <c r="AA181" s="21">
        <f>EXP(-LN(2)/25)*AA180+(1-EXP(-LN(2)/25))/(LN(2)/25)*Calculateur!V181*Calculateur!X181*VLOOKUP('Données projet'!$B$9,Paramètres!$A$1:$I$89,3,0)*0.475*44/12</f>
        <v>0.26683076732707756</v>
      </c>
      <c r="AB181" s="21">
        <f>EXP(-LN(2)/2)*AB180+(1-EXP(-LN(2)/2))/(LN(2)/2)*V181*Y181*VLOOKUP('Données projet'!$B$9,Paramètres!$A$1:$I$89,3,0)*0.475*44/12</f>
        <v>3.7141581932553049E-22</v>
      </c>
      <c r="AC181" s="22">
        <f t="shared" si="163"/>
        <v>0.47568690769947386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2.2737367544323206E-13</v>
      </c>
      <c r="AJ181" s="13">
        <f>AI181*VLOOKUP('Données projet'!$B$10,Paramètres!$A$1:$I$89,3,0)*VLOOKUP('Données projet'!$B$10,Paramètres!$A$1:$I$89,5,0)</f>
        <v>1.064108801074326E-13</v>
      </c>
      <c r="AK181" s="13">
        <f t="shared" si="164"/>
        <v>1.5870730813698654E-12</v>
      </c>
      <c r="AL181" s="20">
        <f t="shared" si="165"/>
        <v>2.9494845662396269E-12</v>
      </c>
      <c r="AM181" s="59">
        <f t="shared" si="113"/>
        <v>293.33333333333627</v>
      </c>
      <c r="AN181" s="59">
        <f ca="1">AVERAGE(OFFSET($AM$3,0,0,'Données projet'!$E$10+1,1))-AVERAGE(OFFSET($H$3,0,0,'Données projet'!$E$10+1,1))</f>
        <v>294.78071095255143</v>
      </c>
      <c r="AO181" s="59">
        <f t="shared" si="144"/>
        <v>323.52003392365867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0.2196936269758506</v>
      </c>
      <c r="AV181" s="21">
        <f>EXP(-LN(2)/25)*AV180+(1-EXP(-LN(2)/25))/(LN(2)/25)*Calculateur!AQ181*Calculateur!AS181*VLOOKUP('Données projet'!$B$10,Paramètres!$A$1:$I$89,3,0)*0.475*44/12</f>
        <v>0.40204666617081231</v>
      </c>
      <c r="AW181" s="21">
        <f>EXP(-LN(2)/2)*AW180+(1-EXP(-LN(2)/2))/(LN(2)/2)*AQ181*AT181*VLOOKUP('Données projet'!$B$10,Paramètres!$A$1:$I$89,3,0)*0.475*44/12</f>
        <v>1.5422227773742296E-22</v>
      </c>
      <c r="AX181" s="21">
        <f t="shared" si="166"/>
        <v>0.6217402931466629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-4.5474735088646412E-13</v>
      </c>
      <c r="O182" s="13">
        <f>N182*VLOOKUP('Données projet'!$B$9,Paramètres!$A$1:$I$89,3,0)*VLOOKUP('Données projet'!$B$9,Paramètres!$A$1:$I$89,5,0)</f>
        <v>-2.5420376914553347E-13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512.21337090113502</v>
      </c>
      <c r="T182" s="59">
        <f t="shared" si="142"/>
        <v>621.03633124474163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0.20476059884936051</v>
      </c>
      <c r="AA182" s="21">
        <f>EXP(-LN(2)/25)*AA181+(1-EXP(-LN(2)/25))/(LN(2)/25)*Calculateur!V182*Calculateur!X182*VLOOKUP('Données projet'!$B$9,Paramètres!$A$1:$I$89,3,0)*0.475*44/12</f>
        <v>0.2595342659624984</v>
      </c>
      <c r="AB182" s="21">
        <f>EXP(-LN(2)/2)*AB181+(1-EXP(-LN(2)/2))/(LN(2)/2)*V182*Y182*VLOOKUP('Données projet'!$B$9,Paramètres!$A$1:$I$89,3,0)*0.475*44/12</f>
        <v>2.6263064448504015E-22</v>
      </c>
      <c r="AC182" s="22">
        <f t="shared" si="163"/>
        <v>0.46429486481185889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2.2737367544323206E-13</v>
      </c>
      <c r="AJ182" s="13">
        <f>AI182*VLOOKUP('Données projet'!$B$10,Paramètres!$A$1:$I$89,3,0)*VLOOKUP('Données projet'!$B$10,Paramètres!$A$1:$I$89,5,0)</f>
        <v>1.064108801074326E-13</v>
      </c>
      <c r="AK182" s="13">
        <f t="shared" si="164"/>
        <v>1.5870730813698654E-12</v>
      </c>
      <c r="AL182" s="20">
        <f t="shared" si="165"/>
        <v>2.9494845662396269E-12</v>
      </c>
      <c r="AM182" s="59">
        <f t="shared" si="113"/>
        <v>293.33333333333627</v>
      </c>
      <c r="AN182" s="59">
        <f ca="1">AVERAGE(OFFSET($AM$3,0,0,'Données projet'!$E$10+1,1))-AVERAGE(OFFSET($H$3,0,0,'Données projet'!$E$10+1,1))</f>
        <v>294.78071095255143</v>
      </c>
      <c r="AO182" s="59">
        <f t="shared" si="144"/>
        <v>323.52003392365867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0.21538556895073524</v>
      </c>
      <c r="AV182" s="21">
        <f>EXP(-LN(2)/25)*AV181+(1-EXP(-LN(2)/25))/(LN(2)/25)*Calculateur!AQ182*Calculateur!AS182*VLOOKUP('Données projet'!$B$10,Paramètres!$A$1:$I$89,3,0)*0.475*44/12</f>
        <v>0.39105267894165618</v>
      </c>
      <c r="AW182" s="21">
        <f>EXP(-LN(2)/2)*AW181+(1-EXP(-LN(2)/2))/(LN(2)/2)*AQ182*AT182*VLOOKUP('Données projet'!$B$10,Paramètres!$A$1:$I$89,3,0)*0.475*44/12</f>
        <v>1.090516183981669E-22</v>
      </c>
      <c r="AX182" s="21">
        <f t="shared" si="166"/>
        <v>0.60643824789239142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-4.5474735088646412E-13</v>
      </c>
      <c r="O183" s="13">
        <f>N183*VLOOKUP('Données projet'!$B$9,Paramètres!$A$1:$I$89,3,0)*VLOOKUP('Données projet'!$B$9,Paramètres!$A$1:$I$89,5,0)</f>
        <v>-2.5420376914553347E-13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512.21337090113502</v>
      </c>
      <c r="T183" s="59">
        <f t="shared" si="142"/>
        <v>621.03633124474163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0.20074536839755783</v>
      </c>
      <c r="AA183" s="21">
        <f>EXP(-LN(2)/25)*AA182+(1-EXP(-LN(2)/25))/(LN(2)/25)*Calculateur!V183*Calculateur!X183*VLOOKUP('Données projet'!$B$9,Paramètres!$A$1:$I$89,3,0)*0.475*44/12</f>
        <v>0.25243728781143998</v>
      </c>
      <c r="AB183" s="21">
        <f>EXP(-LN(2)/2)*AB182+(1-EXP(-LN(2)/2))/(LN(2)/2)*V183*Y183*VLOOKUP('Données projet'!$B$9,Paramètres!$A$1:$I$89,3,0)*0.475*44/12</f>
        <v>1.8570790966276524E-22</v>
      </c>
      <c r="AC183" s="22">
        <f t="shared" si="163"/>
        <v>0.45318265620899778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2.2737367544323206E-13</v>
      </c>
      <c r="AJ183" s="13">
        <f>AI183*VLOOKUP('Données projet'!$B$10,Paramètres!$A$1:$I$89,3,0)*VLOOKUP('Données projet'!$B$10,Paramètres!$A$1:$I$89,5,0)</f>
        <v>1.064108801074326E-13</v>
      </c>
      <c r="AK183" s="13">
        <f t="shared" si="164"/>
        <v>1.5870730813698654E-12</v>
      </c>
      <c r="AL183" s="20">
        <f t="shared" si="165"/>
        <v>2.9494845662396269E-12</v>
      </c>
      <c r="AM183" s="59">
        <f t="shared" si="113"/>
        <v>293.33333333333627</v>
      </c>
      <c r="AN183" s="59">
        <f ca="1">AVERAGE(OFFSET($AM$3,0,0,'Données projet'!$E$10+1,1))-AVERAGE(OFFSET($H$3,0,0,'Données projet'!$E$10+1,1))</f>
        <v>294.78071095255143</v>
      </c>
      <c r="AO183" s="59">
        <f t="shared" si="144"/>
        <v>323.52003392365867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0.21116198931583646</v>
      </c>
      <c r="AV183" s="21">
        <f>EXP(-LN(2)/25)*AV182+(1-EXP(-LN(2)/25))/(LN(2)/25)*Calculateur!AQ183*Calculateur!AS183*VLOOKUP('Données projet'!$B$10,Paramètres!$A$1:$I$89,3,0)*0.475*44/12</f>
        <v>0.38035932287142998</v>
      </c>
      <c r="AW183" s="21">
        <f>EXP(-LN(2)/2)*AW182+(1-EXP(-LN(2)/2))/(LN(2)/2)*AQ183*AT183*VLOOKUP('Données projet'!$B$10,Paramètres!$A$1:$I$89,3,0)*0.475*44/12</f>
        <v>7.7111138868711481E-23</v>
      </c>
      <c r="AX183" s="21">
        <f t="shared" si="166"/>
        <v>0.59152131218726645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-4.5474735088646412E-13</v>
      </c>
      <c r="O184" s="13">
        <f>N184*VLOOKUP('Données projet'!$B$9,Paramètres!$A$1:$I$89,3,0)*VLOOKUP('Données projet'!$B$9,Paramètres!$A$1:$I$89,5,0)</f>
        <v>-2.5420376914553347E-13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512.21337090113502</v>
      </c>
      <c r="T184" s="59">
        <f t="shared" si="142"/>
        <v>621.03633124474163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0.19680887416586623</v>
      </c>
      <c r="AA184" s="21">
        <f>EXP(-LN(2)/25)*AA183+(1-EXP(-LN(2)/25))/(LN(2)/25)*Calculateur!V184*Calculateur!X184*VLOOKUP('Données projet'!$B$9,Paramètres!$A$1:$I$89,3,0)*0.475*44/12</f>
        <v>0.24553437690113614</v>
      </c>
      <c r="AB184" s="21">
        <f>EXP(-LN(2)/2)*AB183+(1-EXP(-LN(2)/2))/(LN(2)/2)*V184*Y184*VLOOKUP('Données projet'!$B$9,Paramètres!$A$1:$I$89,3,0)*0.475*44/12</f>
        <v>1.3131532224252007E-22</v>
      </c>
      <c r="AC184" s="22">
        <f t="shared" si="163"/>
        <v>0.44234325106700234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2.2737367544323206E-13</v>
      </c>
      <c r="AJ184" s="13">
        <f>AI184*VLOOKUP('Données projet'!$B$10,Paramètres!$A$1:$I$89,3,0)*VLOOKUP('Données projet'!$B$10,Paramètres!$A$1:$I$89,5,0)</f>
        <v>1.064108801074326E-13</v>
      </c>
      <c r="AK184" s="13">
        <f t="shared" si="164"/>
        <v>1.5870730813698654E-12</v>
      </c>
      <c r="AL184" s="20">
        <f t="shared" si="165"/>
        <v>2.9494845662396269E-12</v>
      </c>
      <c r="AM184" s="59">
        <f t="shared" si="113"/>
        <v>293.33333333333627</v>
      </c>
      <c r="AN184" s="59">
        <f ca="1">AVERAGE(OFFSET($AM$3,0,0,'Données projet'!$E$10+1,1))-AVERAGE(OFFSET($H$3,0,0,'Données projet'!$E$10+1,1))</f>
        <v>294.78071095255143</v>
      </c>
      <c r="AO184" s="59">
        <f t="shared" si="144"/>
        <v>323.52003392365867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0.20702123150144883</v>
      </c>
      <c r="AV184" s="21">
        <f>EXP(-LN(2)/25)*AV183+(1-EXP(-LN(2)/25))/(LN(2)/25)*Calculateur!AQ184*Calculateur!AS184*VLOOKUP('Données projet'!$B$10,Paramètres!$A$1:$I$89,3,0)*0.475*44/12</f>
        <v>0.36995837718528324</v>
      </c>
      <c r="AW184" s="21">
        <f>EXP(-LN(2)/2)*AW183+(1-EXP(-LN(2)/2))/(LN(2)/2)*AQ184*AT184*VLOOKUP('Données projet'!$B$10,Paramètres!$A$1:$I$89,3,0)*0.475*44/12</f>
        <v>5.4525809199083449E-23</v>
      </c>
      <c r="AX184" s="21">
        <f t="shared" si="166"/>
        <v>0.57697960868673204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-4.5474735088646412E-13</v>
      </c>
      <c r="O185" s="13">
        <f>N185*VLOOKUP('Données projet'!$B$9,Paramètres!$A$1:$I$89,3,0)*VLOOKUP('Données projet'!$B$9,Paramètres!$A$1:$I$89,5,0)</f>
        <v>-2.5420376914553347E-13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512.21337090113502</v>
      </c>
      <c r="T185" s="59">
        <f t="shared" si="142"/>
        <v>621.03633124474163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0.19294957218503372</v>
      </c>
      <c r="AA185" s="21">
        <f>EXP(-LN(2)/25)*AA184+(1-EXP(-LN(2)/25))/(LN(2)/25)*Calculateur!V185*Calculateur!X185*VLOOKUP('Données projet'!$B$9,Paramètres!$A$1:$I$89,3,0)*0.475*44/12</f>
        <v>0.23882022645268286</v>
      </c>
      <c r="AB185" s="21">
        <f>EXP(-LN(2)/2)*AB184+(1-EXP(-LN(2)/2))/(LN(2)/2)*V185*Y185*VLOOKUP('Données projet'!$B$9,Paramètres!$A$1:$I$89,3,0)*0.475*44/12</f>
        <v>9.2853954831382622E-23</v>
      </c>
      <c r="AC185" s="22">
        <f t="shared" si="163"/>
        <v>0.43176979863771658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2.2737367544323206E-13</v>
      </c>
      <c r="AJ185" s="13">
        <f>AI185*VLOOKUP('Données projet'!$B$10,Paramètres!$A$1:$I$89,3,0)*VLOOKUP('Données projet'!$B$10,Paramètres!$A$1:$I$89,5,0)</f>
        <v>1.064108801074326E-13</v>
      </c>
      <c r="AK185" s="13">
        <f t="shared" si="164"/>
        <v>1.5870730813698654E-12</v>
      </c>
      <c r="AL185" s="20">
        <f t="shared" si="165"/>
        <v>2.9494845662396269E-12</v>
      </c>
      <c r="AM185" s="59">
        <f t="shared" si="113"/>
        <v>293.33333333333627</v>
      </c>
      <c r="AN185" s="59">
        <f ca="1">AVERAGE(OFFSET($AM$3,0,0,'Données projet'!$E$10+1,1))-AVERAGE(OFFSET($H$3,0,0,'Données projet'!$E$10+1,1))</f>
        <v>294.78071095255143</v>
      </c>
      <c r="AO185" s="59">
        <f t="shared" si="144"/>
        <v>323.52003392365867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0.20296167142218846</v>
      </c>
      <c r="AV185" s="21">
        <f>EXP(-LN(2)/25)*AV184+(1-EXP(-LN(2)/25))/(LN(2)/25)*Calculateur!AQ185*Calculateur!AS185*VLOOKUP('Données projet'!$B$10,Paramètres!$A$1:$I$89,3,0)*0.475*44/12</f>
        <v>0.35984184590588614</v>
      </c>
      <c r="AW185" s="21">
        <f>EXP(-LN(2)/2)*AW184+(1-EXP(-LN(2)/2))/(LN(2)/2)*AQ185*AT185*VLOOKUP('Données projet'!$B$10,Paramètres!$A$1:$I$89,3,0)*0.475*44/12</f>
        <v>3.8555569434355741E-23</v>
      </c>
      <c r="AX185" s="21">
        <f t="shared" si="166"/>
        <v>0.56280351732807454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-4.5474735088646412E-13</v>
      </c>
      <c r="O186" s="13">
        <f>N186*VLOOKUP('Données projet'!$B$9,Paramètres!$A$1:$I$89,3,0)*VLOOKUP('Données projet'!$B$9,Paramètres!$A$1:$I$89,5,0)</f>
        <v>-2.5420376914553347E-13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512.21337090113502</v>
      </c>
      <c r="T186" s="59">
        <f t="shared" si="142"/>
        <v>621.03633124474163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0.18916594876210355</v>
      </c>
      <c r="AA186" s="21">
        <f>EXP(-LN(2)/25)*AA185+(1-EXP(-LN(2)/25))/(LN(2)/25)*Calculateur!V186*Calculateur!X186*VLOOKUP('Données projet'!$B$9,Paramètres!$A$1:$I$89,3,0)*0.475*44/12</f>
        <v>0.23228967480132437</v>
      </c>
      <c r="AB186" s="21">
        <f>EXP(-LN(2)/2)*AB185+(1-EXP(-LN(2)/2))/(LN(2)/2)*V186*Y186*VLOOKUP('Données projet'!$B$9,Paramètres!$A$1:$I$89,3,0)*0.475*44/12</f>
        <v>6.5657661121260037E-23</v>
      </c>
      <c r="AC186" s="22">
        <f t="shared" si="163"/>
        <v>0.42145562356342792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2.2737367544323206E-13</v>
      </c>
      <c r="AJ186" s="13">
        <f>AI186*VLOOKUP('Données projet'!$B$10,Paramètres!$A$1:$I$89,3,0)*VLOOKUP('Données projet'!$B$10,Paramètres!$A$1:$I$89,5,0)</f>
        <v>1.064108801074326E-13</v>
      </c>
      <c r="AK186" s="13">
        <f t="shared" si="164"/>
        <v>1.5870730813698654E-12</v>
      </c>
      <c r="AL186" s="20">
        <f t="shared" si="165"/>
        <v>2.9494845662396269E-12</v>
      </c>
      <c r="AM186" s="59">
        <f t="shared" si="113"/>
        <v>293.33333333333627</v>
      </c>
      <c r="AN186" s="59">
        <f ca="1">AVERAGE(OFFSET($AM$3,0,0,'Données projet'!$E$10+1,1))-AVERAGE(OFFSET($H$3,0,0,'Données projet'!$E$10+1,1))</f>
        <v>294.78071095255143</v>
      </c>
      <c r="AO186" s="59">
        <f t="shared" si="144"/>
        <v>323.52003392365867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0.19898171683999524</v>
      </c>
      <c r="AV186" s="21">
        <f>EXP(-LN(2)/25)*AV185+(1-EXP(-LN(2)/25))/(LN(2)/25)*Calculateur!AQ186*Calculateur!AS186*VLOOKUP('Données projet'!$B$10,Paramètres!$A$1:$I$89,3,0)*0.475*44/12</f>
        <v>0.35000195170632942</v>
      </c>
      <c r="AW186" s="21">
        <f>EXP(-LN(2)/2)*AW185+(1-EXP(-LN(2)/2))/(LN(2)/2)*AQ186*AT186*VLOOKUP('Données projet'!$B$10,Paramètres!$A$1:$I$89,3,0)*0.475*44/12</f>
        <v>2.7262904599541724E-23</v>
      </c>
      <c r="AX186" s="21">
        <f t="shared" si="166"/>
        <v>0.54898366854632463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-4.5474735088646412E-13</v>
      </c>
      <c r="O187" s="13">
        <f>N187*VLOOKUP('Données projet'!$B$9,Paramètres!$A$1:$I$89,3,0)*VLOOKUP('Données projet'!$B$9,Paramètres!$A$1:$I$89,5,0)</f>
        <v>-2.5420376914553347E-13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512.21337090113502</v>
      </c>
      <c r="T187" s="59">
        <f t="shared" si="142"/>
        <v>621.03633124474163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0.18545651988671463</v>
      </c>
      <c r="AA187" s="21">
        <f>EXP(-LN(2)/25)*AA186+(1-EXP(-LN(2)/25))/(LN(2)/25)*Calculateur!V187*Calculateur!X187*VLOOKUP('Données projet'!$B$9,Paramètres!$A$1:$I$89,3,0)*0.475*44/12</f>
        <v>0.22593770142829905</v>
      </c>
      <c r="AB187" s="21">
        <f>EXP(-LN(2)/2)*AB186+(1-EXP(-LN(2)/2))/(LN(2)/2)*V187*Y187*VLOOKUP('Données projet'!$B$9,Paramètres!$A$1:$I$89,3,0)*0.475*44/12</f>
        <v>4.6426977415691311E-23</v>
      </c>
      <c r="AC187" s="22">
        <f t="shared" si="163"/>
        <v>0.41139422131501369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2.2737367544323206E-13</v>
      </c>
      <c r="AJ187" s="13">
        <f>AI187*VLOOKUP('Données projet'!$B$10,Paramètres!$A$1:$I$89,3,0)*VLOOKUP('Données projet'!$B$10,Paramètres!$A$1:$I$89,5,0)</f>
        <v>1.064108801074326E-13</v>
      </c>
      <c r="AK187" s="13">
        <f t="shared" si="164"/>
        <v>1.5870730813698654E-12</v>
      </c>
      <c r="AL187" s="20">
        <f t="shared" si="165"/>
        <v>2.9494845662396269E-12</v>
      </c>
      <c r="AM187" s="59">
        <f t="shared" si="113"/>
        <v>293.33333333333627</v>
      </c>
      <c r="AN187" s="59">
        <f ca="1">AVERAGE(OFFSET($AM$3,0,0,'Données projet'!$E$10+1,1))-AVERAGE(OFFSET($H$3,0,0,'Données projet'!$E$10+1,1))</f>
        <v>294.78071095255143</v>
      </c>
      <c r="AO187" s="59">
        <f t="shared" si="144"/>
        <v>323.52003392365867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0.19507980673962622</v>
      </c>
      <c r="AV187" s="21">
        <f>EXP(-LN(2)/25)*AV186+(1-EXP(-LN(2)/25))/(LN(2)/25)*Calculateur!AQ187*Calculateur!AS187*VLOOKUP('Données projet'!$B$10,Paramètres!$A$1:$I$89,3,0)*0.475*44/12</f>
        <v>0.34043112993111713</v>
      </c>
      <c r="AW187" s="21">
        <f>EXP(-LN(2)/2)*AW186+(1-EXP(-LN(2)/2))/(LN(2)/2)*AQ187*AT187*VLOOKUP('Données projet'!$B$10,Paramètres!$A$1:$I$89,3,0)*0.475*44/12</f>
        <v>1.927778471717787E-23</v>
      </c>
      <c r="AX187" s="21">
        <f t="shared" si="166"/>
        <v>0.53551093667074334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-4.5474735088646412E-13</v>
      </c>
      <c r="O188" s="13">
        <f>N188*VLOOKUP('Données projet'!$B$9,Paramètres!$A$1:$I$89,3,0)*VLOOKUP('Données projet'!$B$9,Paramètres!$A$1:$I$89,5,0)</f>
        <v>-2.5420376914553347E-13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512.21337090113502</v>
      </c>
      <c r="T188" s="59">
        <f t="shared" si="142"/>
        <v>621.03633124474163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0.18181983064904389</v>
      </c>
      <c r="AA188" s="21">
        <f>EXP(-LN(2)/25)*AA187+(1-EXP(-LN(2)/25))/(LN(2)/25)*Calculateur!V188*Calculateur!X188*VLOOKUP('Données projet'!$B$9,Paramètres!$A$1:$I$89,3,0)*0.475*44/12</f>
        <v>0.2197594231011949</v>
      </c>
      <c r="AB188" s="21">
        <f>EXP(-LN(2)/2)*AB187+(1-EXP(-LN(2)/2))/(LN(2)/2)*V188*Y188*VLOOKUP('Données projet'!$B$9,Paramètres!$A$1:$I$89,3,0)*0.475*44/12</f>
        <v>3.2828830560630019E-23</v>
      </c>
      <c r="AC188" s="22">
        <f t="shared" si="163"/>
        <v>0.40157925375023878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2.2737367544323206E-13</v>
      </c>
      <c r="AJ188" s="13">
        <f>AI188*VLOOKUP('Données projet'!$B$10,Paramètres!$A$1:$I$89,3,0)*VLOOKUP('Données projet'!$B$10,Paramètres!$A$1:$I$89,5,0)</f>
        <v>1.064108801074326E-13</v>
      </c>
      <c r="AK188" s="13">
        <f t="shared" si="164"/>
        <v>1.5870730813698654E-12</v>
      </c>
      <c r="AL188" s="20">
        <f t="shared" si="165"/>
        <v>2.9494845662396269E-12</v>
      </c>
      <c r="AM188" s="59">
        <f t="shared" si="113"/>
        <v>293.33333333333627</v>
      </c>
      <c r="AN188" s="59">
        <f ca="1">AVERAGE(OFFSET($AM$3,0,0,'Données projet'!$E$10+1,1))-AVERAGE(OFFSET($H$3,0,0,'Données projet'!$E$10+1,1))</f>
        <v>294.78071095255143</v>
      </c>
      <c r="AO188" s="59">
        <f t="shared" si="144"/>
        <v>323.52003392365867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0.19125441071639526</v>
      </c>
      <c r="AV188" s="21">
        <f>EXP(-LN(2)/25)*AV187+(1-EXP(-LN(2)/25))/(LN(2)/25)*Calculateur!AQ188*Calculateur!AS188*VLOOKUP('Données projet'!$B$10,Paramètres!$A$1:$I$89,3,0)*0.475*44/12</f>
        <v>0.33112202278065567</v>
      </c>
      <c r="AW188" s="21">
        <f>EXP(-LN(2)/2)*AW187+(1-EXP(-LN(2)/2))/(LN(2)/2)*AQ188*AT188*VLOOKUP('Données projet'!$B$10,Paramètres!$A$1:$I$89,3,0)*0.475*44/12</f>
        <v>1.3631452299770862E-23</v>
      </c>
      <c r="AX188" s="21">
        <f t="shared" si="166"/>
        <v>0.52237643349705087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-4.5474735088646412E-13</v>
      </c>
      <c r="O189" s="13">
        <f>N189*VLOOKUP('Données projet'!$B$9,Paramètres!$A$1:$I$89,3,0)*VLOOKUP('Données projet'!$B$9,Paramètres!$A$1:$I$89,5,0)</f>
        <v>-2.5420376914553347E-13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512.21337090113502</v>
      </c>
      <c r="T189" s="59">
        <f t="shared" si="142"/>
        <v>621.03633124474163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0.17825445466916245</v>
      </c>
      <c r="AA189" s="21">
        <f>EXP(-LN(2)/25)*AA188+(1-EXP(-LN(2)/25))/(LN(2)/25)*Calculateur!V189*Calculateur!X189*VLOOKUP('Données projet'!$B$9,Paramètres!$A$1:$I$89,3,0)*0.475*44/12</f>
        <v>0.21375009011984691</v>
      </c>
      <c r="AB189" s="21">
        <f>EXP(-LN(2)/2)*AB188+(1-EXP(-LN(2)/2))/(LN(2)/2)*V189*Y189*VLOOKUP('Données projet'!$B$9,Paramètres!$A$1:$I$89,3,0)*0.475*44/12</f>
        <v>2.3213488707845655E-23</v>
      </c>
      <c r="AC189" s="22">
        <f t="shared" si="163"/>
        <v>0.39200454478900937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2.2737367544323206E-13</v>
      </c>
      <c r="AJ189" s="13">
        <f>AI189*VLOOKUP('Données projet'!$B$10,Paramètres!$A$1:$I$89,3,0)*VLOOKUP('Données projet'!$B$10,Paramètres!$A$1:$I$89,5,0)</f>
        <v>1.064108801074326E-13</v>
      </c>
      <c r="AK189" s="13">
        <f t="shared" si="164"/>
        <v>1.5870730813698654E-12</v>
      </c>
      <c r="AL189" s="20">
        <f t="shared" si="165"/>
        <v>2.9494845662396269E-12</v>
      </c>
      <c r="AM189" s="59">
        <f t="shared" si="113"/>
        <v>293.33333333333627</v>
      </c>
      <c r="AN189" s="59">
        <f ca="1">AVERAGE(OFFSET($AM$3,0,0,'Données projet'!$E$10+1,1))-AVERAGE(OFFSET($H$3,0,0,'Données projet'!$E$10+1,1))</f>
        <v>294.78071095255143</v>
      </c>
      <c r="AO189" s="59">
        <f t="shared" si="144"/>
        <v>323.52003392365867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0.1875040283759187</v>
      </c>
      <c r="AV189" s="21">
        <f>EXP(-LN(2)/25)*AV188+(1-EXP(-LN(2)/25))/(LN(2)/25)*Calculateur!AQ189*Calculateur!AS189*VLOOKUP('Données projet'!$B$10,Paramètres!$A$1:$I$89,3,0)*0.475*44/12</f>
        <v>0.32206747365476823</v>
      </c>
      <c r="AW189" s="21">
        <f>EXP(-LN(2)/2)*AW188+(1-EXP(-LN(2)/2))/(LN(2)/2)*AQ189*AT189*VLOOKUP('Données projet'!$B$10,Paramètres!$A$1:$I$89,3,0)*0.475*44/12</f>
        <v>9.6388923585889352E-24</v>
      </c>
      <c r="AX189" s="21">
        <f t="shared" si="166"/>
        <v>0.50957150203068691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-4.5474735088646412E-13</v>
      </c>
      <c r="O190" s="13">
        <f>N190*VLOOKUP('Données projet'!$B$9,Paramètres!$A$1:$I$89,3,0)*VLOOKUP('Données projet'!$B$9,Paramètres!$A$1:$I$89,5,0)</f>
        <v>-2.5420376914553347E-13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512.21337090113502</v>
      </c>
      <c r="T190" s="59">
        <f t="shared" si="142"/>
        <v>621.03633124474163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0.17475899353758187</v>
      </c>
      <c r="AA190" s="21">
        <f>EXP(-LN(2)/25)*AA189+(1-EXP(-LN(2)/25))/(LN(2)/25)*Calculateur!V190*Calculateur!X190*VLOOKUP('Données projet'!$B$9,Paramètres!$A$1:$I$89,3,0)*0.475*44/12</f>
        <v>0.20790508266489099</v>
      </c>
      <c r="AB190" s="21">
        <f>EXP(-LN(2)/2)*AB189+(1-EXP(-LN(2)/2))/(LN(2)/2)*V190*Y190*VLOOKUP('Données projet'!$B$9,Paramètres!$A$1:$I$89,3,0)*0.475*44/12</f>
        <v>1.6414415280315009E-23</v>
      </c>
      <c r="AC190" s="22">
        <f t="shared" si="163"/>
        <v>0.38266407620247289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2.2737367544323206E-13</v>
      </c>
      <c r="AJ190" s="13">
        <f>AI190*VLOOKUP('Données projet'!$B$10,Paramètres!$A$1:$I$89,3,0)*VLOOKUP('Données projet'!$B$10,Paramètres!$A$1:$I$89,5,0)</f>
        <v>1.064108801074326E-13</v>
      </c>
      <c r="AK190" s="13">
        <f t="shared" si="164"/>
        <v>1.5870730813698654E-12</v>
      </c>
      <c r="AL190" s="20">
        <f t="shared" si="165"/>
        <v>2.9494845662396269E-12</v>
      </c>
      <c r="AM190" s="59">
        <f t="shared" si="113"/>
        <v>293.33333333333627</v>
      </c>
      <c r="AN190" s="59">
        <f ca="1">AVERAGE(OFFSET($AM$3,0,0,'Données projet'!$E$10+1,1))-AVERAGE(OFFSET($H$3,0,0,'Données projet'!$E$10+1,1))</f>
        <v>294.78071095255143</v>
      </c>
      <c r="AO190" s="59">
        <f t="shared" si="144"/>
        <v>323.52003392365867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0.18382718874563153</v>
      </c>
      <c r="AV190" s="21">
        <f>EXP(-LN(2)/25)*AV189+(1-EXP(-LN(2)/25))/(LN(2)/25)*Calculateur!AQ190*Calculateur!AS190*VLOOKUP('Données projet'!$B$10,Paramètres!$A$1:$I$89,3,0)*0.475*44/12</f>
        <v>0.31326052165088625</v>
      </c>
      <c r="AW190" s="21">
        <f>EXP(-LN(2)/2)*AW189+(1-EXP(-LN(2)/2))/(LN(2)/2)*AQ190*AT190*VLOOKUP('Données projet'!$B$10,Paramètres!$A$1:$I$89,3,0)*0.475*44/12</f>
        <v>6.8157261498854311E-24</v>
      </c>
      <c r="AX190" s="21">
        <f t="shared" si="166"/>
        <v>0.49708771039651778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-4.5474735088646412E-13</v>
      </c>
      <c r="O191" s="13">
        <f>N191*VLOOKUP('Données projet'!$B$9,Paramètres!$A$1:$I$89,3,0)*VLOOKUP('Données projet'!$B$9,Paramètres!$A$1:$I$89,5,0)</f>
        <v>-2.5420376914553347E-13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512.21337090113502</v>
      </c>
      <c r="T191" s="59">
        <f t="shared" si="142"/>
        <v>621.03633124474163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0.17133207626677083</v>
      </c>
      <c r="AA191" s="21">
        <f>EXP(-LN(2)/25)*AA190+(1-EXP(-LN(2)/25))/(LN(2)/25)*Calculateur!V191*Calculateur!X191*VLOOKUP('Données projet'!$B$9,Paramètres!$A$1:$I$89,3,0)*0.475*44/12</f>
        <v>0.20221990724616642</v>
      </c>
      <c r="AB191" s="21">
        <f>EXP(-LN(2)/2)*AB190+(1-EXP(-LN(2)/2))/(LN(2)/2)*V191*Y191*VLOOKUP('Données projet'!$B$9,Paramètres!$A$1:$I$89,3,0)*0.475*44/12</f>
        <v>1.1606744353922828E-23</v>
      </c>
      <c r="AC191" s="22">
        <f t="shared" si="163"/>
        <v>0.37355198351293728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2.2737367544323206E-13</v>
      </c>
      <c r="AJ191" s="13">
        <f>AI191*VLOOKUP('Données projet'!$B$10,Paramètres!$A$1:$I$89,3,0)*VLOOKUP('Données projet'!$B$10,Paramètres!$A$1:$I$89,5,0)</f>
        <v>1.064108801074326E-13</v>
      </c>
      <c r="AK191" s="13">
        <f t="shared" si="164"/>
        <v>1.5870730813698654E-12</v>
      </c>
      <c r="AL191" s="20">
        <f t="shared" si="165"/>
        <v>2.9494845662396269E-12</v>
      </c>
      <c r="AM191" s="59">
        <f t="shared" si="113"/>
        <v>293.33333333333627</v>
      </c>
      <c r="AN191" s="59">
        <f ca="1">AVERAGE(OFFSET($AM$3,0,0,'Données projet'!$E$10+1,1))-AVERAGE(OFFSET($H$3,0,0,'Données projet'!$E$10+1,1))</f>
        <v>294.78071095255143</v>
      </c>
      <c r="AO191" s="59">
        <f t="shared" si="144"/>
        <v>323.52003392365867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0.18022244969784357</v>
      </c>
      <c r="AV191" s="21">
        <f>EXP(-LN(2)/25)*AV190+(1-EXP(-LN(2)/25))/(LN(2)/25)*Calculateur!AQ191*Calculateur!AS191*VLOOKUP('Données projet'!$B$10,Paramètres!$A$1:$I$89,3,0)*0.475*44/12</f>
        <v>0.3046943962126879</v>
      </c>
      <c r="AW191" s="21">
        <f>EXP(-LN(2)/2)*AW190+(1-EXP(-LN(2)/2))/(LN(2)/2)*AQ191*AT191*VLOOKUP('Données projet'!$B$10,Paramètres!$A$1:$I$89,3,0)*0.475*44/12</f>
        <v>4.8194461792944676E-24</v>
      </c>
      <c r="AX191" s="21">
        <f t="shared" si="166"/>
        <v>0.48491684591053147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-4.5474735088646412E-13</v>
      </c>
      <c r="O192" s="13">
        <f>N192*VLOOKUP('Données projet'!$B$9,Paramètres!$A$1:$I$89,3,0)*VLOOKUP('Données projet'!$B$9,Paramètres!$A$1:$I$89,5,0)</f>
        <v>-2.5420376914553347E-13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512.21337090113502</v>
      </c>
      <c r="T192" s="59">
        <f t="shared" si="142"/>
        <v>621.03633124474163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0.16797235875342723</v>
      </c>
      <c r="AA192" s="21">
        <f>EXP(-LN(2)/25)*AA191+(1-EXP(-LN(2)/25))/(LN(2)/25)*Calculateur!V192*Calculateur!X192*VLOOKUP('Données projet'!$B$9,Paramètres!$A$1:$I$89,3,0)*0.475*44/12</f>
        <v>0.19669019324823725</v>
      </c>
      <c r="AB192" s="21">
        <f>EXP(-LN(2)/2)*AB191+(1-EXP(-LN(2)/2))/(LN(2)/2)*V192*Y192*VLOOKUP('Données projet'!$B$9,Paramètres!$A$1:$I$89,3,0)*0.475*44/12</f>
        <v>8.2072076401575047E-24</v>
      </c>
      <c r="AC192" s="22">
        <f t="shared" si="163"/>
        <v>0.36466255200166448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2.2737367544323206E-13</v>
      </c>
      <c r="AJ192" s="13">
        <f>AI192*VLOOKUP('Données projet'!$B$10,Paramètres!$A$1:$I$89,3,0)*VLOOKUP('Données projet'!$B$10,Paramètres!$A$1:$I$89,5,0)</f>
        <v>1.064108801074326E-13</v>
      </c>
      <c r="AK192" s="13">
        <f t="shared" si="164"/>
        <v>1.5870730813698654E-12</v>
      </c>
      <c r="AL192" s="20">
        <f t="shared" si="165"/>
        <v>2.9494845662396269E-12</v>
      </c>
      <c r="AM192" s="59">
        <f t="shared" si="113"/>
        <v>293.33333333333627</v>
      </c>
      <c r="AN192" s="59">
        <f ca="1">AVERAGE(OFFSET($AM$3,0,0,'Données projet'!$E$10+1,1))-AVERAGE(OFFSET($H$3,0,0,'Données projet'!$E$10+1,1))</f>
        <v>294.78071095255143</v>
      </c>
      <c r="AO192" s="59">
        <f t="shared" si="144"/>
        <v>323.52003392365867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0.17668839738410899</v>
      </c>
      <c r="AV192" s="21">
        <f>EXP(-LN(2)/25)*AV191+(1-EXP(-LN(2)/25))/(LN(2)/25)*Calculateur!AQ192*Calculateur!AS192*VLOOKUP('Données projet'!$B$10,Paramètres!$A$1:$I$89,3,0)*0.475*44/12</f>
        <v>0.29636251192507002</v>
      </c>
      <c r="AW192" s="21">
        <f>EXP(-LN(2)/2)*AW191+(1-EXP(-LN(2)/2))/(LN(2)/2)*AQ192*AT192*VLOOKUP('Données projet'!$B$10,Paramètres!$A$1:$I$89,3,0)*0.475*44/12</f>
        <v>3.4078630749427156E-24</v>
      </c>
      <c r="AX192" s="21">
        <f t="shared" si="166"/>
        <v>0.47305090930917904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-4.5474735088646412E-13</v>
      </c>
      <c r="O193" s="13">
        <f>N193*VLOOKUP('Données projet'!$B$9,Paramètres!$A$1:$I$89,3,0)*VLOOKUP('Données projet'!$B$9,Paramètres!$A$1:$I$89,5,0)</f>
        <v>-2.5420376914553347E-13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512.21337090113502</v>
      </c>
      <c r="T193" s="59">
        <f t="shared" si="142"/>
        <v>621.03633124474163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0.16467852325129495</v>
      </c>
      <c r="AA193" s="21">
        <f>EXP(-LN(2)/25)*AA192+(1-EXP(-LN(2)/25))/(LN(2)/25)*Calculateur!V193*Calculateur!X193*VLOOKUP('Données projet'!$B$9,Paramètres!$A$1:$I$89,3,0)*0.475*44/12</f>
        <v>0.19131168957037648</v>
      </c>
      <c r="AB193" s="21">
        <f>EXP(-LN(2)/2)*AB192+(1-EXP(-LN(2)/2))/(LN(2)/2)*V193*Y193*VLOOKUP('Données projet'!$B$9,Paramètres!$A$1:$I$89,3,0)*0.475*44/12</f>
        <v>5.8033721769614138E-24</v>
      </c>
      <c r="AC193" s="22">
        <f t="shared" si="163"/>
        <v>0.35599021282167143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2.2737367544323206E-13</v>
      </c>
      <c r="AJ193" s="13">
        <f>AI193*VLOOKUP('Données projet'!$B$10,Paramètres!$A$1:$I$89,3,0)*VLOOKUP('Données projet'!$B$10,Paramètres!$A$1:$I$89,5,0)</f>
        <v>1.064108801074326E-13</v>
      </c>
      <c r="AK193" s="13">
        <f t="shared" si="164"/>
        <v>1.5870730813698654E-12</v>
      </c>
      <c r="AL193" s="20">
        <f t="shared" si="165"/>
        <v>2.9494845662396269E-12</v>
      </c>
      <c r="AM193" s="59">
        <f t="shared" si="113"/>
        <v>293.33333333333627</v>
      </c>
      <c r="AN193" s="59">
        <f ca="1">AVERAGE(OFFSET($AM$3,0,0,'Données projet'!$E$10+1,1))-AVERAGE(OFFSET($H$3,0,0,'Données projet'!$E$10+1,1))</f>
        <v>294.78071095255143</v>
      </c>
      <c r="AO193" s="59">
        <f t="shared" si="144"/>
        <v>323.52003392365867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0.17322364568068768</v>
      </c>
      <c r="AV193" s="21">
        <f>EXP(-LN(2)/25)*AV192+(1-EXP(-LN(2)/25))/(LN(2)/25)*Calculateur!AQ193*Calculateur!AS193*VLOOKUP('Données projet'!$B$10,Paramètres!$A$1:$I$89,3,0)*0.475*44/12</f>
        <v>0.28825846345145184</v>
      </c>
      <c r="AW193" s="21">
        <f>EXP(-LN(2)/2)*AW192+(1-EXP(-LN(2)/2))/(LN(2)/2)*AQ193*AT193*VLOOKUP('Données projet'!$B$10,Paramètres!$A$1:$I$89,3,0)*0.475*44/12</f>
        <v>2.4097230896472338E-24</v>
      </c>
      <c r="AX193" s="21">
        <f t="shared" si="166"/>
        <v>0.4614821091321395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-4.5474735088646412E-13</v>
      </c>
      <c r="O194" s="13">
        <f>N194*VLOOKUP('Données projet'!$B$9,Paramètres!$A$1:$I$89,3,0)*VLOOKUP('Données projet'!$B$9,Paramètres!$A$1:$I$89,5,0)</f>
        <v>-2.5420376914553347E-13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512.21337090113502</v>
      </c>
      <c r="T194" s="59">
        <f t="shared" si="142"/>
        <v>621.03633124474163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0.16144927785431823</v>
      </c>
      <c r="AA194" s="21">
        <f>EXP(-LN(2)/25)*AA193+(1-EXP(-LN(2)/25))/(LN(2)/25)*Calculateur!V194*Calculateur!X194*VLOOKUP('Données projet'!$B$9,Paramètres!$A$1:$I$89,3,0)*0.475*44/12</f>
        <v>0.18608026135843003</v>
      </c>
      <c r="AB194" s="21">
        <f>EXP(-LN(2)/2)*AB193+(1-EXP(-LN(2)/2))/(LN(2)/2)*V194*Y194*VLOOKUP('Données projet'!$B$9,Paramètres!$A$1:$I$89,3,0)*0.475*44/12</f>
        <v>4.1036038200787523E-24</v>
      </c>
      <c r="AC194" s="22">
        <f t="shared" si="163"/>
        <v>0.34752953921274826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2.2737367544323206E-13</v>
      </c>
      <c r="AJ194" s="13">
        <f>AI194*VLOOKUP('Données projet'!$B$10,Paramètres!$A$1:$I$89,3,0)*VLOOKUP('Données projet'!$B$10,Paramètres!$A$1:$I$89,5,0)</f>
        <v>1.064108801074326E-13</v>
      </c>
      <c r="AK194" s="13">
        <f t="shared" si="164"/>
        <v>1.5870730813698654E-12</v>
      </c>
      <c r="AL194" s="20">
        <f t="shared" si="165"/>
        <v>2.9494845662396269E-12</v>
      </c>
      <c r="AM194" s="59">
        <f t="shared" si="113"/>
        <v>293.33333333333627</v>
      </c>
      <c r="AN194" s="59">
        <f ca="1">AVERAGE(OFFSET($AM$3,0,0,'Données projet'!$E$10+1,1))-AVERAGE(OFFSET($H$3,0,0,'Données projet'!$E$10+1,1))</f>
        <v>294.78071095255143</v>
      </c>
      <c r="AO194" s="59">
        <f t="shared" si="144"/>
        <v>323.52003392365867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0.1698268356448806</v>
      </c>
      <c r="AV194" s="21">
        <f>EXP(-LN(2)/25)*AV193+(1-EXP(-LN(2)/25))/(LN(2)/25)*Calculateur!AQ194*Calculateur!AS194*VLOOKUP('Données projet'!$B$10,Paramètres!$A$1:$I$89,3,0)*0.475*44/12</f>
        <v>0.28037602060951811</v>
      </c>
      <c r="AW194" s="21">
        <f>EXP(-LN(2)/2)*AW193+(1-EXP(-LN(2)/2))/(LN(2)/2)*AQ194*AT194*VLOOKUP('Données projet'!$B$10,Paramètres!$A$1:$I$89,3,0)*0.475*44/12</f>
        <v>1.7039315374713578E-24</v>
      </c>
      <c r="AX194" s="21">
        <f t="shared" si="166"/>
        <v>0.45020285625439871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-4.5474735088646412E-13</v>
      </c>
      <c r="O195" s="13">
        <f>N195*VLOOKUP('Données projet'!$B$9,Paramètres!$A$1:$I$89,3,0)*VLOOKUP('Données projet'!$B$9,Paramètres!$A$1:$I$89,5,0)</f>
        <v>-2.5420376914553347E-13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512.21337090113502</v>
      </c>
      <c r="T195" s="59">
        <f t="shared" si="142"/>
        <v>621.03633124474163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0.15828335598993101</v>
      </c>
      <c r="AA195" s="21">
        <f>EXP(-LN(2)/25)*AA194+(1-EXP(-LN(2)/25))/(LN(2)/25)*Calculateur!V195*Calculateur!X195*VLOOKUP('Données projet'!$B$9,Paramètres!$A$1:$I$89,3,0)*0.475*44/12</f>
        <v>0.18099188682604811</v>
      </c>
      <c r="AB195" s="21">
        <f>EXP(-LN(2)/2)*AB194+(1-EXP(-LN(2)/2))/(LN(2)/2)*V195*Y195*VLOOKUP('Données projet'!$B$9,Paramètres!$A$1:$I$89,3,0)*0.475*44/12</f>
        <v>2.9016860884807069E-24</v>
      </c>
      <c r="AC195" s="22">
        <f t="shared" si="163"/>
        <v>0.33927524281597909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2.2737367544323206E-13</v>
      </c>
      <c r="AJ195" s="13">
        <f>AI195*VLOOKUP('Données projet'!$B$10,Paramètres!$A$1:$I$89,3,0)*VLOOKUP('Données projet'!$B$10,Paramètres!$A$1:$I$89,5,0)</f>
        <v>1.064108801074326E-13</v>
      </c>
      <c r="AK195" s="13">
        <f t="shared" si="164"/>
        <v>1.5870730813698654E-12</v>
      </c>
      <c r="AL195" s="20">
        <f t="shared" si="165"/>
        <v>2.9494845662396269E-12</v>
      </c>
      <c r="AM195" s="59">
        <f t="shared" si="113"/>
        <v>293.33333333333627</v>
      </c>
      <c r="AN195" s="59">
        <f ca="1">AVERAGE(OFFSET($AM$3,0,0,'Données projet'!$E$10+1,1))-AVERAGE(OFFSET($H$3,0,0,'Données projet'!$E$10+1,1))</f>
        <v>294.78071095255143</v>
      </c>
      <c r="AO195" s="59">
        <f t="shared" si="144"/>
        <v>323.52003392365867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0.16649663498202616</v>
      </c>
      <c r="AV195" s="21">
        <f>EXP(-LN(2)/25)*AV194+(1-EXP(-LN(2)/25))/(LN(2)/25)*Calculateur!AQ195*Calculateur!AS195*VLOOKUP('Données projet'!$B$10,Paramètres!$A$1:$I$89,3,0)*0.475*44/12</f>
        <v>0.2727091235816167</v>
      </c>
      <c r="AW195" s="21">
        <f>EXP(-LN(2)/2)*AW194+(1-EXP(-LN(2)/2))/(LN(2)/2)*AQ195*AT195*VLOOKUP('Données projet'!$B$10,Paramètres!$A$1:$I$89,3,0)*0.475*44/12</f>
        <v>1.2048615448236169E-24</v>
      </c>
      <c r="AX195" s="21">
        <f t="shared" si="166"/>
        <v>0.43920575856364286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-4.5474735088646412E-13</v>
      </c>
      <c r="O196" s="13">
        <f>N196*VLOOKUP('Données projet'!$B$9,Paramètres!$A$1:$I$89,3,0)*VLOOKUP('Données projet'!$B$9,Paramètres!$A$1:$I$89,5,0)</f>
        <v>-2.5420376914553347E-13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512.21337090113502</v>
      </c>
      <c r="T196" s="59">
        <f t="shared" si="142"/>
        <v>621.03633124474163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0.15517951592228277</v>
      </c>
      <c r="AA196" s="21">
        <f>EXP(-LN(2)/25)*AA195+(1-EXP(-LN(2)/25))/(LN(2)/25)*Calculateur!V196*Calculateur!X196*VLOOKUP('Données projet'!$B$9,Paramètres!$A$1:$I$89,3,0)*0.475*44/12</f>
        <v>0.17604265416284015</v>
      </c>
      <c r="AB196" s="21">
        <f>EXP(-LN(2)/2)*AB195+(1-EXP(-LN(2)/2))/(LN(2)/2)*V196*Y196*VLOOKUP('Données projet'!$B$9,Paramètres!$A$1:$I$89,3,0)*0.475*44/12</f>
        <v>2.0518019100393762E-24</v>
      </c>
      <c r="AC196" s="22">
        <f t="shared" si="163"/>
        <v>0.33122217008512289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2.2737367544323206E-13</v>
      </c>
      <c r="AJ196" s="13">
        <f>AI196*VLOOKUP('Données projet'!$B$10,Paramètres!$A$1:$I$89,3,0)*VLOOKUP('Données projet'!$B$10,Paramètres!$A$1:$I$89,5,0)</f>
        <v>1.064108801074326E-13</v>
      </c>
      <c r="AK196" s="13">
        <f t="shared" si="164"/>
        <v>1.5870730813698654E-12</v>
      </c>
      <c r="AL196" s="20">
        <f t="shared" si="165"/>
        <v>2.9494845662396269E-12</v>
      </c>
      <c r="AM196" s="59">
        <f t="shared" ref="AM196:AM203" si="193">AL196+(AD196+AE196)*44/12</f>
        <v>293.33333333333627</v>
      </c>
      <c r="AN196" s="59">
        <f ca="1">AVERAGE(OFFSET($AM$3,0,0,'Données projet'!$E$10+1,1))-AVERAGE(OFFSET($H$3,0,0,'Données projet'!$E$10+1,1))</f>
        <v>294.78071095255143</v>
      </c>
      <c r="AO196" s="59">
        <f t="shared" si="144"/>
        <v>323.52003392365867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0.16323173752294845</v>
      </c>
      <c r="AV196" s="21">
        <f>EXP(-LN(2)/25)*AV195+(1-EXP(-LN(2)/25))/(LN(2)/25)*Calculateur!AQ196*Calculateur!AS196*VLOOKUP('Données projet'!$B$10,Paramètres!$A$1:$I$89,3,0)*0.475*44/12</f>
        <v>0.26525187825612784</v>
      </c>
      <c r="AW196" s="21">
        <f>EXP(-LN(2)/2)*AW195+(1-EXP(-LN(2)/2))/(LN(2)/2)*AQ196*AT196*VLOOKUP('Données projet'!$B$10,Paramètres!$A$1:$I$89,3,0)*0.475*44/12</f>
        <v>8.5196576873567889E-25</v>
      </c>
      <c r="AX196" s="21">
        <f t="shared" si="166"/>
        <v>0.42848361577907629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-4.5474735088646412E-13</v>
      </c>
      <c r="O197" s="13">
        <f>N197*VLOOKUP('Données projet'!$B$9,Paramètres!$A$1:$I$89,3,0)*VLOOKUP('Données projet'!$B$9,Paramètres!$A$1:$I$89,5,0)</f>
        <v>-2.5420376914553347E-13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512.21337090113502</v>
      </c>
      <c r="T197" s="59">
        <f t="shared" ref="T197:T203" si="204">$T$3</f>
        <v>621.03633124474163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0.15213654026520559</v>
      </c>
      <c r="AA197" s="21">
        <f>EXP(-LN(2)/25)*AA196+(1-EXP(-LN(2)/25))/(LN(2)/25)*Calculateur!V197*Calculateur!X197*VLOOKUP('Données projet'!$B$9,Paramètres!$A$1:$I$89,3,0)*0.475*44/12</f>
        <v>0.17122875852707645</v>
      </c>
      <c r="AB197" s="21">
        <f>EXP(-LN(2)/2)*AB196+(1-EXP(-LN(2)/2))/(LN(2)/2)*V197*Y197*VLOOKUP('Données projet'!$B$9,Paramètres!$A$1:$I$89,3,0)*0.475*44/12</f>
        <v>1.4508430442403535E-24</v>
      </c>
      <c r="AC197" s="22">
        <f t="shared" si="163"/>
        <v>0.32336529879228204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2.2737367544323206E-13</v>
      </c>
      <c r="AJ197" s="13">
        <f>AI197*VLOOKUP('Données projet'!$B$10,Paramètres!$A$1:$I$89,3,0)*VLOOKUP('Données projet'!$B$10,Paramètres!$A$1:$I$89,5,0)</f>
        <v>1.064108801074326E-13</v>
      </c>
      <c r="AK197" s="13">
        <f t="shared" si="164"/>
        <v>1.5870730813698654E-12</v>
      </c>
      <c r="AL197" s="20">
        <f t="shared" si="165"/>
        <v>2.9494845662396269E-12</v>
      </c>
      <c r="AM197" s="59">
        <f t="shared" si="193"/>
        <v>293.33333333333627</v>
      </c>
      <c r="AN197" s="59">
        <f ca="1">AVERAGE(OFFSET($AM$3,0,0,'Données projet'!$E$10+1,1))-AVERAGE(OFFSET($H$3,0,0,'Données projet'!$E$10+1,1))</f>
        <v>294.78071095255143</v>
      </c>
      <c r="AO197" s="59">
        <f t="shared" ref="AO197:AO203" si="205">$AO$3</f>
        <v>323.52003392365867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0.16003086271165243</v>
      </c>
      <c r="AV197" s="21">
        <f>EXP(-LN(2)/25)*AV196+(1-EXP(-LN(2)/25))/(LN(2)/25)*Calculateur!AQ197*Calculateur!AS197*VLOOKUP('Données projet'!$B$10,Paramètres!$A$1:$I$89,3,0)*0.475*44/12</f>
        <v>0.25799855169622399</v>
      </c>
      <c r="AW197" s="21">
        <f>EXP(-LN(2)/2)*AW196+(1-EXP(-LN(2)/2))/(LN(2)/2)*AQ197*AT197*VLOOKUP('Données projet'!$B$10,Paramètres!$A$1:$I$89,3,0)*0.475*44/12</f>
        <v>6.0243077241180845E-25</v>
      </c>
      <c r="AX197" s="21">
        <f t="shared" si="166"/>
        <v>0.41802941440787644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-4.5474735088646412E-13</v>
      </c>
      <c r="O198" s="13">
        <f>N198*VLOOKUP('Données projet'!$B$9,Paramètres!$A$1:$I$89,3,0)*VLOOKUP('Données projet'!$B$9,Paramètres!$A$1:$I$89,5,0)</f>
        <v>-2.5420376914553347E-13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512.21337090113502</v>
      </c>
      <c r="T198" s="59">
        <f t="shared" si="204"/>
        <v>621.03633124474163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0.14915323550473181</v>
      </c>
      <c r="AA198" s="21">
        <f>EXP(-LN(2)/25)*AA197+(1-EXP(-LN(2)/25))/(LN(2)/25)*Calculateur!V198*Calculateur!X198*VLOOKUP('Données projet'!$B$9,Paramètres!$A$1:$I$89,3,0)*0.475*44/12</f>
        <v>0.16654649912062447</v>
      </c>
      <c r="AB198" s="21">
        <f>EXP(-LN(2)/2)*AB197+(1-EXP(-LN(2)/2))/(LN(2)/2)*V198*Y198*VLOOKUP('Données projet'!$B$9,Paramètres!$A$1:$I$89,3,0)*0.475*44/12</f>
        <v>1.0259009550196881E-24</v>
      </c>
      <c r="AC198" s="22">
        <f t="shared" si="163"/>
        <v>0.31569973462535628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2.2737367544323206E-13</v>
      </c>
      <c r="AJ198" s="13">
        <f>AI198*VLOOKUP('Données projet'!$B$10,Paramètres!$A$1:$I$89,3,0)*VLOOKUP('Données projet'!$B$10,Paramètres!$A$1:$I$89,5,0)</f>
        <v>1.064108801074326E-13</v>
      </c>
      <c r="AK198" s="13">
        <f t="shared" si="164"/>
        <v>1.5870730813698654E-12</v>
      </c>
      <c r="AL198" s="20">
        <f t="shared" si="165"/>
        <v>2.9494845662396269E-12</v>
      </c>
      <c r="AM198" s="59">
        <f t="shared" si="193"/>
        <v>293.33333333333627</v>
      </c>
      <c r="AN198" s="59">
        <f ca="1">AVERAGE(OFFSET($AM$3,0,0,'Données projet'!$E$10+1,1))-AVERAGE(OFFSET($H$3,0,0,'Données projet'!$E$10+1,1))</f>
        <v>294.78071095255143</v>
      </c>
      <c r="AO198" s="59">
        <f t="shared" si="205"/>
        <v>323.52003392365867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0.15689275510306508</v>
      </c>
      <c r="AV198" s="21">
        <f>EXP(-LN(2)/25)*AV197+(1-EXP(-LN(2)/25))/(LN(2)/25)*Calculateur!AQ198*Calculateur!AS198*VLOOKUP('Données projet'!$B$10,Paramètres!$A$1:$I$89,3,0)*0.475*44/12</f>
        <v>0.25094356773253657</v>
      </c>
      <c r="AW198" s="21">
        <f>EXP(-LN(2)/2)*AW197+(1-EXP(-LN(2)/2))/(LN(2)/2)*AQ198*AT198*VLOOKUP('Données projet'!$B$10,Paramètres!$A$1:$I$89,3,0)*0.475*44/12</f>
        <v>4.2598288436783945E-25</v>
      </c>
      <c r="AX198" s="21">
        <f t="shared" si="166"/>
        <v>0.40783632283560167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-4.5474735088646412E-13</v>
      </c>
      <c r="O199" s="13">
        <f>N199*VLOOKUP('Données projet'!$B$9,Paramètres!$A$1:$I$89,3,0)*VLOOKUP('Données projet'!$B$9,Paramètres!$A$1:$I$89,5,0)</f>
        <v>-2.5420376914553347E-13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512.21337090113502</v>
      </c>
      <c r="T199" s="59">
        <f t="shared" si="204"/>
        <v>621.03633124474163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0.1462284315309747</v>
      </c>
      <c r="AA199" s="21">
        <f>EXP(-LN(2)/25)*AA198+(1-EXP(-LN(2)/25))/(LN(2)/25)*Calculateur!V199*Calculateur!X199*VLOOKUP('Données projet'!$B$9,Paramètres!$A$1:$I$89,3,0)*0.475*44/12</f>
        <v>0.16199227634387126</v>
      </c>
      <c r="AB199" s="21">
        <f>EXP(-LN(2)/2)*AB198+(1-EXP(-LN(2)/2))/(LN(2)/2)*V199*Y199*VLOOKUP('Données projet'!$B$9,Paramètres!$A$1:$I$89,3,0)*0.475*44/12</f>
        <v>7.2542152212017673E-25</v>
      </c>
      <c r="AC199" s="22">
        <f t="shared" si="163"/>
        <v>0.30822070787484596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2.2737367544323206E-13</v>
      </c>
      <c r="AJ199" s="13">
        <f>AI199*VLOOKUP('Données projet'!$B$10,Paramètres!$A$1:$I$89,3,0)*VLOOKUP('Données projet'!$B$10,Paramètres!$A$1:$I$89,5,0)</f>
        <v>1.064108801074326E-13</v>
      </c>
      <c r="AK199" s="13">
        <f t="shared" si="164"/>
        <v>1.5870730813698654E-12</v>
      </c>
      <c r="AL199" s="20">
        <f t="shared" si="165"/>
        <v>2.9494845662396269E-12</v>
      </c>
      <c r="AM199" s="59">
        <f t="shared" si="193"/>
        <v>293.33333333333627</v>
      </c>
      <c r="AN199" s="59">
        <f ca="1">AVERAGE(OFFSET($AM$3,0,0,'Données projet'!$E$10+1,1))-AVERAGE(OFFSET($H$3,0,0,'Données projet'!$E$10+1,1))</f>
        <v>294.78071095255143</v>
      </c>
      <c r="AO199" s="59">
        <f t="shared" si="205"/>
        <v>323.52003392365867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0.15381618387062548</v>
      </c>
      <c r="AV199" s="21">
        <f>EXP(-LN(2)/25)*AV198+(1-EXP(-LN(2)/25))/(LN(2)/25)*Calculateur!AQ199*Calculateur!AS199*VLOOKUP('Données projet'!$B$10,Paramètres!$A$1:$I$89,3,0)*0.475*44/12</f>
        <v>0.24408150267634166</v>
      </c>
      <c r="AW199" s="21">
        <f>EXP(-LN(2)/2)*AW198+(1-EXP(-LN(2)/2))/(LN(2)/2)*AQ199*AT199*VLOOKUP('Données projet'!$B$10,Paramètres!$A$1:$I$89,3,0)*0.475*44/12</f>
        <v>3.0121538620590422E-25</v>
      </c>
      <c r="AX199" s="21">
        <f t="shared" si="166"/>
        <v>0.39789768654696711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-4.5474735088646412E-13</v>
      </c>
      <c r="O200" s="13">
        <f>N200*VLOOKUP('Données projet'!$B$9,Paramètres!$A$1:$I$89,3,0)*VLOOKUP('Données projet'!$B$9,Paramètres!$A$1:$I$89,5,0)</f>
        <v>-2.5420376914553347E-13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512.21337090113502</v>
      </c>
      <c r="T200" s="59">
        <f t="shared" si="204"/>
        <v>621.03633124474163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0.14336098117918869</v>
      </c>
      <c r="AA200" s="21">
        <f>EXP(-LN(2)/25)*AA199+(1-EXP(-LN(2)/25))/(LN(2)/25)*Calculateur!V200*Calculateur!X200*VLOOKUP('Données projet'!$B$9,Paramètres!$A$1:$I$89,3,0)*0.475*44/12</f>
        <v>0.15756258902844453</v>
      </c>
      <c r="AB200" s="21">
        <f>EXP(-LN(2)/2)*AB199+(1-EXP(-LN(2)/2))/(LN(2)/2)*V200*Y200*VLOOKUP('Données projet'!$B$9,Paramètres!$A$1:$I$89,3,0)*0.475*44/12</f>
        <v>5.1295047750984404E-25</v>
      </c>
      <c r="AC200" s="22">
        <f t="shared" si="163"/>
        <v>0.30092357020763322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2.2737367544323206E-13</v>
      </c>
      <c r="AJ200" s="13">
        <f>AI200*VLOOKUP('Données projet'!$B$10,Paramètres!$A$1:$I$89,3,0)*VLOOKUP('Données projet'!$B$10,Paramètres!$A$1:$I$89,5,0)</f>
        <v>1.064108801074326E-13</v>
      </c>
      <c r="AK200" s="13">
        <f t="shared" si="164"/>
        <v>1.5870730813698654E-12</v>
      </c>
      <c r="AL200" s="20">
        <f t="shared" si="165"/>
        <v>2.9494845662396269E-12</v>
      </c>
      <c r="AM200" s="59">
        <f t="shared" si="193"/>
        <v>293.33333333333627</v>
      </c>
      <c r="AN200" s="59">
        <f ca="1">AVERAGE(OFFSET($AM$3,0,0,'Données projet'!$E$10+1,1))-AVERAGE(OFFSET($H$3,0,0,'Données projet'!$E$10+1,1))</f>
        <v>294.78071095255143</v>
      </c>
      <c r="AO200" s="59">
        <f t="shared" si="205"/>
        <v>323.52003392365867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0.15079994232353086</v>
      </c>
      <c r="AV200" s="21">
        <f>EXP(-LN(2)/25)*AV199+(1-EXP(-LN(2)/25))/(LN(2)/25)*Calculateur!AQ200*Calculateur!AS200*VLOOKUP('Données projet'!$B$10,Paramètres!$A$1:$I$89,3,0)*0.475*44/12</f>
        <v>0.23740708114996872</v>
      </c>
      <c r="AW200" s="21">
        <f>EXP(-LN(2)/2)*AW199+(1-EXP(-LN(2)/2))/(LN(2)/2)*AQ200*AT200*VLOOKUP('Données projet'!$B$10,Paramètres!$A$1:$I$89,3,0)*0.475*44/12</f>
        <v>2.1299144218391972E-25</v>
      </c>
      <c r="AX200" s="21">
        <f t="shared" si="166"/>
        <v>0.38820702347349956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-4.5474735088646412E-13</v>
      </c>
      <c r="O201" s="13">
        <f>N201*VLOOKUP('Données projet'!$B$9,Paramètres!$A$1:$I$89,3,0)*VLOOKUP('Données projet'!$B$9,Paramètres!$A$1:$I$89,5,0)</f>
        <v>-2.5420376914553347E-13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512.21337090113502</v>
      </c>
      <c r="T201" s="59">
        <f t="shared" si="204"/>
        <v>621.03633124474163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0.14054975977982917</v>
      </c>
      <c r="AA201" s="21">
        <f>EXP(-LN(2)/25)*AA200+(1-EXP(-LN(2)/25))/(LN(2)/25)*Calculateur!V201*Calculateur!X201*VLOOKUP('Données projet'!$B$9,Paramètres!$A$1:$I$89,3,0)*0.475*44/12</f>
        <v>0.15325403174560526</v>
      </c>
      <c r="AB201" s="21">
        <f>EXP(-LN(2)/2)*AB200+(1-EXP(-LN(2)/2))/(LN(2)/2)*V201*Y201*VLOOKUP('Données projet'!$B$9,Paramètres!$A$1:$I$89,3,0)*0.475*44/12</f>
        <v>3.6271076106008837E-25</v>
      </c>
      <c r="AC201" s="22">
        <f t="shared" si="163"/>
        <v>0.29380379152543445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2.2737367544323206E-13</v>
      </c>
      <c r="AJ201" s="13">
        <f>AI201*VLOOKUP('Données projet'!$B$10,Paramètres!$A$1:$I$89,3,0)*VLOOKUP('Données projet'!$B$10,Paramètres!$A$1:$I$89,5,0)</f>
        <v>1.064108801074326E-13</v>
      </c>
      <c r="AK201" s="13">
        <f t="shared" si="164"/>
        <v>1.5870730813698654E-12</v>
      </c>
      <c r="AL201" s="20">
        <f t="shared" si="165"/>
        <v>2.9494845662396269E-12</v>
      </c>
      <c r="AM201" s="59">
        <f t="shared" si="193"/>
        <v>293.33333333333627</v>
      </c>
      <c r="AN201" s="59">
        <f ca="1">AVERAGE(OFFSET($AM$3,0,0,'Données projet'!$E$10+1,1))-AVERAGE(OFFSET($H$3,0,0,'Données projet'!$E$10+1,1))</f>
        <v>294.78071095255143</v>
      </c>
      <c r="AO201" s="59">
        <f t="shared" si="205"/>
        <v>323.52003392365867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0.14784284743344908</v>
      </c>
      <c r="AV201" s="21">
        <f>EXP(-LN(2)/25)*AV200+(1-EXP(-LN(2)/25))/(LN(2)/25)*Calculateur!AQ201*Calculateur!AS201*VLOOKUP('Données projet'!$B$10,Paramètres!$A$1:$I$89,3,0)*0.475*44/12</f>
        <v>0.23091517203122702</v>
      </c>
      <c r="AW201" s="21">
        <f>EXP(-LN(2)/2)*AW200+(1-EXP(-LN(2)/2))/(LN(2)/2)*AQ201*AT201*VLOOKUP('Données projet'!$B$10,Paramètres!$A$1:$I$89,3,0)*0.475*44/12</f>
        <v>1.5060769310295211E-25</v>
      </c>
      <c r="AX201" s="21">
        <f t="shared" si="166"/>
        <v>0.37875801946467613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-4.5474735088646412E-13</v>
      </c>
      <c r="O202" s="13">
        <f>N202*VLOOKUP('Données projet'!$B$9,Paramètres!$A$1:$I$89,3,0)*VLOOKUP('Données projet'!$B$9,Paramètres!$A$1:$I$89,5,0)</f>
        <v>-2.5420376914553347E-13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512.21337090113502</v>
      </c>
      <c r="T202" s="59">
        <f t="shared" si="204"/>
        <v>621.03633124474163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0.13779366471743537</v>
      </c>
      <c r="AA202" s="21">
        <f>EXP(-LN(2)/25)*AA201+(1-EXP(-LN(2)/25))/(LN(2)/25)*Calculateur!V202*Calculateur!X202*VLOOKUP('Données projet'!$B$9,Paramètres!$A$1:$I$89,3,0)*0.475*44/12</f>
        <v>0.14906329218824241</v>
      </c>
      <c r="AB202" s="21">
        <f>EXP(-LN(2)/2)*AB201+(1-EXP(-LN(2)/2))/(LN(2)/2)*V202*Y202*VLOOKUP('Données projet'!$B$9,Paramètres!$A$1:$I$89,3,0)*0.475*44/12</f>
        <v>2.5647523875492202E-25</v>
      </c>
      <c r="AC202" s="22">
        <f t="shared" si="163"/>
        <v>0.28685695690567781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2.2737367544323206E-13</v>
      </c>
      <c r="AJ202" s="13">
        <f>AI202*VLOOKUP('Données projet'!$B$10,Paramètres!$A$1:$I$89,3,0)*VLOOKUP('Données projet'!$B$10,Paramètres!$A$1:$I$89,5,0)</f>
        <v>1.064108801074326E-13</v>
      </c>
      <c r="AK202" s="13">
        <f t="shared" si="164"/>
        <v>1.5870730813698654E-12</v>
      </c>
      <c r="AL202" s="20">
        <f t="shared" si="165"/>
        <v>2.9494845662396269E-12</v>
      </c>
      <c r="AM202" s="59">
        <f t="shared" si="193"/>
        <v>293.33333333333627</v>
      </c>
      <c r="AN202" s="59">
        <f ca="1">AVERAGE(OFFSET($AM$3,0,0,'Données projet'!$E$10+1,1))-AVERAGE(OFFSET($H$3,0,0,'Données projet'!$E$10+1,1))</f>
        <v>294.78071095255143</v>
      </c>
      <c r="AO202" s="59">
        <f t="shared" si="205"/>
        <v>323.52003392365867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0.14494373937051203</v>
      </c>
      <c r="AV202" s="21">
        <f>EXP(-LN(2)/25)*AV201+(1-EXP(-LN(2)/25))/(LN(2)/25)*Calculateur!AQ202*Calculateur!AS202*VLOOKUP('Données projet'!$B$10,Paramètres!$A$1:$I$89,3,0)*0.475*44/12</f>
        <v>0.224600784508732</v>
      </c>
      <c r="AW202" s="21">
        <f>EXP(-LN(2)/2)*AW201+(1-EXP(-LN(2)/2))/(LN(2)/2)*AQ202*AT202*VLOOKUP('Données projet'!$B$10,Paramètres!$A$1:$I$89,3,0)*0.475*44/12</f>
        <v>1.0649572109195986E-25</v>
      </c>
      <c r="AX202" s="21">
        <f t="shared" si="166"/>
        <v>0.36954452387924402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-4.5474735088646412E-13</v>
      </c>
      <c r="O203" s="13">
        <f>N203*VLOOKUP('Données projet'!$B$9,Paramètres!$A$1:$I$89,3,0)*VLOOKUP('Données projet'!$B$9,Paramètres!$A$1:$I$89,5,0)</f>
        <v>-2.5420376914553347E-13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512.21337090113502</v>
      </c>
      <c r="T203" s="59">
        <f t="shared" si="204"/>
        <v>621.03633124474163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0.13509161499816311</v>
      </c>
      <c r="AA203" s="21">
        <f>EXP(-LN(2)/25)*AA202+(1-EXP(-LN(2)/25))/(LN(2)/25)*Calculateur!V203*Calculateur!X203*VLOOKUP('Données projet'!$B$9,Paramètres!$A$1:$I$89,3,0)*0.475*44/12</f>
        <v>0.14498714862445708</v>
      </c>
      <c r="AB203" s="21">
        <f>EXP(-LN(2)/2)*AB202+(1-EXP(-LN(2)/2))/(LN(2)/2)*V203*Y203*VLOOKUP('Données projet'!$B$9,Paramètres!$A$1:$I$89,3,0)*0.475*44/12</f>
        <v>1.8135538053004418E-25</v>
      </c>
      <c r="AC203" s="22">
        <f t="shared" si="163"/>
        <v>0.28007876362262019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2.2737367544323206E-13</v>
      </c>
      <c r="AJ203" s="13">
        <f>AI203*VLOOKUP('Données projet'!$B$10,Paramètres!$A$1:$I$89,3,0)*VLOOKUP('Données projet'!$B$10,Paramètres!$A$1:$I$89,5,0)</f>
        <v>1.064108801074326E-13</v>
      </c>
      <c r="AK203" s="13">
        <f t="shared" si="164"/>
        <v>1.5870730813698654E-12</v>
      </c>
      <c r="AL203" s="20">
        <f t="shared" si="165"/>
        <v>2.9494845662396269E-12</v>
      </c>
      <c r="AM203" s="59">
        <f t="shared" si="193"/>
        <v>293.33333333333627</v>
      </c>
      <c r="AN203" s="59">
        <f ca="1">AVERAGE(OFFSET($AM$3,0,0,'Données projet'!$E$10+1,1))-AVERAGE(OFFSET($H$3,0,0,'Données projet'!$E$10+1,1))</f>
        <v>294.78071095255143</v>
      </c>
      <c r="AO203" s="59">
        <f t="shared" si="205"/>
        <v>323.52003392365867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0.14210148104840784</v>
      </c>
      <c r="AV203" s="21">
        <f>EXP(-LN(2)/25)*AV202+(1-EXP(-LN(2)/25))/(LN(2)/25)*Calculateur!AQ203*Calculateur!AS203*VLOOKUP('Données projet'!$B$10,Paramètres!$A$1:$I$89,3,0)*0.475*44/12</f>
        <v>0.21845906424509881</v>
      </c>
      <c r="AW203" s="21">
        <f>EXP(-LN(2)/2)*AW202+(1-EXP(-LN(2)/2))/(LN(2)/2)*AQ203*AT203*VLOOKUP('Données projet'!$B$10,Paramètres!$A$1:$I$89,3,0)*0.475*44/12</f>
        <v>7.5303846551476056E-26</v>
      </c>
      <c r="AX203" s="21">
        <f t="shared" si="166"/>
        <v>0.36056054529350667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1.3804627841663464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1.2485684178796581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Douglas</v>
      </c>
      <c r="B6" s="146">
        <f>'Données projet'!D9</f>
        <v>1.369</v>
      </c>
      <c r="C6" s="147">
        <f ca="1">IF(OR('Données projet'!B9="",'Données projet'!C9="",'Données projet'!C9=0%),0,Calculateur!S3)</f>
        <v>512.21337090113502</v>
      </c>
      <c r="D6" s="147">
        <f>IF(OR('Données projet'!B9="",'Données projet'!C9="",'Données projet'!C9=0%),0,Calculateur!T3)</f>
        <v>621.03633124474163</v>
      </c>
      <c r="E6" s="147">
        <f ca="1">MIN(C6,D6)</f>
        <v>512.21337090113502</v>
      </c>
      <c r="F6" s="147">
        <f ca="1">E6*B6</f>
        <v>701.22010476365381</v>
      </c>
      <c r="G6" s="147">
        <f ca="1">F6*(100%-'Données projet'!$C$24)*(100%-'Données projet'!$C$25)*(100%-'Données projet'!$C$26)*(100%-'Données projet'!$C$27)</f>
        <v>631.0980942872884</v>
      </c>
      <c r="H6" s="148">
        <f>IF(OR('Données projet'!B9="",'Données projet'!C9="",'Données projet'!C9=0%),0,AVERAGE(Calculateur!$AC$3:$AC$33)*B6)</f>
        <v>2.9262013348853255</v>
      </c>
      <c r="I6" s="149">
        <f>H6*(100%-'Données projet'!$C$24)*(100%-'Données projet'!$C$25)*(100%-'Données projet'!$C$26)*(100%-'Données projet'!$C$27)</f>
        <v>2.633581201396793</v>
      </c>
      <c r="J6" s="150">
        <f>IF(OR('Données projet'!B9="",'Données projet'!C9="",'Données projet'!C9=0%),0,SUM(Calculateur!$V$3:$V$33)*VLOOKUP('Données projet'!$B$9,Paramètres!$A$1:$I$89,9,0)*B6)</f>
        <v>40.618229999999997</v>
      </c>
      <c r="K6" s="151">
        <f>J6*(100%-'Données projet'!$C$24)*(100%-'Données projet'!$C$25)*(100%-'Données projet'!$C$26)*(100%-'Données projet'!$C$27)</f>
        <v>36.556407</v>
      </c>
      <c r="L6" s="152">
        <f ca="1">G6+I6+K6</f>
        <v>670.28808248868518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Epicéa de Sitka</v>
      </c>
      <c r="B7" s="154">
        <f>'Données projet'!D10</f>
        <v>0.48100000000000004</v>
      </c>
      <c r="C7" s="147">
        <f ca="1">IF(OR('Données projet'!B10="",'Données projet'!C10="",'Données projet'!C10=0%),0,Calculateur!AN3)</f>
        <v>294.78071095255143</v>
      </c>
      <c r="D7" s="147">
        <f>IF(OR('Données projet'!B10="",'Données projet'!C10="",'Données projet'!C10=0%),0,Calculateur!AO3)</f>
        <v>323.52003392365867</v>
      </c>
      <c r="E7" s="147">
        <f t="shared" ref="E7:E15" ca="1" si="0">MIN(C7,D7)</f>
        <v>294.78071095255143</v>
      </c>
      <c r="F7" s="147">
        <f t="shared" ref="F7:F15" ca="1" si="1">E7*B7</f>
        <v>141.78952196817724</v>
      </c>
      <c r="G7" s="147">
        <f ca="1">F7*(100%-'Données projet'!$C$24)*(100%-'Données projet'!$C$25)*(100%-'Données projet'!$C$26)*(100%-'Données projet'!$C$27)</f>
        <v>127.61056977135952</v>
      </c>
      <c r="H7" s="155">
        <f>IF(OR('Données projet'!B10="",'Données projet'!C10="",'Données projet'!C10=0%),0,AVERAGE(Calculateur!$AX$3:$AX$33)*B7)</f>
        <v>3.2894875174092322</v>
      </c>
      <c r="I7" s="149">
        <f>H7*(100%-'Données projet'!$C$24)*(100%-'Données projet'!$C$25)*(100%-'Données projet'!$C$26)*(100%-'Données projet'!$C$27)</f>
        <v>2.9605387656683089</v>
      </c>
      <c r="J7" s="150">
        <f>IF(OR('Données projet'!B10="",'Données projet'!C10="",'Données projet'!C10=0%),0,SUM(Calculateur!$AQ$3:$AQ$33)*VLOOKUP('Données projet'!$B$10,Paramètres!$A$1:$I$89,9,0)*B7)</f>
        <v>24.612770000000001</v>
      </c>
      <c r="K7" s="151">
        <f>J7*(100%-'Données projet'!$C$24)*(100%-'Données projet'!$C$25)*(100%-'Données projet'!$C$26)*(100%-'Données projet'!$C$27)</f>
        <v>22.151493000000002</v>
      </c>
      <c r="L7" s="152">
        <f t="shared" ref="L7:L15" ca="1" si="2">G7+I7+K7</f>
        <v>152.72260153702786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843.00962673183108</v>
      </c>
      <c r="G16" s="166">
        <f t="shared" ca="1" si="3"/>
        <v>758.70866405864797</v>
      </c>
      <c r="H16" s="167">
        <f t="shared" si="3"/>
        <v>6.2156888522945577</v>
      </c>
      <c r="I16" s="167">
        <f t="shared" si="3"/>
        <v>5.5941199670651018</v>
      </c>
      <c r="J16" s="168">
        <f t="shared" si="3"/>
        <v>65.230999999999995</v>
      </c>
      <c r="K16" s="168">
        <f t="shared" si="3"/>
        <v>58.707900000000002</v>
      </c>
      <c r="L16" s="169">
        <f t="shared" ca="1" si="3"/>
        <v>823.01068402571309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Epicéa de Sitka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H1" zoomScale="80" zoomScaleNormal="80" workbookViewId="0">
      <selection activeCell="I23" sqref="I2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4786.8778344638131</v>
      </c>
      <c r="U10" s="178">
        <f>'Données projet'!D9</f>
        <v>1.369</v>
      </c>
      <c r="V10" s="177">
        <f>U10*T10</f>
        <v>6553.2357553809597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Epicéa de Sitka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3405.2972834834136</v>
      </c>
      <c r="U11" s="178">
        <f>'Données projet'!D10</f>
        <v>0.48100000000000004</v>
      </c>
      <c r="V11" s="177">
        <f t="shared" ref="V11" si="0">U11*T11</f>
        <v>1637.9479933555222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1300*(0.56+0.45)</f>
        <v>1313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f>(1900+1008+426+1084+277.5+277.5+610)/1.85</f>
        <v>3017.8378378378375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700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750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15</v>
      </c>
      <c r="B23" s="181">
        <f>'Données projet'!D36</f>
        <v>0</v>
      </c>
      <c r="C23" s="193">
        <v>1.95</v>
      </c>
      <c r="D23" s="182">
        <f>B23*C23</f>
        <v>0</v>
      </c>
      <c r="E23" s="193"/>
      <c r="F23" s="230"/>
      <c r="H23" s="190">
        <v>3</v>
      </c>
      <c r="I23" s="191">
        <v>800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-1198.5449823674162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20</v>
      </c>
      <c r="B24" s="181">
        <f>'Données projet'!D37</f>
        <v>0</v>
      </c>
      <c r="C24" s="193">
        <v>1.95</v>
      </c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25</v>
      </c>
      <c r="B25" s="181">
        <f>'Données projet'!D38</f>
        <v>21</v>
      </c>
      <c r="C25" s="193">
        <v>4.4800000000000004</v>
      </c>
      <c r="D25" s="182">
        <f t="shared" si="2"/>
        <v>94.080000000000013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3">
        <f ca="1">T23-T24</f>
        <v>-1198.5449823674162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30</v>
      </c>
      <c r="B26" s="181">
        <f>'Données projet'!D39</f>
        <v>48</v>
      </c>
      <c r="C26" s="193">
        <v>4.4800000000000004</v>
      </c>
      <c r="D26" s="182">
        <f t="shared" si="2"/>
        <v>215.04000000000002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35</v>
      </c>
      <c r="B27" s="181">
        <f>'Données projet'!D40</f>
        <v>61</v>
      </c>
      <c r="C27" s="193">
        <v>32.799999999999997</v>
      </c>
      <c r="D27" s="182">
        <f t="shared" si="2"/>
        <v>2000.7999999999997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40</v>
      </c>
      <c r="B28" s="181">
        <f>'Données projet'!D41</f>
        <v>64</v>
      </c>
      <c r="C28" s="193">
        <v>32.799999999999997</v>
      </c>
      <c r="D28" s="182">
        <f t="shared" si="2"/>
        <v>2099.1999999999998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45</v>
      </c>
      <c r="B29" s="181">
        <f>'Données projet'!D42</f>
        <v>70</v>
      </c>
      <c r="C29" s="193">
        <v>33</v>
      </c>
      <c r="D29" s="182">
        <f t="shared" si="2"/>
        <v>2310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50</v>
      </c>
      <c r="B30" s="181">
        <f>'Données projet'!D43</f>
        <v>73</v>
      </c>
      <c r="C30" s="193">
        <v>55</v>
      </c>
      <c r="D30" s="182">
        <f t="shared" si="2"/>
        <v>4015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55</v>
      </c>
      <c r="B31" s="181">
        <f>'Données projet'!D44</f>
        <v>67</v>
      </c>
      <c r="C31" s="193">
        <v>55.11</v>
      </c>
      <c r="D31" s="182">
        <f t="shared" si="2"/>
        <v>3692.37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60</v>
      </c>
      <c r="B32" s="181">
        <f>'Données projet'!D45</f>
        <v>61</v>
      </c>
      <c r="C32" s="193">
        <v>75</v>
      </c>
      <c r="D32" s="182">
        <f t="shared" si="2"/>
        <v>4575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65</v>
      </c>
      <c r="B33" s="181">
        <f>'Données projet'!D46</f>
        <v>700</v>
      </c>
      <c r="C33" s="193">
        <v>95</v>
      </c>
      <c r="D33" s="182">
        <f t="shared" si="2"/>
        <v>66500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Epicéa de Sitka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1300*(0.7+0.45)</f>
        <v>1494.9999999999998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23</v>
      </c>
      <c r="B54" s="181">
        <f>'Données projet'!D62</f>
        <v>55</v>
      </c>
      <c r="C54" s="191">
        <v>2</v>
      </c>
      <c r="D54" s="179">
        <f>B54*C54</f>
        <v>110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27</v>
      </c>
      <c r="B55" s="181">
        <f>'Données projet'!D63</f>
        <v>64</v>
      </c>
      <c r="C55" s="191">
        <v>5</v>
      </c>
      <c r="D55" s="179">
        <f t="shared" ref="D55:D73" si="4">B55*C55</f>
        <v>320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31</v>
      </c>
      <c r="B56" s="181">
        <f>'Données projet'!D64</f>
        <v>57</v>
      </c>
      <c r="C56" s="191">
        <v>5</v>
      </c>
      <c r="D56" s="179">
        <f t="shared" si="4"/>
        <v>285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35</v>
      </c>
      <c r="B57" s="181">
        <f>'Données projet'!D65</f>
        <v>54</v>
      </c>
      <c r="C57" s="191">
        <v>15</v>
      </c>
      <c r="D57" s="179">
        <f t="shared" si="4"/>
        <v>810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39</v>
      </c>
      <c r="B58" s="181">
        <f>'Données projet'!D66</f>
        <v>50</v>
      </c>
      <c r="C58" s="191">
        <v>30</v>
      </c>
      <c r="D58" s="179">
        <f t="shared" si="4"/>
        <v>1500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44</v>
      </c>
      <c r="B59" s="181">
        <f>'Données projet'!D67</f>
        <v>57</v>
      </c>
      <c r="C59" s="191">
        <v>40</v>
      </c>
      <c r="D59" s="179">
        <f t="shared" si="4"/>
        <v>2280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50</v>
      </c>
      <c r="B60" s="181">
        <f>'Données projet'!D68</f>
        <v>67</v>
      </c>
      <c r="C60" s="191">
        <v>40</v>
      </c>
      <c r="D60" s="179">
        <f t="shared" si="4"/>
        <v>2680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53</v>
      </c>
      <c r="B61" s="181">
        <f>'Données projet'!D69</f>
        <v>697</v>
      </c>
      <c r="C61" s="191">
        <v>55</v>
      </c>
      <c r="D61" s="179">
        <f t="shared" si="4"/>
        <v>38335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str">
        <f>IF(O86+1&lt;=MIN('Données projet'!$E$9:$E$18),O86+1,"STOP")</f>
        <v>STOP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2025-10-30T14:59:15Z</dcterms:modified>
</cp:coreProperties>
</file>