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04_PROJETS/17_Bussac-forêt_2,38_Brun_Pastaud/2.Dossier_LBC_déposé/"/>
    </mc:Choice>
  </mc:AlternateContent>
  <xr:revisionPtr revIDLastSave="109" documentId="8_{8E45CCBF-BF50-41F1-9F26-97BB2E75E249}" xr6:coauthVersionLast="47" xr6:coauthVersionMax="47" xr10:uidLastSave="{C60B8B26-9193-4AF5-9127-F528DE97E308}"/>
  <bookViews>
    <workbookView xWindow="-110" yWindow="-110" windowWidth="19420" windowHeight="1150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A4" i="2"/>
  <c r="FQ4" i="2"/>
  <c r="FR4" i="2"/>
  <c r="BQ4" i="2"/>
  <c r="EC4" i="2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W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G38" i="2"/>
  <c r="HI38" i="2"/>
  <c r="EA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C50" i="2"/>
  <c r="HI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G130" i="2"/>
  <c r="EB130" i="2"/>
  <c r="EX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FS156" i="2"/>
  <c r="HI156" i="2"/>
  <c r="DH156" i="2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HH159" i="2"/>
  <c r="EA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HH161" i="2"/>
  <c r="EB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DH164" i="2"/>
  <c r="EA164" i="2"/>
  <c r="HH164" i="2"/>
  <c r="HG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H168" i="2"/>
  <c r="EV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X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I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I179" i="2" l="1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EB185" i="2"/>
  <c r="EW185" i="2"/>
  <c r="HI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B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EA194" i="2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HI195" i="2" l="1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HH199" i="2"/>
  <c r="EB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EW202" i="2"/>
  <c r="FR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AH92" i="2" a="1"/>
  <c r="AH92" i="2" s="1"/>
  <c r="FY104" i="2" a="1"/>
  <c r="FY104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Y115" i="2" l="1" a="1"/>
  <c r="FY115" i="2" s="1"/>
  <c r="FY34" i="2" a="1"/>
  <c r="FY34" i="2" s="1"/>
  <c r="FY126" i="2" a="1"/>
  <c r="FY126" i="2" s="1"/>
  <c r="FY173" i="2" a="1"/>
  <c r="FY173" i="2" s="1"/>
  <c r="FY133" i="2" a="1"/>
  <c r="FY133" i="2" s="1"/>
  <c r="FY109" i="2" a="1"/>
  <c r="FY109" i="2" s="1"/>
  <c r="FY86" i="2" a="1"/>
  <c r="FY86" i="2" s="1"/>
  <c r="FY164" i="2" a="1"/>
  <c r="FY164" i="2" s="1"/>
  <c r="FY188" i="2" a="1"/>
  <c r="FY188" i="2" s="1"/>
  <c r="FY159" i="2" a="1"/>
  <c r="FY159" i="2" s="1"/>
  <c r="FY140" i="2" a="1"/>
  <c r="FY140" i="2" s="1"/>
  <c r="FY79" i="2" a="1"/>
  <c r="FY79" i="2" s="1"/>
  <c r="FY58" i="2" a="1"/>
  <c r="FY58" i="2" s="1"/>
  <c r="FY149" i="2" a="1"/>
  <c r="FY149" i="2" s="1"/>
  <c r="FY28" i="2" a="1"/>
  <c r="FY28" i="2" s="1"/>
  <c r="FY143" i="2" a="1"/>
  <c r="FY143" i="2" s="1"/>
  <c r="FY29" i="2" a="1"/>
  <c r="FY29" i="2" s="1"/>
  <c r="FY47" i="2" a="1"/>
  <c r="FY47" i="2" s="1"/>
  <c r="BP203" i="2"/>
  <c r="FY121" i="2" a="1"/>
  <c r="FY121" i="2" s="1"/>
  <c r="FY24" i="2" a="1"/>
  <c r="FY24" i="2" s="1"/>
  <c r="FY78" i="2" a="1"/>
  <c r="FY78" i="2" s="1"/>
  <c r="FY191" i="2" a="1"/>
  <c r="FY191" i="2" s="1"/>
  <c r="FY35" i="2" a="1"/>
  <c r="FY35" i="2" s="1"/>
  <c r="FY167" i="2" a="1"/>
  <c r="FY167" i="2" s="1"/>
  <c r="FY124" i="2" a="1"/>
  <c r="FY124" i="2" s="1"/>
  <c r="FY174" i="2" a="1"/>
  <c r="FY174" i="2" s="1"/>
  <c r="FY110" i="2" a="1"/>
  <c r="FY110" i="2" s="1"/>
  <c r="FY165" i="2" a="1"/>
  <c r="FY165" i="2" s="1"/>
  <c r="FY142" i="2" a="1"/>
  <c r="FY142" i="2" s="1"/>
  <c r="FY169" i="2" a="1"/>
  <c r="FY169" i="2" s="1"/>
  <c r="FY99" i="2" a="1"/>
  <c r="FY99" i="2" s="1"/>
  <c r="FY153" i="2" a="1"/>
  <c r="FY153" i="2" s="1"/>
  <c r="FY146" i="2" a="1"/>
  <c r="FY146" i="2" s="1"/>
  <c r="FY80" i="2" a="1"/>
  <c r="FY80" i="2" s="1"/>
  <c r="FY62" i="2" a="1"/>
  <c r="FY62" i="2" s="1"/>
  <c r="FY116" i="2" a="1"/>
  <c r="FY116" i="2" s="1"/>
  <c r="FY102" i="2" a="1"/>
  <c r="FY102" i="2" s="1"/>
  <c r="FY32" i="2" a="1"/>
  <c r="FY32" i="2" s="1"/>
  <c r="FS203" i="2"/>
  <c r="FY30" i="2" a="1"/>
  <c r="FY30" i="2" s="1"/>
  <c r="FY190" i="2" a="1"/>
  <c r="FY190" i="2" s="1"/>
  <c r="FY92" i="2" a="1"/>
  <c r="FY92" i="2" s="1"/>
  <c r="FY69" i="2" a="1"/>
  <c r="FY69" i="2" s="1"/>
  <c r="FY22" i="2" a="1"/>
  <c r="FY22" i="2" s="1"/>
  <c r="FY42" i="2" a="1"/>
  <c r="FY42" i="2" s="1"/>
  <c r="FY72" i="2" a="1"/>
  <c r="FY72" i="2" s="1"/>
  <c r="FY111" i="2" a="1"/>
  <c r="FY111" i="2" s="1"/>
  <c r="FY66" i="2" a="1"/>
  <c r="FY66" i="2" s="1"/>
  <c r="FY90" i="2" a="1"/>
  <c r="FY90" i="2" s="1"/>
  <c r="FY196" i="2" a="1"/>
  <c r="FY196" i="2" s="1"/>
  <c r="FY73" i="2" a="1"/>
  <c r="FY73" i="2" s="1"/>
  <c r="FY120" i="2" a="1"/>
  <c r="FY120" i="2" s="1"/>
  <c r="FY57" i="2" a="1"/>
  <c r="FY57" i="2" s="1"/>
  <c r="FY82" i="2" a="1"/>
  <c r="FY82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<sst xmlns="http://schemas.openxmlformats.org/spreadsheetml/2006/main" count="1171" uniqueCount="325">
  <si>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</si>
  <si>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</si>
  <si>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</si>
  <si>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</si>
  <si>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</si>
  <si>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</si>
  <si>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</si>
  <si>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</si>
  <si>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</si>
  <si>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</si>
  <si>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</si>
  <si>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</si>
  <si>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</si>
  <si>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</si>
  <si>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</si>
  <si>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</si>
  <si>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Peuplier Koster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</si>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</sst>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8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2.1308141159990979</c:v>
                </c:pt>
                <c:pt idx="2">
                  <c:v>2.9281438920569403</c:v>
                </c:pt>
                <c:pt idx="3">
                  <c:v>4.0251008301171156</c:v>
                </c:pt>
                <c:pt idx="4">
                  <c:v>5.5347320133681039</c:v>
                </c:pt>
                <c:pt idx="5">
                  <c:v>7.6128950978985666</c:v>
                </c:pt>
                <c:pt idx="6">
                  <c:v>10.474526236664085</c:v>
                </c:pt>
                <c:pt idx="7">
                  <c:v>14.416109245825893</c:v>
                </c:pt>
                <c:pt idx="8">
                  <c:v>19.846716673503781</c:v>
                </c:pt>
                <c:pt idx="9">
                  <c:v>27.330902060221728</c:v>
                </c:pt>
                <c:pt idx="10">
                  <c:v>37.647980385231108</c:v>
                </c:pt>
                <c:pt idx="11">
                  <c:v>51.873974862320885</c:v>
                </c:pt>
                <c:pt idx="12">
                  <c:v>71.4949191061866</c:v>
                </c:pt>
                <c:pt idx="13">
                  <c:v>98.563542320451802</c:v>
                </c:pt>
                <c:pt idx="14">
                  <c:v>135.91598928147849</c:v>
                </c:pt>
                <c:pt idx="15">
                  <c:v>187.47163239017053</c:v>
                </c:pt>
                <c:pt idx="16">
                  <c:v>146.81136547798749</c:v>
                </c:pt>
                <c:pt idx="17">
                  <c:v>170.80742954677157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242.36081901854183</c:v>
                </c:pt>
                <c:pt idx="21">
                  <c:v>204.12844580912656</c:v>
                </c:pt>
                <c:pt idx="22">
                  <c:v>228.73672473315909</c:v>
                </c:pt>
                <c:pt idx="23">
                  <c:v>253.28442353945601</c:v>
                </c:pt>
                <c:pt idx="24">
                  <c:v>277.77823776243309</c:v>
                </c:pt>
                <c:pt idx="25">
                  <c:v>302.22358480953159</c:v>
                </c:pt>
                <c:pt idx="26">
                  <c:v>326.62493385865372</c:v>
                </c:pt>
                <c:pt idx="27">
                  <c:v>291.44362414058196</c:v>
                </c:pt>
                <c:pt idx="28">
                  <c:v>316.40922168115691</c:v>
                </c:pt>
                <c:pt idx="29">
                  <c:v>341.33118577652465</c:v>
                </c:pt>
                <c:pt idx="30">
                  <c:v>366.2131477730768</c:v>
                </c:pt>
                <c:pt idx="31">
                  <c:v>390.65906037894007</c:v>
                </c:pt>
                <c:pt idx="32">
                  <c:v>415.07179480856433</c:v>
                </c:pt>
                <c:pt idx="33">
                  <c:v>355.88364575491551</c:v>
                </c:pt>
                <c:pt idx="34">
                  <c:v>378.90598373659327</c:v>
                </c:pt>
                <c:pt idx="35">
                  <c:v>401.89789012628256</c:v>
                </c:pt>
                <c:pt idx="36">
                  <c:v>424.8613493114824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516.46302801285572</c:v>
                </c:pt>
                <c:pt idx="41">
                  <c:v>418.21652921659637</c:v>
                </c:pt>
                <c:pt idx="42">
                  <c:v>437.54828979657401</c:v>
                </c:pt>
                <c:pt idx="43">
                  <c:v>456.86173367611201</c:v>
                </c:pt>
                <c:pt idx="44">
                  <c:v>476.15774366224099</c:v>
                </c:pt>
                <c:pt idx="45">
                  <c:v>495.43712521859487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463.11224037370857</c:v>
                </c:pt>
                <c:pt idx="50">
                  <c:v>479.3932375320328</c:v>
                </c:pt>
                <c:pt idx="51">
                  <c:v>495.66248405140635</c:v>
                </c:pt>
                <c:pt idx="52">
                  <c:v>511.92041976382592</c:v>
                </c:pt>
                <c:pt idx="53">
                  <c:v>528.16745429901346</c:v>
                </c:pt>
                <c:pt idx="54">
                  <c:v>544.40397004275667</c:v>
                </c:pt>
                <c:pt idx="55">
                  <c:v>560.63032472410339</c:v>
                </c:pt>
                <c:pt idx="56">
                  <c:v>576.84685368758073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8" sqref="B8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8" zoomScale="80" zoomScaleNormal="80" workbookViewId="0">
      <selection activeCell="C26" sqref="C26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2.38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243</v>
      </c>
      <c r="C9" s="32">
        <v>1</v>
      </c>
      <c r="D9" s="33">
        <f t="shared" ref="D9:D18" si="0">C9*$C$5</f>
        <v>2.38</v>
      </c>
      <c r="E9" s="34">
        <v>56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19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20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21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22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23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24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25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26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27</v>
      </c>
      <c r="C19" s="37">
        <f>SUM(C9:C18)</f>
        <v>1</v>
      </c>
      <c r="D19" s="38">
        <f>SUM(D9:D18)</f>
        <v>2.38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28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29</v>
      </c>
      <c r="B24" s="42" t="s">
        <v>30</v>
      </c>
      <c r="C24" s="43">
        <v>0</v>
      </c>
      <c r="D24" s="44" t="s">
        <v>31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32</v>
      </c>
      <c r="B25" s="42" t="s">
        <v>33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34</v>
      </c>
      <c r="B26" s="42" t="s">
        <v>35</v>
      </c>
      <c r="C26" s="43">
        <v>0</v>
      </c>
      <c r="D26" s="44" t="s">
        <v>36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37</v>
      </c>
      <c r="B27" s="42" t="s">
        <v>38</v>
      </c>
      <c r="C27" s="43">
        <v>0</v>
      </c>
      <c r="D27" s="44" t="s">
        <v>39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40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Pin taeda</v>
      </c>
      <c r="D32" s="229" t="s">
        <v>41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42</v>
      </c>
      <c r="C34" s="258" t="s">
        <v>43</v>
      </c>
      <c r="D34" s="258"/>
      <c r="E34" s="259" t="s">
        <v>44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45</v>
      </c>
      <c r="B35" s="36" t="s">
        <v>46</v>
      </c>
      <c r="C35" s="48" t="s">
        <v>47</v>
      </c>
      <c r="D35" s="48" t="s">
        <v>48</v>
      </c>
      <c r="E35" s="36" t="s">
        <v>49</v>
      </c>
      <c r="F35" s="36" t="s">
        <v>50</v>
      </c>
      <c r="G35" s="36" t="s">
        <v>51</v>
      </c>
      <c r="H35" s="36" t="s">
        <v>52</v>
      </c>
      <c r="I35" s="48" t="s">
        <v>53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15</v>
      </c>
      <c r="B36" s="60">
        <v>141.17692307692306</v>
      </c>
      <c r="C36" s="60">
        <v>1</v>
      </c>
      <c r="D36" s="60">
        <v>49.784615384615385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9.4117948717948714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20</v>
      </c>
      <c r="B37" s="60">
        <v>183.7076923076923</v>
      </c>
      <c r="C37" s="60">
        <v>2</v>
      </c>
      <c r="D37" s="60">
        <v>48.723076923076924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18.463076923076926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26</v>
      </c>
      <c r="B38" s="60">
        <v>249.41538461538462</v>
      </c>
      <c r="C38" s="60">
        <v>3</v>
      </c>
      <c r="D38" s="60">
        <v>46.984615384615381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19.071794871794875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30</v>
      </c>
      <c r="B39" s="60">
        <v>280.42307692307691</v>
      </c>
      <c r="C39" s="60" t="s">
        <v>324</v>
      </c>
      <c r="D39" s="60">
        <v>0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19.498076923076916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32</v>
      </c>
      <c r="B40" s="60">
        <v>318.7923076923077</v>
      </c>
      <c r="C40" s="60">
        <v>4</v>
      </c>
      <c r="D40" s="60">
        <v>64.523076923076914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19.184615384615398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40</v>
      </c>
      <c r="B41" s="60">
        <v>398.71538461538461</v>
      </c>
      <c r="C41" s="60">
        <v>5</v>
      </c>
      <c r="D41" s="60">
        <v>92.661538461538456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18.055769230769229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48</v>
      </c>
      <c r="B42" s="60">
        <v>427.74615384615385</v>
      </c>
      <c r="C42" s="60">
        <v>6</v>
      </c>
      <c r="D42" s="60">
        <v>83.969230769230762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15.21153846153846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56</v>
      </c>
      <c r="B43" s="60">
        <v>446.47692307692301</v>
      </c>
      <c r="C43" s="60">
        <v>7</v>
      </c>
      <c r="D43" s="60">
        <v>446.47692307692301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12.837499999999991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/>
      </c>
      <c r="D58" s="229" t="s">
        <v>41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42</v>
      </c>
      <c r="C60" s="258" t="s">
        <v>43</v>
      </c>
      <c r="D60" s="258"/>
      <c r="E60" s="259" t="s">
        <v>44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45</v>
      </c>
      <c r="B61" s="36" t="s">
        <v>46</v>
      </c>
      <c r="C61" s="48" t="s">
        <v>47</v>
      </c>
      <c r="D61" s="48" t="s">
        <v>48</v>
      </c>
      <c r="E61" s="36" t="s">
        <v>49</v>
      </c>
      <c r="F61" s="36" t="s">
        <v>50</v>
      </c>
      <c r="G61" s="36" t="s">
        <v>51</v>
      </c>
      <c r="H61" s="36" t="s">
        <v>52</v>
      </c>
      <c r="I61" s="48" t="s">
        <v>53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19</v>
      </c>
      <c r="B84" s="52" t="str">
        <f>IF(B11="","",B11)</f>
        <v/>
      </c>
      <c r="D84" s="229" t="s">
        <v>41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42</v>
      </c>
      <c r="C86" s="258" t="s">
        <v>43</v>
      </c>
      <c r="D86" s="258"/>
      <c r="E86" s="259" t="s">
        <v>44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45</v>
      </c>
      <c r="B87" s="36" t="s">
        <v>46</v>
      </c>
      <c r="C87" s="48" t="s">
        <v>47</v>
      </c>
      <c r="D87" s="48" t="s">
        <v>48</v>
      </c>
      <c r="E87" s="36" t="s">
        <v>49</v>
      </c>
      <c r="F87" s="36" t="s">
        <v>50</v>
      </c>
      <c r="G87" s="36" t="s">
        <v>51</v>
      </c>
      <c r="H87" s="36" t="s">
        <v>52</v>
      </c>
      <c r="I87" s="48" t="s">
        <v>53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20</v>
      </c>
      <c r="B110" s="52" t="str">
        <f>IF(B12="","",B12)</f>
        <v/>
      </c>
      <c r="D110" s="229" t="s">
        <v>41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42</v>
      </c>
      <c r="C112" s="258" t="s">
        <v>43</v>
      </c>
      <c r="D112" s="258"/>
      <c r="E112" s="259" t="s">
        <v>44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45</v>
      </c>
      <c r="B113" s="36" t="s">
        <v>46</v>
      </c>
      <c r="C113" s="48" t="s">
        <v>47</v>
      </c>
      <c r="D113" s="48" t="s">
        <v>48</v>
      </c>
      <c r="E113" s="36" t="s">
        <v>49</v>
      </c>
      <c r="F113" s="36" t="s">
        <v>50</v>
      </c>
      <c r="G113" s="36" t="s">
        <v>51</v>
      </c>
      <c r="H113" s="36" t="s">
        <v>52</v>
      </c>
      <c r="I113" s="48" t="s">
        <v>53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21</v>
      </c>
      <c r="B136" s="52" t="str">
        <f>IF(B13="","",B13)</f>
        <v/>
      </c>
      <c r="D136" s="229" t="s">
        <v>41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42</v>
      </c>
      <c r="C138" s="258" t="s">
        <v>43</v>
      </c>
      <c r="D138" s="258"/>
      <c r="E138" s="259" t="s">
        <v>44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45</v>
      </c>
      <c r="B139" s="36" t="s">
        <v>46</v>
      </c>
      <c r="C139" s="48" t="s">
        <v>47</v>
      </c>
      <c r="D139" s="48" t="s">
        <v>48</v>
      </c>
      <c r="E139" s="36" t="s">
        <v>49</v>
      </c>
      <c r="F139" s="36" t="s">
        <v>50</v>
      </c>
      <c r="G139" s="36" t="s">
        <v>51</v>
      </c>
      <c r="H139" s="36" t="s">
        <v>52</v>
      </c>
      <c r="I139" s="48" t="s">
        <v>53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22</v>
      </c>
      <c r="B162" s="52" t="str">
        <f>IF(B14="","",B14)</f>
        <v/>
      </c>
      <c r="D162" s="229" t="s">
        <v>41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42</v>
      </c>
      <c r="C164" s="258" t="s">
        <v>43</v>
      </c>
      <c r="D164" s="258"/>
      <c r="E164" s="259" t="s">
        <v>44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45</v>
      </c>
      <c r="B165" s="36" t="s">
        <v>46</v>
      </c>
      <c r="C165" s="48" t="s">
        <v>47</v>
      </c>
      <c r="D165" s="48" t="s">
        <v>48</v>
      </c>
      <c r="E165" s="36" t="s">
        <v>49</v>
      </c>
      <c r="F165" s="36" t="s">
        <v>50</v>
      </c>
      <c r="G165" s="36" t="s">
        <v>51</v>
      </c>
      <c r="H165" s="36" t="s">
        <v>52</v>
      </c>
      <c r="I165" s="48" t="s">
        <v>53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23</v>
      </c>
      <c r="B188" s="52" t="str">
        <f>IF(B15="","",B15)</f>
        <v/>
      </c>
      <c r="D188" s="229" t="s">
        <v>41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42</v>
      </c>
      <c r="C190" s="258" t="s">
        <v>43</v>
      </c>
      <c r="D190" s="258"/>
      <c r="E190" s="259" t="s">
        <v>44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45</v>
      </c>
      <c r="B191" s="36" t="s">
        <v>46</v>
      </c>
      <c r="C191" s="48" t="s">
        <v>47</v>
      </c>
      <c r="D191" s="48" t="s">
        <v>48</v>
      </c>
      <c r="E191" s="36" t="s">
        <v>49</v>
      </c>
      <c r="F191" s="36" t="s">
        <v>50</v>
      </c>
      <c r="G191" s="36" t="s">
        <v>51</v>
      </c>
      <c r="H191" s="36" t="s">
        <v>52</v>
      </c>
      <c r="I191" s="48" t="s">
        <v>53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24</v>
      </c>
      <c r="B214" s="52" t="str">
        <f>IF(B16="","",B16)</f>
        <v/>
      </c>
      <c r="D214" s="229" t="s">
        <v>41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42</v>
      </c>
      <c r="C216" s="258" t="s">
        <v>43</v>
      </c>
      <c r="D216" s="258"/>
      <c r="E216" s="259" t="s">
        <v>44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45</v>
      </c>
      <c r="B217" s="36" t="s">
        <v>46</v>
      </c>
      <c r="C217" s="48" t="s">
        <v>47</v>
      </c>
      <c r="D217" s="48" t="s">
        <v>48</v>
      </c>
      <c r="E217" s="36" t="s">
        <v>49</v>
      </c>
      <c r="F217" s="36" t="s">
        <v>50</v>
      </c>
      <c r="G217" s="36" t="s">
        <v>51</v>
      </c>
      <c r="H217" s="36" t="s">
        <v>52</v>
      </c>
      <c r="I217" s="48" t="s">
        <v>53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25</v>
      </c>
      <c r="B240" s="52" t="str">
        <f>IF(B17="","",B17)</f>
        <v/>
      </c>
      <c r="D240" s="229" t="s">
        <v>41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42</v>
      </c>
      <c r="C242" s="258" t="s">
        <v>43</v>
      </c>
      <c r="D242" s="258"/>
      <c r="E242" s="259" t="s">
        <v>44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45</v>
      </c>
      <c r="B243" s="36" t="s">
        <v>46</v>
      </c>
      <c r="C243" s="48" t="s">
        <v>47</v>
      </c>
      <c r="D243" s="48" t="s">
        <v>48</v>
      </c>
      <c r="E243" s="36" t="s">
        <v>49</v>
      </c>
      <c r="F243" s="36" t="s">
        <v>50</v>
      </c>
      <c r="G243" s="36" t="s">
        <v>51</v>
      </c>
      <c r="H243" s="36" t="s">
        <v>52</v>
      </c>
      <c r="I243" s="48" t="s">
        <v>53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26</v>
      </c>
      <c r="B266" s="52" t="str">
        <f>IF(B18="","",B18)</f>
        <v/>
      </c>
      <c r="D266" s="229" t="s">
        <v>41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42</v>
      </c>
      <c r="C268" s="258" t="s">
        <v>43</v>
      </c>
      <c r="D268" s="258"/>
      <c r="E268" s="259" t="s">
        <v>44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45</v>
      </c>
      <c r="B269" s="36" t="s">
        <v>46</v>
      </c>
      <c r="C269" s="48" t="s">
        <v>47</v>
      </c>
      <c r="D269" s="48" t="s">
        <v>48</v>
      </c>
      <c r="E269" s="36" t="s">
        <v>49</v>
      </c>
      <c r="F269" s="36" t="s">
        <v>50</v>
      </c>
      <c r="G269" s="36" t="s">
        <v>51</v>
      </c>
      <c r="H269" s="36" t="s">
        <v>52</v>
      </c>
      <c r="I269" s="48" t="s">
        <v>53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59" zoomScaleNormal="100" workbookViewId="0">
      <selection activeCell="B9" sqref="B9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54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55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56</v>
      </c>
      <c r="C7" s="100" t="s">
        <v>57</v>
      </c>
      <c r="D7" s="215"/>
      <c r="E7" s="101"/>
      <c r="F7" s="26" t="s">
        <v>56</v>
      </c>
      <c r="G7" s="100" t="s">
        <v>58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59</v>
      </c>
      <c r="D8" s="23"/>
      <c r="E8" s="105">
        <v>4</v>
      </c>
      <c r="F8" s="61">
        <v>0</v>
      </c>
      <c r="G8" s="102" t="s">
        <v>60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61</v>
      </c>
      <c r="D9" s="23"/>
      <c r="E9" s="105">
        <v>5</v>
      </c>
      <c r="F9" s="61">
        <v>0</v>
      </c>
      <c r="G9" s="103" t="s">
        <v>62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63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64</v>
      </c>
      <c r="D13" s="216"/>
      <c r="E13" s="99"/>
      <c r="F13" s="107"/>
      <c r="G13" s="98" t="s">
        <v>65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66</v>
      </c>
      <c r="D14" s="216"/>
      <c r="E14" s="99"/>
      <c r="F14" s="107"/>
      <c r="G14" s="98" t="s">
        <v>67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56</v>
      </c>
      <c r="C15" s="4"/>
      <c r="D15" s="23"/>
      <c r="E15" s="4"/>
      <c r="F15" s="4"/>
      <c r="G15" s="2" t="s">
        <v>68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69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70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71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72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taeda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73</v>
      </c>
      <c r="B2" s="72" t="s">
        <v>74</v>
      </c>
      <c r="C2" s="5" t="s">
        <v>75</v>
      </c>
      <c r="D2" s="5" t="s">
        <v>76</v>
      </c>
      <c r="E2" s="5" t="s">
        <v>77</v>
      </c>
      <c r="F2" s="5" t="s">
        <v>78</v>
      </c>
      <c r="G2" s="5" t="s">
        <v>79</v>
      </c>
      <c r="H2" s="66" t="s">
        <v>80</v>
      </c>
      <c r="I2" s="68" t="s">
        <v>77</v>
      </c>
      <c r="J2" s="69" t="s">
        <v>78</v>
      </c>
      <c r="K2" s="6" t="s">
        <v>81</v>
      </c>
      <c r="L2" s="6" t="s">
        <v>82</v>
      </c>
      <c r="M2" s="6" t="s">
        <v>82</v>
      </c>
      <c r="N2" s="6" t="s">
        <v>83</v>
      </c>
      <c r="O2" s="6" t="s">
        <v>84</v>
      </c>
      <c r="P2" s="6" t="s">
        <v>85</v>
      </c>
      <c r="Q2" s="6" t="s">
        <v>79</v>
      </c>
      <c r="R2" s="6" t="s">
        <v>86</v>
      </c>
      <c r="S2" s="6" t="s">
        <v>87</v>
      </c>
      <c r="T2" s="6" t="s">
        <v>88</v>
      </c>
      <c r="U2" s="7" t="s">
        <v>89</v>
      </c>
      <c r="V2" s="8" t="s">
        <v>90</v>
      </c>
      <c r="W2" s="7" t="s">
        <v>49</v>
      </c>
      <c r="X2" s="7" t="s">
        <v>50</v>
      </c>
      <c r="Y2" s="7" t="s">
        <v>91</v>
      </c>
      <c r="Z2" s="8" t="s">
        <v>92</v>
      </c>
      <c r="AA2" s="8" t="s">
        <v>93</v>
      </c>
      <c r="AB2" s="8" t="s">
        <v>94</v>
      </c>
      <c r="AC2" s="9" t="s">
        <v>95</v>
      </c>
      <c r="AD2" s="69" t="s">
        <v>77</v>
      </c>
      <c r="AE2" s="69" t="s">
        <v>78</v>
      </c>
      <c r="AF2" s="6" t="s">
        <v>81</v>
      </c>
      <c r="AG2" s="6" t="s">
        <v>82</v>
      </c>
      <c r="AH2" s="6" t="s">
        <v>82</v>
      </c>
      <c r="AI2" s="6" t="s">
        <v>83</v>
      </c>
      <c r="AJ2" s="6" t="s">
        <v>84</v>
      </c>
      <c r="AK2" s="6" t="s">
        <v>85</v>
      </c>
      <c r="AL2" s="6" t="s">
        <v>79</v>
      </c>
      <c r="AM2" s="6" t="s">
        <v>86</v>
      </c>
      <c r="AN2" s="6" t="s">
        <v>87</v>
      </c>
      <c r="AO2" s="6" t="s">
        <v>88</v>
      </c>
      <c r="AP2" s="7" t="s">
        <v>89</v>
      </c>
      <c r="AQ2" s="8" t="s">
        <v>90</v>
      </c>
      <c r="AR2" s="7" t="s">
        <v>49</v>
      </c>
      <c r="AS2" s="7" t="s">
        <v>50</v>
      </c>
      <c r="AT2" s="8" t="s">
        <v>96</v>
      </c>
      <c r="AU2" s="8" t="s">
        <v>92</v>
      </c>
      <c r="AV2" s="8" t="s">
        <v>93</v>
      </c>
      <c r="AW2" s="8" t="s">
        <v>94</v>
      </c>
      <c r="AX2" s="8" t="s">
        <v>95</v>
      </c>
      <c r="AY2" s="68" t="s">
        <v>77</v>
      </c>
      <c r="AZ2" s="69" t="s">
        <v>78</v>
      </c>
      <c r="BA2" s="6" t="s">
        <v>81</v>
      </c>
      <c r="BB2" s="6" t="s">
        <v>82</v>
      </c>
      <c r="BC2" s="6" t="s">
        <v>82</v>
      </c>
      <c r="BD2" s="6" t="s">
        <v>83</v>
      </c>
      <c r="BE2" s="6" t="s">
        <v>84</v>
      </c>
      <c r="BF2" s="6" t="s">
        <v>85</v>
      </c>
      <c r="BG2" s="6" t="s">
        <v>79</v>
      </c>
      <c r="BH2" s="6" t="s">
        <v>86</v>
      </c>
      <c r="BI2" s="6" t="s">
        <v>87</v>
      </c>
      <c r="BJ2" s="6" t="s">
        <v>88</v>
      </c>
      <c r="BK2" s="7" t="s">
        <v>89</v>
      </c>
      <c r="BL2" s="8" t="s">
        <v>90</v>
      </c>
      <c r="BM2" s="7" t="s">
        <v>49</v>
      </c>
      <c r="BN2" s="7" t="s">
        <v>50</v>
      </c>
      <c r="BO2" s="8" t="s">
        <v>96</v>
      </c>
      <c r="BP2" s="8" t="s">
        <v>92</v>
      </c>
      <c r="BQ2" s="8" t="s">
        <v>93</v>
      </c>
      <c r="BR2" s="8" t="s">
        <v>94</v>
      </c>
      <c r="BS2" s="9" t="s">
        <v>95</v>
      </c>
      <c r="BT2" s="68" t="s">
        <v>77</v>
      </c>
      <c r="BU2" s="69" t="s">
        <v>78</v>
      </c>
      <c r="BV2" s="6" t="s">
        <v>81</v>
      </c>
      <c r="BW2" s="6" t="s">
        <v>82</v>
      </c>
      <c r="BX2" s="6" t="s">
        <v>82</v>
      </c>
      <c r="BY2" s="6" t="s">
        <v>83</v>
      </c>
      <c r="BZ2" s="6" t="s">
        <v>84</v>
      </c>
      <c r="CA2" s="6" t="s">
        <v>85</v>
      </c>
      <c r="CB2" s="6" t="s">
        <v>79</v>
      </c>
      <c r="CC2" s="6" t="s">
        <v>86</v>
      </c>
      <c r="CD2" s="6" t="s">
        <v>87</v>
      </c>
      <c r="CE2" s="6" t="s">
        <v>88</v>
      </c>
      <c r="CF2" s="7" t="s">
        <v>89</v>
      </c>
      <c r="CG2" s="8" t="s">
        <v>90</v>
      </c>
      <c r="CH2" s="7" t="s">
        <v>49</v>
      </c>
      <c r="CI2" s="7" t="s">
        <v>50</v>
      </c>
      <c r="CJ2" s="8" t="s">
        <v>96</v>
      </c>
      <c r="CK2" s="8" t="s">
        <v>92</v>
      </c>
      <c r="CL2" s="8" t="s">
        <v>93</v>
      </c>
      <c r="CM2" s="8" t="s">
        <v>94</v>
      </c>
      <c r="CN2" s="9" t="s">
        <v>95</v>
      </c>
      <c r="CO2" s="68" t="s">
        <v>77</v>
      </c>
      <c r="CP2" s="69" t="s">
        <v>78</v>
      </c>
      <c r="CQ2" s="6" t="s">
        <v>81</v>
      </c>
      <c r="CR2" s="6" t="s">
        <v>82</v>
      </c>
      <c r="CS2" s="6" t="s">
        <v>82</v>
      </c>
      <c r="CT2" s="6" t="s">
        <v>83</v>
      </c>
      <c r="CU2" s="6" t="s">
        <v>84</v>
      </c>
      <c r="CV2" s="6" t="s">
        <v>85</v>
      </c>
      <c r="CW2" s="6" t="s">
        <v>79</v>
      </c>
      <c r="CX2" s="6" t="s">
        <v>86</v>
      </c>
      <c r="CY2" s="6" t="s">
        <v>87</v>
      </c>
      <c r="CZ2" s="6" t="s">
        <v>88</v>
      </c>
      <c r="DA2" s="7" t="s">
        <v>89</v>
      </c>
      <c r="DB2" s="8" t="s">
        <v>90</v>
      </c>
      <c r="DC2" s="7" t="s">
        <v>49</v>
      </c>
      <c r="DD2" s="7" t="s">
        <v>50</v>
      </c>
      <c r="DE2" s="8" t="s">
        <v>96</v>
      </c>
      <c r="DF2" s="8" t="s">
        <v>92</v>
      </c>
      <c r="DG2" s="8" t="s">
        <v>93</v>
      </c>
      <c r="DH2" s="8" t="s">
        <v>94</v>
      </c>
      <c r="DI2" s="9" t="s">
        <v>95</v>
      </c>
      <c r="DJ2" s="68" t="s">
        <v>77</v>
      </c>
      <c r="DK2" s="69" t="s">
        <v>78</v>
      </c>
      <c r="DL2" s="6" t="s">
        <v>81</v>
      </c>
      <c r="DM2" s="6" t="s">
        <v>82</v>
      </c>
      <c r="DN2" s="6" t="s">
        <v>82</v>
      </c>
      <c r="DO2" s="6" t="s">
        <v>83</v>
      </c>
      <c r="DP2" s="6" t="s">
        <v>84</v>
      </c>
      <c r="DQ2" s="6" t="s">
        <v>85</v>
      </c>
      <c r="DR2" s="6" t="s">
        <v>79</v>
      </c>
      <c r="DS2" s="6" t="s">
        <v>86</v>
      </c>
      <c r="DT2" s="6" t="s">
        <v>87</v>
      </c>
      <c r="DU2" s="6" t="s">
        <v>88</v>
      </c>
      <c r="DV2" s="7" t="s">
        <v>89</v>
      </c>
      <c r="DW2" s="8" t="s">
        <v>90</v>
      </c>
      <c r="DX2" s="7" t="s">
        <v>49</v>
      </c>
      <c r="DY2" s="7" t="s">
        <v>50</v>
      </c>
      <c r="DZ2" s="8" t="s">
        <v>96</v>
      </c>
      <c r="EA2" s="8" t="s">
        <v>92</v>
      </c>
      <c r="EB2" s="8" t="s">
        <v>93</v>
      </c>
      <c r="EC2" s="8" t="s">
        <v>94</v>
      </c>
      <c r="ED2" s="9" t="s">
        <v>95</v>
      </c>
      <c r="EE2" s="68" t="s">
        <v>77</v>
      </c>
      <c r="EF2" s="69" t="s">
        <v>78</v>
      </c>
      <c r="EG2" s="6" t="s">
        <v>81</v>
      </c>
      <c r="EH2" s="6" t="s">
        <v>82</v>
      </c>
      <c r="EI2" s="6" t="s">
        <v>82</v>
      </c>
      <c r="EJ2" s="6" t="s">
        <v>83</v>
      </c>
      <c r="EK2" s="6" t="s">
        <v>84</v>
      </c>
      <c r="EL2" s="6" t="s">
        <v>85</v>
      </c>
      <c r="EM2" s="6" t="s">
        <v>79</v>
      </c>
      <c r="EN2" s="6" t="s">
        <v>86</v>
      </c>
      <c r="EO2" s="6" t="s">
        <v>87</v>
      </c>
      <c r="EP2" s="6" t="s">
        <v>88</v>
      </c>
      <c r="EQ2" s="7" t="s">
        <v>89</v>
      </c>
      <c r="ER2" s="8" t="s">
        <v>90</v>
      </c>
      <c r="ES2" s="7" t="s">
        <v>49</v>
      </c>
      <c r="ET2" s="7" t="s">
        <v>50</v>
      </c>
      <c r="EU2" s="8" t="s">
        <v>96</v>
      </c>
      <c r="EV2" s="8" t="s">
        <v>92</v>
      </c>
      <c r="EW2" s="8" t="s">
        <v>93</v>
      </c>
      <c r="EX2" s="8" t="s">
        <v>94</v>
      </c>
      <c r="EY2" s="9" t="s">
        <v>95</v>
      </c>
      <c r="EZ2" s="68" t="s">
        <v>77</v>
      </c>
      <c r="FA2" s="69" t="s">
        <v>78</v>
      </c>
      <c r="FB2" s="6" t="s">
        <v>81</v>
      </c>
      <c r="FC2" s="6" t="s">
        <v>82</v>
      </c>
      <c r="FD2" s="6" t="s">
        <v>82</v>
      </c>
      <c r="FE2" s="6" t="s">
        <v>83</v>
      </c>
      <c r="FF2" s="6" t="s">
        <v>84</v>
      </c>
      <c r="FG2" s="6" t="s">
        <v>85</v>
      </c>
      <c r="FH2" s="6" t="s">
        <v>79</v>
      </c>
      <c r="FI2" s="6" t="s">
        <v>86</v>
      </c>
      <c r="FJ2" s="6" t="s">
        <v>87</v>
      </c>
      <c r="FK2" s="6" t="s">
        <v>88</v>
      </c>
      <c r="FL2" s="7" t="s">
        <v>89</v>
      </c>
      <c r="FM2" s="8" t="s">
        <v>90</v>
      </c>
      <c r="FN2" s="7" t="s">
        <v>49</v>
      </c>
      <c r="FO2" s="7" t="s">
        <v>50</v>
      </c>
      <c r="FP2" s="8" t="s">
        <v>97</v>
      </c>
      <c r="FQ2" s="8" t="s">
        <v>92</v>
      </c>
      <c r="FR2" s="8" t="s">
        <v>93</v>
      </c>
      <c r="FS2" s="8" t="s">
        <v>94</v>
      </c>
      <c r="FT2" s="9" t="s">
        <v>95</v>
      </c>
      <c r="FU2" s="68" t="s">
        <v>77</v>
      </c>
      <c r="FV2" s="69" t="s">
        <v>78</v>
      </c>
      <c r="FW2" s="6" t="s">
        <v>81</v>
      </c>
      <c r="FX2" s="6" t="s">
        <v>82</v>
      </c>
      <c r="FY2" s="6" t="s">
        <v>82</v>
      </c>
      <c r="FZ2" s="6" t="s">
        <v>83</v>
      </c>
      <c r="GA2" s="6" t="s">
        <v>84</v>
      </c>
      <c r="GB2" s="6" t="s">
        <v>85</v>
      </c>
      <c r="GC2" s="6" t="s">
        <v>79</v>
      </c>
      <c r="GD2" s="6" t="s">
        <v>86</v>
      </c>
      <c r="GE2" s="6" t="s">
        <v>87</v>
      </c>
      <c r="GF2" s="6" t="s">
        <v>88</v>
      </c>
      <c r="GG2" s="7" t="s">
        <v>89</v>
      </c>
      <c r="GH2" s="8" t="s">
        <v>90</v>
      </c>
      <c r="GI2" s="7" t="s">
        <v>49</v>
      </c>
      <c r="GJ2" s="7" t="s">
        <v>50</v>
      </c>
      <c r="GK2" s="8" t="s">
        <v>96</v>
      </c>
      <c r="GL2" s="8" t="s">
        <v>92</v>
      </c>
      <c r="GM2" s="8" t="s">
        <v>93</v>
      </c>
      <c r="GN2" s="8" t="s">
        <v>94</v>
      </c>
      <c r="GO2" s="8" t="s">
        <v>95</v>
      </c>
      <c r="GP2" s="68" t="s">
        <v>77</v>
      </c>
      <c r="GQ2" s="69" t="s">
        <v>78</v>
      </c>
      <c r="GR2" s="6" t="s">
        <v>81</v>
      </c>
      <c r="GS2" s="6" t="s">
        <v>82</v>
      </c>
      <c r="GT2" s="6" t="s">
        <v>82</v>
      </c>
      <c r="GU2" s="6" t="s">
        <v>83</v>
      </c>
      <c r="GV2" s="6" t="s">
        <v>84</v>
      </c>
      <c r="GW2" s="6" t="s">
        <v>85</v>
      </c>
      <c r="GX2" s="6" t="s">
        <v>79</v>
      </c>
      <c r="GY2" s="6" t="s">
        <v>86</v>
      </c>
      <c r="GZ2" s="6" t="s">
        <v>87</v>
      </c>
      <c r="HA2" s="6" t="s">
        <v>88</v>
      </c>
      <c r="HB2" s="7" t="s">
        <v>89</v>
      </c>
      <c r="HC2" s="8" t="s">
        <v>90</v>
      </c>
      <c r="HD2" s="7" t="s">
        <v>49</v>
      </c>
      <c r="HE2" s="7" t="s">
        <v>50</v>
      </c>
      <c r="HF2" s="8" t="s">
        <v>96</v>
      </c>
      <c r="HG2" s="8" t="s">
        <v>92</v>
      </c>
      <c r="HH2" s="8" t="s">
        <v>93</v>
      </c>
      <c r="HI2" s="8" t="s">
        <v>94</v>
      </c>
      <c r="HJ2" s="9" t="s">
        <v>95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323.20040177531774</v>
      </c>
      <c r="T3" s="59">
        <f>IF('Données projet'!E9&gt;30,$R$33-$H$33,LOOKUP('Données projet'!$E$9,$A$3:$A$203,R3:R203)-LOOKUP('Données projet'!$E$9,$A$3:$A$203,$H$3:$H$203))</f>
        <v>402.87981443974337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9.4117948717948714</v>
      </c>
      <c r="N4" s="13">
        <f>IF('Données projet'!$A$36&gt;35,N3+M4-V3,IF(A4&lt;'Données projet'!$A$36,$K$205^A4,IF(A4='Données projet'!$A$36,'Données projet'!$B$36,N3+M4-V3)))</f>
        <v>1.3909694153327172</v>
      </c>
      <c r="O4" s="13">
        <f>N4*VLOOKUP('Données projet'!$B$9,Paramètres!$A$1:$I$89,3,0)*VLOOKUP('Données projet'!$B$9,Paramètres!$A$1:$I$89,5,0)</f>
        <v>0.83179971036896505</v>
      </c>
      <c r="P4" s="13">
        <f>EXP(-1.0587+0.8836*LN(O4)+0.284)</f>
        <v>0.39163423183147406</v>
      </c>
      <c r="Q4" s="20">
        <f t="shared" ref="Q4:Q34" si="2">(O4+P4)*0.475*44/12</f>
        <v>2.1308141159990979</v>
      </c>
      <c r="R4" s="59">
        <f t="shared" si="0"/>
        <v>260.01970300488796</v>
      </c>
      <c r="S4" s="59">
        <f ca="1">AVERAGE(OFFSET($R$3,0,0,'Données projet'!$E$9+1,1))-AVERAGE(OFFSET($H$3,0,0,'Données projet'!$E$9+1,1))</f>
        <v>323.20040177531774</v>
      </c>
      <c r="T4" s="59">
        <f>$T$3</f>
        <v>402.87981443974337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9.4117948717948714</v>
      </c>
      <c r="N5" s="13">
        <f>IF('Données projet'!$A$36&gt;35,N4+M5-V4,IF(A5&lt;'Données projet'!$A$36,$K$205^A5,IF(A5='Données projet'!$A$36,'Données projet'!$B$36,N4+M5-V4)))</f>
        <v>1.9347959143910411</v>
      </c>
      <c r="O5" s="13">
        <f>N5*VLOOKUP('Données projet'!$B$9,Paramètres!$A$1:$I$89,3,0)*VLOOKUP('Données projet'!$B$9,Paramètres!$A$1:$I$89,5,0)</f>
        <v>1.1570079568058427</v>
      </c>
      <c r="P5" s="13">
        <f t="shared" ref="P5:P68" si="33">EXP(-1.0587+0.8836*LN(O5)+0.284)</f>
        <v>0.52422298600197004</v>
      </c>
      <c r="Q5" s="20">
        <f t="shared" si="2"/>
        <v>2.9281438920569403</v>
      </c>
      <c r="R5" s="59">
        <f t="shared" si="0"/>
        <v>262.03925500316808</v>
      </c>
      <c r="S5" s="59">
        <f ca="1">AVERAGE(OFFSET($R$3,0,0,'Données projet'!$E$9+1,1))-AVERAGE(OFFSET($H$3,0,0,'Données projet'!$E$9+1,1))</f>
        <v>323.20040177531774</v>
      </c>
      <c r="T5" s="59">
        <f t="shared" ref="T5:T68" si="34">$T$3</f>
        <v>402.87981443974337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9.4117948717948714</v>
      </c>
      <c r="N6" s="13">
        <f>IF('Données projet'!$A$36&gt;35,N5+M6-V5,IF(A6&lt;'Données projet'!$A$36,$K$205^A6,IF(A6='Données projet'!$A$36,'Données projet'!$B$36,N5+M6-V5)))</f>
        <v>2.6912419418286366</v>
      </c>
      <c r="O6" s="13">
        <f>N6*VLOOKUP('Données projet'!$B$9,Paramètres!$A$1:$I$89,3,0)*VLOOKUP('Données projet'!$B$9,Paramètres!$A$1:$I$89,5,0)</f>
        <v>1.6093626812135247</v>
      </c>
      <c r="P6" s="13">
        <f t="shared" si="33"/>
        <v>0.70169999636568137</v>
      </c>
      <c r="Q6" s="20">
        <f t="shared" si="2"/>
        <v>4.0251008301171156</v>
      </c>
      <c r="R6" s="59">
        <f t="shared" si="0"/>
        <v>264.35843416345045</v>
      </c>
      <c r="S6" s="59">
        <f ca="1">AVERAGE(OFFSET($R$3,0,0,'Données projet'!$E$9+1,1))-AVERAGE(OFFSET($H$3,0,0,'Données projet'!$E$9+1,1))</f>
        <v>323.20040177531774</v>
      </c>
      <c r="T6" s="59">
        <f t="shared" si="34"/>
        <v>402.87981443974337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9.4117948717948714</v>
      </c>
      <c r="N7" s="13">
        <f>IF('Données projet'!$A$36&gt;35,N6+M7-V6,IF(A7&lt;'Données projet'!$A$36,$K$205^A7,IF(A7='Données projet'!$A$36,'Données projet'!$B$36,N6+M7-V6)))</f>
        <v>3.7434352303442648</v>
      </c>
      <c r="O7" s="13">
        <f>N7*VLOOKUP('Données projet'!$B$9,Paramètres!$A$1:$I$89,3,0)*VLOOKUP('Données projet'!$B$9,Paramètres!$A$1:$I$89,5,0)</f>
        <v>2.2385742677458706</v>
      </c>
      <c r="P7" s="13">
        <f t="shared" si="33"/>
        <v>0.93926229495351976</v>
      </c>
      <c r="Q7" s="20">
        <f t="shared" si="2"/>
        <v>5.5347320133681039</v>
      </c>
      <c r="R7" s="59">
        <f t="shared" si="0"/>
        <v>267.09028756892366</v>
      </c>
      <c r="S7" s="59">
        <f ca="1">AVERAGE(OFFSET($R$3,0,0,'Données projet'!$E$9+1,1))-AVERAGE(OFFSET($H$3,0,0,'Données projet'!$E$9+1,1))</f>
        <v>323.20040177531774</v>
      </c>
      <c r="T7" s="59">
        <f t="shared" si="34"/>
        <v>402.87981443974337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9.4117948717948714</v>
      </c>
      <c r="N8" s="13">
        <f>IF('Données projet'!$A$36&gt;35,N7+M8-V7,IF(A8&lt;'Données projet'!$A$36,$K$205^A8,IF(A8='Données projet'!$A$36,'Données projet'!$B$36,N7+M8-V7)))</f>
        <v>5.2070039136878581</v>
      </c>
      <c r="O8" s="13">
        <f>N8*VLOOKUP('Données projet'!$B$9,Paramètres!$A$1:$I$89,3,0)*VLOOKUP('Données projet'!$B$9,Paramètres!$A$1:$I$89,5,0)</f>
        <v>3.1137883403853395</v>
      </c>
      <c r="P8" s="13">
        <f t="shared" si="33"/>
        <v>1.2572519072119237</v>
      </c>
      <c r="Q8" s="20">
        <f t="shared" si="2"/>
        <v>7.6128950978985666</v>
      </c>
      <c r="R8" s="59">
        <f t="shared" si="0"/>
        <v>270.39067287567633</v>
      </c>
      <c r="S8" s="59">
        <f ca="1">AVERAGE(OFFSET($R$3,0,0,'Données projet'!$E$9+1,1))-AVERAGE(OFFSET($H$3,0,0,'Données projet'!$E$9+1,1))</f>
        <v>323.20040177531774</v>
      </c>
      <c r="T8" s="59">
        <f t="shared" si="34"/>
        <v>402.87981443974337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9.4117948717948714</v>
      </c>
      <c r="N9" s="13">
        <f>IF('Données projet'!$A$36&gt;35,N8+M9-V8,IF(A9&lt;'Données projet'!$A$36,$K$205^A9,IF(A9='Données projet'!$A$36,'Données projet'!$B$36,N8+M9-V8)))</f>
        <v>7.2427831894575698</v>
      </c>
      <c r="O9" s="13">
        <f>N9*VLOOKUP('Données projet'!$B$9,Paramètres!$A$1:$I$89,3,0)*VLOOKUP('Données projet'!$B$9,Paramètres!$A$1:$I$89,5,0)</f>
        <v>4.3311843472956273</v>
      </c>
      <c r="P9" s="13">
        <f t="shared" si="33"/>
        <v>1.6828977024636564</v>
      </c>
      <c r="Q9" s="20">
        <f t="shared" si="2"/>
        <v>10.474526236664085</v>
      </c>
      <c r="R9" s="59">
        <f t="shared" si="0"/>
        <v>274.47452623666408</v>
      </c>
      <c r="S9" s="59">
        <f ca="1">AVERAGE(OFFSET($R$3,0,0,'Données projet'!$E$9+1,1))-AVERAGE(OFFSET($H$3,0,0,'Données projet'!$E$9+1,1))</f>
        <v>323.20040177531774</v>
      </c>
      <c r="T9" s="59">
        <f t="shared" si="34"/>
        <v>402.87981443974337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9.4117948717948714</v>
      </c>
      <c r="N10" s="13">
        <f>IF('Données projet'!$A$36&gt;35,N9+M10-V9,IF(A10&lt;'Données projet'!$A$36,$K$205^A10,IF(A10='Données projet'!$A$36,'Données projet'!$B$36,N9+M10-V9)))</f>
        <v>10.07448989842143</v>
      </c>
      <c r="O10" s="13">
        <f>N10*VLOOKUP('Données projet'!$B$9,Paramètres!$A$1:$I$89,3,0)*VLOOKUP('Données projet'!$B$9,Paramètres!$A$1:$I$89,5,0)</f>
        <v>6.0245449592560147</v>
      </c>
      <c r="P10" s="13">
        <f t="shared" si="33"/>
        <v>2.2526469522229675</v>
      </c>
      <c r="Q10" s="20">
        <f t="shared" si="2"/>
        <v>14.416109245825893</v>
      </c>
      <c r="R10" s="59">
        <f t="shared" si="0"/>
        <v>279.63833146804814</v>
      </c>
      <c r="S10" s="59">
        <f ca="1">AVERAGE(OFFSET($R$3,0,0,'Données projet'!$E$9+1,1))-AVERAGE(OFFSET($H$3,0,0,'Données projet'!$E$9+1,1))</f>
        <v>323.20040177531774</v>
      </c>
      <c r="T10" s="59">
        <f t="shared" si="34"/>
        <v>402.87981443974337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9.4117948717948714</v>
      </c>
      <c r="N11" s="13">
        <f>IF('Données projet'!$A$36&gt;35,N10+M11-V10,IF(A11&lt;'Données projet'!$A$36,$K$205^A11,IF(A11='Données projet'!$A$36,'Données projet'!$B$36,N10+M11-V10)))</f>
        <v>14.01330732378262</v>
      </c>
      <c r="O11" s="13">
        <f>N11*VLOOKUP('Données projet'!$B$9,Paramètres!$A$1:$I$89,3,0)*VLOOKUP('Données projet'!$B$9,Paramètres!$A$1:$I$89,5,0)</f>
        <v>8.3799577796220071</v>
      </c>
      <c r="P11" s="13">
        <f t="shared" si="33"/>
        <v>3.0152862434423646</v>
      </c>
      <c r="Q11" s="20">
        <f t="shared" si="2"/>
        <v>19.846716673503781</v>
      </c>
      <c r="R11" s="59">
        <f t="shared" si="0"/>
        <v>286.29116111794826</v>
      </c>
      <c r="S11" s="59">
        <f ca="1">AVERAGE(OFFSET($R$3,0,0,'Données projet'!$E$9+1,1))-AVERAGE(OFFSET($H$3,0,0,'Données projet'!$E$9+1,1))</f>
        <v>323.20040177531774</v>
      </c>
      <c r="T11" s="59">
        <f t="shared" si="34"/>
        <v>402.87981443974337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9.4117948717948714</v>
      </c>
      <c r="N12" s="13">
        <f>IF('Données projet'!$A$36&gt;35,N11+M12-V11,IF(A12&lt;'Données projet'!$A$36,$K$205^A12,IF(A12='Données projet'!$A$36,'Données projet'!$B$36,N11+M12-V11)))</f>
        <v>19.492081895039593</v>
      </c>
      <c r="O12" s="13">
        <f>N12*VLOOKUP('Données projet'!$B$9,Paramètres!$A$1:$I$89,3,0)*VLOOKUP('Données projet'!$B$9,Paramètres!$A$1:$I$89,5,0)</f>
        <v>11.656264973233679</v>
      </c>
      <c r="P12" s="13">
        <f t="shared" si="33"/>
        <v>4.0361189847883647</v>
      </c>
      <c r="Q12" s="20">
        <f t="shared" si="2"/>
        <v>27.330902060221728</v>
      </c>
      <c r="R12" s="59">
        <f t="shared" si="0"/>
        <v>294.9975687268884</v>
      </c>
      <c r="S12" s="59">
        <f ca="1">AVERAGE(OFFSET($R$3,0,0,'Données projet'!$E$9+1,1))-AVERAGE(OFFSET($H$3,0,0,'Données projet'!$E$9+1,1))</f>
        <v>323.20040177531774</v>
      </c>
      <c r="T12" s="59">
        <f t="shared" si="34"/>
        <v>402.87981443974337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9.4117948717948714</v>
      </c>
      <c r="N13" s="13">
        <f>IF('Données projet'!$A$36&gt;35,N12+M13-V12,IF(A13&lt;'Données projet'!$A$36,$K$205^A13,IF(A13='Données projet'!$A$36,'Données projet'!$B$36,N12+M13-V12)))</f>
        <v>27.112889757160666</v>
      </c>
      <c r="O13" s="13">
        <f>N13*VLOOKUP('Données projet'!$B$9,Paramètres!$A$1:$I$89,3,0)*VLOOKUP('Données projet'!$B$9,Paramètres!$A$1:$I$89,5,0)</f>
        <v>16.21350807478208</v>
      </c>
      <c r="P13" s="13">
        <f t="shared" si="33"/>
        <v>5.4025572181735821</v>
      </c>
      <c r="Q13" s="20">
        <f t="shared" si="2"/>
        <v>37.647980385231108</v>
      </c>
      <c r="R13" s="59">
        <f t="shared" si="0"/>
        <v>306.53686927411997</v>
      </c>
      <c r="S13" s="59">
        <f ca="1">AVERAGE(OFFSET($R$3,0,0,'Données projet'!$E$9+1,1))-AVERAGE(OFFSET($H$3,0,0,'Données projet'!$E$9+1,1))</f>
        <v>323.20040177531774</v>
      </c>
      <c r="T13" s="59">
        <f t="shared" si="34"/>
        <v>402.87981443974337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9.4117948717948714</v>
      </c>
      <c r="N14" s="13">
        <f>IF('Données projet'!$A$36&gt;35,N13+M14-V13,IF(A14&lt;'Données projet'!$A$36,$K$205^A14,IF(A14='Données projet'!$A$36,'Données projet'!$B$36,N13+M14-V13)))</f>
        <v>37.713200413498193</v>
      </c>
      <c r="O14" s="13">
        <f>N14*VLOOKUP('Données projet'!$B$9,Paramètres!$A$1:$I$89,3,0)*VLOOKUP('Données projet'!$B$9,Paramètres!$A$1:$I$89,5,0)</f>
        <v>22.552493847271922</v>
      </c>
      <c r="P14" s="13">
        <f t="shared" si="33"/>
        <v>7.2316065521467667</v>
      </c>
      <c r="Q14" s="20">
        <f t="shared" si="2"/>
        <v>51.873974862320885</v>
      </c>
      <c r="R14" s="59">
        <f t="shared" si="0"/>
        <v>321.98508597343204</v>
      </c>
      <c r="S14" s="59">
        <f ca="1">AVERAGE(OFFSET($R$3,0,0,'Données projet'!$E$9+1,1))-AVERAGE(OFFSET($H$3,0,0,'Données projet'!$E$9+1,1))</f>
        <v>323.20040177531774</v>
      </c>
      <c r="T14" s="59">
        <f t="shared" si="34"/>
        <v>402.87981443974337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9.4117948717948714</v>
      </c>
      <c r="N15" s="13">
        <f>IF('Données projet'!$A$36&gt;35,N14+M15-V14,IF(A15&lt;'Données projet'!$A$36,$K$205^A15,IF(A15='Données projet'!$A$36,'Données projet'!$B$36,N14+M15-V14)))</f>
        <v>52.457908329489165</v>
      </c>
      <c r="O15" s="13">
        <f>N15*VLOOKUP('Données projet'!$B$9,Paramètres!$A$1:$I$89,3,0)*VLOOKUP('Données projet'!$B$9,Paramètres!$A$1:$I$89,5,0)</f>
        <v>31.369829181034525</v>
      </c>
      <c r="P15" s="13">
        <f t="shared" si="33"/>
        <v>9.6798851383070676</v>
      </c>
      <c r="Q15" s="20">
        <f t="shared" si="2"/>
        <v>71.4949191061866</v>
      </c>
      <c r="R15" s="59">
        <f t="shared" si="0"/>
        <v>342.82825243951993</v>
      </c>
      <c r="S15" s="59">
        <f ca="1">AVERAGE(OFFSET($R$3,0,0,'Données projet'!$E$9+1,1))-AVERAGE(OFFSET($H$3,0,0,'Données projet'!$E$9+1,1))</f>
        <v>323.20040177531774</v>
      </c>
      <c r="T15" s="59">
        <f t="shared" si="34"/>
        <v>402.87981443974337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9.4117948717948714</v>
      </c>
      <c r="N16" s="13">
        <f>IF('Données projet'!$A$36&gt;35,N15+M16-V15,IF(A16&lt;'Données projet'!$A$36,$K$205^A16,IF(A16='Données projet'!$A$36,'Données projet'!$B$36,N15+M16-V15)))</f>
        <v>72.967346078646827</v>
      </c>
      <c r="O16" s="13">
        <f>N16*VLOOKUP('Données projet'!$B$9,Paramètres!$A$1:$I$89,3,0)*VLOOKUP('Données projet'!$B$9,Paramètres!$A$1:$I$89,5,0)</f>
        <v>43.634472955030802</v>
      </c>
      <c r="P16" s="13">
        <f t="shared" si="33"/>
        <v>12.957034597381723</v>
      </c>
      <c r="Q16" s="20">
        <f t="shared" si="2"/>
        <v>98.563542320451802</v>
      </c>
      <c r="R16" s="59">
        <f t="shared" si="0"/>
        <v>371.11909787600734</v>
      </c>
      <c r="S16" s="59">
        <f ca="1">AVERAGE(OFFSET($R$3,0,0,'Données projet'!$E$9+1,1))-AVERAGE(OFFSET($H$3,0,0,'Données projet'!$E$9+1,1))</f>
        <v>323.20040177531774</v>
      </c>
      <c r="T16" s="59">
        <f t="shared" si="34"/>
        <v>402.87981443974337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9.4117948717948714</v>
      </c>
      <c r="N17" s="13">
        <f>IF('Données projet'!$A$36&gt;35,N16+M17-V16,IF(A17&lt;'Données projet'!$A$36,$K$205^A17,IF(A17='Données projet'!$A$36,'Données projet'!$B$36,N16+M17-V16)))</f>
        <v>101.49534671339541</v>
      </c>
      <c r="O17" s="13">
        <f>N17*VLOOKUP('Données projet'!$B$9,Paramètres!$A$1:$I$89,3,0)*VLOOKUP('Données projet'!$B$9,Paramètres!$A$1:$I$89,5,0)</f>
        <v>60.694217334610457</v>
      </c>
      <c r="P17" s="13">
        <f t="shared" si="33"/>
        <v>17.343671248056637</v>
      </c>
      <c r="Q17" s="20">
        <f t="shared" si="2"/>
        <v>135.91598928147849</v>
      </c>
      <c r="R17" s="59">
        <f t="shared" si="0"/>
        <v>409.69376705925629</v>
      </c>
      <c r="S17" s="59">
        <f ca="1">AVERAGE(OFFSET($R$3,0,0,'Données projet'!$E$9+1,1))-AVERAGE(OFFSET($H$3,0,0,'Données projet'!$E$9+1,1))</f>
        <v>323.20040177531774</v>
      </c>
      <c r="T17" s="59">
        <f t="shared" si="34"/>
        <v>402.87981443974337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141.17692307692306</v>
      </c>
      <c r="L18" s="12">
        <f>VLOOKUP(A18,'Données projet'!$A$35:$I$55,9,0)</f>
        <v>9.4117948717948714</v>
      </c>
      <c r="M18" s="12">
        <f t="array" ref="M18">INDEX(L:L,MIN(IF(ISNUMBER(L18:L214),ROW(L18:L214),"")))</f>
        <v>9.4117948717948714</v>
      </c>
      <c r="N18" s="13">
        <f>IF('Données projet'!$A$36&gt;35,N17+M18-V17,IF(A18&lt;'Données projet'!$A$36,$K$205^A18,IF(A18='Données projet'!$A$36,'Données projet'!$B$36,N17+M18-V17)))</f>
        <v>141.17692307692306</v>
      </c>
      <c r="O18" s="13">
        <f>N18*VLOOKUP('Données projet'!$B$9,Paramètres!$A$1:$I$89,3,0)*VLOOKUP('Données projet'!$B$9,Paramètres!$A$1:$I$89,5,0)</f>
        <v>84.423799999999986</v>
      </c>
      <c r="P18" s="13">
        <f t="shared" si="33"/>
        <v>23.215414769475935</v>
      </c>
      <c r="Q18" s="20">
        <f t="shared" si="2"/>
        <v>187.47163239017053</v>
      </c>
      <c r="R18" s="59">
        <f t="shared" si="0"/>
        <v>462.4716323901705</v>
      </c>
      <c r="S18" s="59">
        <f ca="1">AVERAGE(OFFSET($R$3,0,0,'Données projet'!$E$9+1,1))-AVERAGE(OFFSET($H$3,0,0,'Données projet'!$E$9+1,1))</f>
        <v>323.20040177531774</v>
      </c>
      <c r="T18" s="59">
        <f t="shared" si="34"/>
        <v>402.87981443974337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49.784615384615385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0.25200000000000006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9.9131546026642408</v>
      </c>
      <c r="AB18" s="21">
        <f>EXP(-LN(2)/2)*AB17+(1-EXP(-LN(2)/2))/(LN(2)/2)*V18*Y18*VLOOKUP('Données projet'!$B$9,Paramètres!$A$1:$I$89,3,0)*0.475*44/12</f>
        <v>14.831482237492764</v>
      </c>
      <c r="AC18" s="22">
        <f t="shared" si="3"/>
        <v>24.744636840157007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18.463076923076926</v>
      </c>
      <c r="N19" s="13">
        <f>IF('Données projet'!$A$36&gt;35,N18+M19-V18,IF(A19&lt;'Données projet'!$A$36,$K$205^A19,IF(A19='Données projet'!$A$36,'Données projet'!$B$36,N18+M19-V18)))</f>
        <v>109.85538461538459</v>
      </c>
      <c r="O19" s="13">
        <f>N19*VLOOKUP('Données projet'!$B$9,Paramètres!$A$1:$I$89,3,0)*VLOOKUP('Données projet'!$B$9,Paramètres!$A$1:$I$89,5,0)</f>
        <v>65.693519999999992</v>
      </c>
      <c r="P19" s="13">
        <f t="shared" si="33"/>
        <v>18.600086973007183</v>
      </c>
      <c r="Q19" s="20">
        <f t="shared" si="2"/>
        <v>146.81136547798749</v>
      </c>
      <c r="R19" s="59">
        <f t="shared" si="0"/>
        <v>423.03358770020975</v>
      </c>
      <c r="S19" s="59">
        <f ca="1">AVERAGE(OFFSET($R$3,0,0,'Données projet'!$E$9+1,1))-AVERAGE(OFFSET($H$3,0,0,'Données projet'!$E$9+1,1))</f>
        <v>323.20040177531774</v>
      </c>
      <c r="T19" s="59">
        <f t="shared" si="34"/>
        <v>402.87981443974337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9.6420788687442442</v>
      </c>
      <c r="AB19" s="21">
        <f>EXP(-LN(2)/2)*AB18+(1-EXP(-LN(2)/2))/(LN(2)/2)*V19*Y19*VLOOKUP('Données projet'!$B$9,Paramètres!$A$1:$I$89,3,0)*0.475*44/12</f>
        <v>10.487441665178963</v>
      </c>
      <c r="AC19" s="22">
        <f t="shared" si="3"/>
        <v>20.129520533923206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18.463076923076926</v>
      </c>
      <c r="N20" s="13">
        <f>IF('Données projet'!$A$36&gt;35,N19+M20-V19,IF(A20&lt;'Données projet'!$A$36,$K$205^A20,IF(A20='Données projet'!$A$36,'Données projet'!$B$36,N19+M20-V19)))</f>
        <v>128.31846153846152</v>
      </c>
      <c r="O20" s="13">
        <f>N20*VLOOKUP('Données projet'!$B$9,Paramètres!$A$1:$I$89,3,0)*VLOOKUP('Données projet'!$B$9,Paramètres!$A$1:$I$89,5,0)</f>
        <v>76.734439999999992</v>
      </c>
      <c r="P20" s="13">
        <f t="shared" si="33"/>
        <v>21.336811414414317</v>
      </c>
      <c r="Q20" s="20">
        <f t="shared" si="2"/>
        <v>170.80742954677157</v>
      </c>
      <c r="R20" s="59">
        <f t="shared" si="0"/>
        <v>448.25187399121603</v>
      </c>
      <c r="S20" s="59">
        <f ca="1">AVERAGE(OFFSET($R$3,0,0,'Données projet'!$E$9+1,1))-AVERAGE(OFFSET($H$3,0,0,'Données projet'!$E$9+1,1))</f>
        <v>323.20040177531774</v>
      </c>
      <c r="T20" s="59">
        <f t="shared" si="34"/>
        <v>402.87981443974337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9.378415715023543</v>
      </c>
      <c r="AB20" s="21">
        <f>EXP(-LN(2)/2)*AB19+(1-EXP(-LN(2)/2))/(LN(2)/2)*V20*Y20*VLOOKUP('Données projet'!$B$9,Paramètres!$A$1:$I$89,3,0)*0.475*44/12</f>
        <v>7.4157411187463831</v>
      </c>
      <c r="AC20" s="22">
        <f t="shared" si="3"/>
        <v>16.794156833769925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18.463076923076926</v>
      </c>
      <c r="N21" s="13">
        <f>IF('Données projet'!$A$36&gt;35,N20+M21-V20,IF(A21&lt;'Données projet'!$A$36,$K$205^A21,IF(A21='Données projet'!$A$36,'Données projet'!$B$36,N20+M21-V20)))</f>
        <v>146.78153846153845</v>
      </c>
      <c r="O21" s="13">
        <f>N21*VLOOKUP('Données projet'!$B$9,Paramètres!$A$1:$I$89,3,0)*VLOOKUP('Données projet'!$B$9,Paramètres!$A$1:$I$89,5,0)</f>
        <v>87.775359999999992</v>
      </c>
      <c r="P21" s="13">
        <f t="shared" si="33"/>
        <v>24.02791634919064</v>
      </c>
      <c r="Q21" s="20">
        <f t="shared" si="2"/>
        <v>194.72403964150703</v>
      </c>
      <c r="R21" s="59">
        <f t="shared" si="0"/>
        <v>473.39070630817372</v>
      </c>
      <c r="S21" s="59">
        <f ca="1">AVERAGE(OFFSET($R$3,0,0,'Données projet'!$E$9+1,1))-AVERAGE(OFFSET($H$3,0,0,'Données projet'!$E$9+1,1))</f>
        <v>323.20040177531774</v>
      </c>
      <c r="T21" s="59">
        <f t="shared" si="34"/>
        <v>402.87981443974337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9.1219624441067761</v>
      </c>
      <c r="AB21" s="21">
        <f>EXP(-LN(2)/2)*AB20+(1-EXP(-LN(2)/2))/(LN(2)/2)*V21*Y21*VLOOKUP('Données projet'!$B$9,Paramètres!$A$1:$I$89,3,0)*0.475*44/12</f>
        <v>5.2437208325894824</v>
      </c>
      <c r="AC21" s="22">
        <f t="shared" si="3"/>
        <v>14.365683276696259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18.463076923076926</v>
      </c>
      <c r="N22" s="13">
        <f>IF('Données projet'!$A$36&gt;35,N21+M22-V21,IF(A22&lt;'Données projet'!$A$36,$K$205^A22,IF(A22='Données projet'!$A$36,'Données projet'!$B$36,N21+M22-V21)))</f>
        <v>165.24461538461537</v>
      </c>
      <c r="O22" s="13">
        <f>N22*VLOOKUP('Données projet'!$B$9,Paramètres!$A$1:$I$89,3,0)*VLOOKUP('Données projet'!$B$9,Paramètres!$A$1:$I$89,5,0)</f>
        <v>98.816280000000006</v>
      </c>
      <c r="P22" s="13">
        <f t="shared" si="33"/>
        <v>26.679797439959771</v>
      </c>
      <c r="Q22" s="20">
        <f t="shared" si="2"/>
        <v>218.57233487459663</v>
      </c>
      <c r="R22" s="59">
        <f t="shared" si="0"/>
        <v>498.46122376348546</v>
      </c>
      <c r="S22" s="59">
        <f ca="1">AVERAGE(OFFSET($R$3,0,0,'Données projet'!$E$9+1,1))-AVERAGE(OFFSET($H$3,0,0,'Données projet'!$E$9+1,1))</f>
        <v>323.20040177531774</v>
      </c>
      <c r="T22" s="59">
        <f t="shared" si="34"/>
        <v>402.87981443974337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8.8725219013695202</v>
      </c>
      <c r="AB22" s="21">
        <f>EXP(-LN(2)/2)*AB21+(1-EXP(-LN(2)/2))/(LN(2)/2)*V22*Y22*VLOOKUP('Données projet'!$B$9,Paramètres!$A$1:$I$89,3,0)*0.475*44/12</f>
        <v>3.707870559373192</v>
      </c>
      <c r="AC22" s="22">
        <f t="shared" si="3"/>
        <v>12.580392460742711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183.7076923076923</v>
      </c>
      <c r="L23" s="12">
        <f>VLOOKUP(A23,'Données projet'!$A$35:$I$55,9,0)</f>
        <v>18.463076923076926</v>
      </c>
      <c r="M23" s="12">
        <f t="array" ref="M23">INDEX(L:L,MIN(IF(ISNUMBER(L23:L219),ROW(L23:L219),"")))</f>
        <v>18.463076923076926</v>
      </c>
      <c r="N23" s="13">
        <f>IF('Données projet'!$A$36&gt;35,N22+M23-V22,IF(A23&lt;'Données projet'!$A$36,$K$205^A23,IF(A23='Données projet'!$A$36,'Données projet'!$B$36,N22+M23-V22)))</f>
        <v>183.7076923076923</v>
      </c>
      <c r="O23" s="13">
        <f>N23*VLOOKUP('Données projet'!$B$9,Paramètres!$A$1:$I$89,3,0)*VLOOKUP('Données projet'!$B$9,Paramètres!$A$1:$I$89,5,0)</f>
        <v>109.85720000000001</v>
      </c>
      <c r="P23" s="13">
        <f t="shared" si="33"/>
        <v>29.297337235526424</v>
      </c>
      <c r="Q23" s="20">
        <f t="shared" si="2"/>
        <v>242.36081901854183</v>
      </c>
      <c r="R23" s="59">
        <f t="shared" si="0"/>
        <v>523.47193012965295</v>
      </c>
      <c r="S23" s="59">
        <f ca="1">AVERAGE(OFFSET($R$3,0,0,'Données projet'!$E$9+1,1))-AVERAGE(OFFSET($H$3,0,0,'Données projet'!$E$9+1,1))</f>
        <v>323.20040177531774</v>
      </c>
      <c r="T23" s="59">
        <f t="shared" si="34"/>
        <v>402.87981443974337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48.723076923076924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0.25200000000000006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18.331682492314798</v>
      </c>
      <c r="AB23" s="21">
        <f>EXP(-LN(2)/2)*AB22+(1-EXP(-LN(2)/2))/(LN(2)/2)*V23*Y23*VLOOKUP('Données projet'!$B$9,Paramètres!$A$1:$I$89,3,0)*0.475*44/12</f>
        <v>17.137096586300796</v>
      </c>
      <c r="AC23" s="22">
        <f t="shared" si="3"/>
        <v>35.468779078615597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19.071794871794875</v>
      </c>
      <c r="N24" s="13">
        <f>IF('Données projet'!$A$36&gt;35,N23+M24-V23,IF(A24&lt;'Données projet'!$A$36,$K$205^A24,IF(A24='Données projet'!$A$36,'Données projet'!$B$36,N23+M24-V23)))</f>
        <v>154.05641025641026</v>
      </c>
      <c r="O24" s="13">
        <f>N24*VLOOKUP('Données projet'!$B$9,Paramètres!$A$1:$I$89,3,0)*VLOOKUP('Données projet'!$B$9,Paramètres!$A$1:$I$89,5,0)</f>
        <v>92.125733333333343</v>
      </c>
      <c r="P24" s="13">
        <f t="shared" si="33"/>
        <v>25.077202059466597</v>
      </c>
      <c r="Q24" s="20">
        <f t="shared" si="2"/>
        <v>204.12844580912656</v>
      </c>
      <c r="R24" s="59">
        <f t="shared" si="0"/>
        <v>486.46177914245987</v>
      </c>
      <c r="S24" s="59">
        <f ca="1">AVERAGE(OFFSET($R$3,0,0,'Données projet'!$E$9+1,1))-AVERAGE(OFFSET($H$3,0,0,'Données projet'!$E$9+1,1))</f>
        <v>323.20040177531774</v>
      </c>
      <c r="T24" s="59">
        <f t="shared" si="34"/>
        <v>402.87981443974337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17.830401670541164</v>
      </c>
      <c r="AB24" s="21">
        <f>EXP(-LN(2)/2)*AB23+(1-EXP(-LN(2)/2))/(LN(2)/2)*V24*Y24*VLOOKUP('Données projet'!$B$9,Paramètres!$A$1:$I$89,3,0)*0.475*44/12</f>
        <v>12.117757206022128</v>
      </c>
      <c r="AC24" s="22">
        <f t="shared" si="3"/>
        <v>29.948158876563291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19.071794871794875</v>
      </c>
      <c r="N25" s="13">
        <f>IF('Données projet'!$A$36&gt;35,N24+M25-V24,IF(A25&lt;'Données projet'!$A$36,$K$205^A25,IF(A25='Données projet'!$A$36,'Données projet'!$B$36,N24+M25-V24)))</f>
        <v>173.12820512820514</v>
      </c>
      <c r="O25" s="13">
        <f>N25*VLOOKUP('Données projet'!$B$9,Paramètres!$A$1:$I$89,3,0)*VLOOKUP('Données projet'!$B$9,Paramètres!$A$1:$I$89,5,0)</f>
        <v>103.53066666666668</v>
      </c>
      <c r="P25" s="13">
        <f t="shared" si="33"/>
        <v>27.80142408921413</v>
      </c>
      <c r="Q25" s="20">
        <f t="shared" si="2"/>
        <v>228.73672473315909</v>
      </c>
      <c r="R25" s="59">
        <f t="shared" si="0"/>
        <v>512.29228028871466</v>
      </c>
      <c r="S25" s="59">
        <f ca="1">AVERAGE(OFFSET($R$3,0,0,'Données projet'!$E$9+1,1))-AVERAGE(OFFSET($H$3,0,0,'Données projet'!$E$9+1,1))</f>
        <v>323.20040177531774</v>
      </c>
      <c r="T25" s="59">
        <f t="shared" si="34"/>
        <v>402.87981443974337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17.342828399200144</v>
      </c>
      <c r="AB25" s="21">
        <f>EXP(-LN(2)/2)*AB24+(1-EXP(-LN(2)/2))/(LN(2)/2)*V25*Y25*VLOOKUP('Données projet'!$B$9,Paramètres!$A$1:$I$89,3,0)*0.475*44/12</f>
        <v>8.5685482931503998</v>
      </c>
      <c r="AC25" s="22">
        <f t="shared" si="3"/>
        <v>25.911376692350544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19.071794871794875</v>
      </c>
      <c r="N26" s="13">
        <f>IF('Données projet'!$A$36&gt;35,N25+M26-V25,IF(A26&lt;'Données projet'!$A$36,$K$205^A26,IF(A26='Données projet'!$A$36,'Données projet'!$B$36,N25+M26-V25)))</f>
        <v>192.20000000000002</v>
      </c>
      <c r="O26" s="13">
        <f>N26*VLOOKUP('Données projet'!$B$9,Paramètres!$A$1:$I$89,3,0)*VLOOKUP('Données projet'!$B$9,Paramètres!$A$1:$I$89,5,0)</f>
        <v>114.93560000000001</v>
      </c>
      <c r="P26" s="13">
        <f t="shared" si="33"/>
        <v>30.49086327624272</v>
      </c>
      <c r="Q26" s="20">
        <f t="shared" si="2"/>
        <v>253.28442353945601</v>
      </c>
      <c r="R26" s="59">
        <f t="shared" si="0"/>
        <v>538.06220131723376</v>
      </c>
      <c r="S26" s="59">
        <f ca="1">AVERAGE(OFFSET($R$3,0,0,'Données projet'!$E$9+1,1))-AVERAGE(OFFSET($H$3,0,0,'Données projet'!$E$9+1,1))</f>
        <v>323.20040177531774</v>
      </c>
      <c r="T26" s="59">
        <f t="shared" si="34"/>
        <v>402.87981443974337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16.86858784460431</v>
      </c>
      <c r="AB26" s="21">
        <f>EXP(-LN(2)/2)*AB25+(1-EXP(-LN(2)/2))/(LN(2)/2)*V26*Y26*VLOOKUP('Données projet'!$B$9,Paramètres!$A$1:$I$89,3,0)*0.475*44/12</f>
        <v>6.0588786030110651</v>
      </c>
      <c r="AC26" s="22">
        <f t="shared" si="3"/>
        <v>22.927466447615373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19.071794871794875</v>
      </c>
      <c r="N27" s="13">
        <f>IF('Données projet'!$A$36&gt;35,N26+M27-V26,IF(A27&lt;'Données projet'!$A$36,$K$205^A27,IF(A27='Données projet'!$A$36,'Données projet'!$B$36,N26+M27-V26)))</f>
        <v>211.2717948717949</v>
      </c>
      <c r="O27" s="13">
        <f>N27*VLOOKUP('Données projet'!$B$9,Paramètres!$A$1:$I$89,3,0)*VLOOKUP('Données projet'!$B$9,Paramètres!$A$1:$I$89,5,0)</f>
        <v>126.34053333333337</v>
      </c>
      <c r="P27" s="13">
        <f t="shared" si="33"/>
        <v>33.149363946532553</v>
      </c>
      <c r="Q27" s="20">
        <f t="shared" si="2"/>
        <v>277.77823776243309</v>
      </c>
      <c r="R27" s="59">
        <f t="shared" si="0"/>
        <v>563.77823776243304</v>
      </c>
      <c r="S27" s="59">
        <f ca="1">AVERAGE(OFFSET($R$3,0,0,'Données projet'!$E$9+1,1))-AVERAGE(OFFSET($H$3,0,0,'Données projet'!$E$9+1,1))</f>
        <v>323.20040177531774</v>
      </c>
      <c r="T27" s="59">
        <f t="shared" si="34"/>
        <v>402.87981443974337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16.407315422913126</v>
      </c>
      <c r="AB27" s="21">
        <f>EXP(-LN(2)/2)*AB26+(1-EXP(-LN(2)/2))/(LN(2)/2)*V27*Y27*VLOOKUP('Données projet'!$B$9,Paramètres!$A$1:$I$89,3,0)*0.475*44/12</f>
        <v>4.2842741465751999</v>
      </c>
      <c r="AC27" s="22">
        <f t="shared" si="3"/>
        <v>20.691589569488325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19.071794871794875</v>
      </c>
      <c r="N28" s="13">
        <f>IF('Données projet'!$A$36&gt;35,N27+M28-V27,IF(A28&lt;'Données projet'!$A$36,$K$205^A28,IF(A28='Données projet'!$A$36,'Données projet'!$B$36,N27+M28-V27)))</f>
        <v>230.34358974358977</v>
      </c>
      <c r="O28" s="13">
        <f>N28*VLOOKUP('Données projet'!$B$9,Paramètres!$A$1:$I$89,3,0)*VLOOKUP('Données projet'!$B$9,Paramètres!$A$1:$I$89,5,0)</f>
        <v>137.74546666666669</v>
      </c>
      <c r="P28" s="13">
        <f t="shared" si="33"/>
        <v>35.780036573255778</v>
      </c>
      <c r="Q28" s="20">
        <f t="shared" si="2"/>
        <v>302.22358480953159</v>
      </c>
      <c r="R28" s="59">
        <f t="shared" si="0"/>
        <v>589.44580703175382</v>
      </c>
      <c r="S28" s="59">
        <f ca="1">AVERAGE(OFFSET($R$3,0,0,'Données projet'!$E$9+1,1))-AVERAGE(OFFSET($H$3,0,0,'Données projet'!$E$9+1,1))</f>
        <v>323.20040177531774</v>
      </c>
      <c r="T28" s="59">
        <f t="shared" si="34"/>
        <v>402.87981443974337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15.958656519850347</v>
      </c>
      <c r="AB28" s="21">
        <f>EXP(-LN(2)/2)*AB27+(1-EXP(-LN(2)/2))/(LN(2)/2)*V28*Y28*VLOOKUP('Données projet'!$B$9,Paramètres!$A$1:$I$89,3,0)*0.475*44/12</f>
        <v>3.0294393015055325</v>
      </c>
      <c r="AC28" s="22">
        <f t="shared" si="3"/>
        <v>18.988095821355881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>
        <f>VLOOKUP(A29,'Données projet'!$A$35:$I$55,2,0)</f>
        <v>249.41538461538462</v>
      </c>
      <c r="L29" s="12">
        <f>VLOOKUP(A29,'Données projet'!$A$35:$I$55,9,0)</f>
        <v>19.071794871794875</v>
      </c>
      <c r="M29" s="12">
        <f t="array" ref="M29">INDEX(L:L,MIN(IF(ISNUMBER(L29:L225),ROW(L29:L225),"")))</f>
        <v>19.071794871794875</v>
      </c>
      <c r="N29" s="13">
        <f>IF('Données projet'!$A$36&gt;35,N28+M29-V28,IF(A29&lt;'Données projet'!$A$36,$K$205^A29,IF(A29='Données projet'!$A$36,'Données projet'!$B$36,N28+M29-V28)))</f>
        <v>249.41538461538465</v>
      </c>
      <c r="O29" s="13">
        <f>N29*VLOOKUP('Données projet'!$B$9,Paramètres!$A$1:$I$89,3,0)*VLOOKUP('Données projet'!$B$9,Paramètres!$A$1:$I$89,5,0)</f>
        <v>149.15040000000002</v>
      </c>
      <c r="P29" s="13">
        <f t="shared" si="33"/>
        <v>38.385447191571515</v>
      </c>
      <c r="Q29" s="20">
        <f t="shared" si="2"/>
        <v>326.62493385865372</v>
      </c>
      <c r="R29" s="59">
        <f t="shared" si="0"/>
        <v>615.06937830309812</v>
      </c>
      <c r="S29" s="59">
        <f ca="1">AVERAGE(OFFSET($R$3,0,0,'Données projet'!$E$9+1,1))-AVERAGE(OFFSET($H$3,0,0,'Données projet'!$E$9+1,1))</f>
        <v>323.20040177531774</v>
      </c>
      <c r="T29" s="59">
        <f t="shared" si="34"/>
        <v>402.87981443974337</v>
      </c>
      <c r="U29" s="15">
        <f>IF(ISNA(VLOOKUP(A29,'Données projet'!$A$35:$I$55,3,0)),0,VLOOKUP(A29,'Données projet'!$A$35:$I$55,3,0))</f>
        <v>3</v>
      </c>
      <c r="V29" s="15">
        <f>IF(ISNA(VLOOKUP(A29,'Données projet'!$A$35:$I$55,4,0)),0,VLOOKUP(A29,'Données projet'!$A$35:$I$55,4,0))</f>
        <v>46.984615384615381</v>
      </c>
      <c r="W29" s="16">
        <f>IF(ISNA(VLOOKUP(A29,'Données projet'!$A$35:$I$55,5,0)),0%,VLOOKUP(A29,'Données projet'!$A$35:$I$55,5,0)*VLOOKUP('Données projet'!$B$9,Paramètres!$A$1:$I$89,7,0))</f>
        <v>0.315</v>
      </c>
      <c r="X29" s="16">
        <f>IF(ISNA(VLOOKUP(A29,'Données projet'!$A$35:$I$55,6,0)),0%,VLOOKUP(A29,'Données projet'!$A$35:$I$55,6,0)*VLOOKUP('Données projet'!$B$9,Paramètres!$A$1:$I$89,7,0))</f>
        <v>7.5600000000000001E-2</v>
      </c>
      <c r="Y29" s="16">
        <f>IF(ISNA(VLOOKUP(A29,'Données projet'!$A$35:$I$55,7,0)),0%,VLOOKUP(A29,'Données projet'!$A$35:$I$55,7,0))</f>
        <v>0.13200000000000001</v>
      </c>
      <c r="Z29" s="21">
        <f>EXP(-LN(2)/35)*Z28+(1-EXP(-LN(2)/35))/(LN(2)/35)*V29*W29*VLOOKUP('Données projet'!$B$9,Paramètres!$A$1:$I$89,3,0)*0.475*44/12</f>
        <v>11.740748100352008</v>
      </c>
      <c r="AA29" s="21">
        <f>EXP(-LN(2)/25)*AA28+(1-EXP(-LN(2)/25))/(LN(2)/25)*Calculateur!V29*Calculateur!X29*VLOOKUP('Données projet'!$B$9,Paramètres!$A$1:$I$89,3,0)*0.475*44/12</f>
        <v>18.328951090447006</v>
      </c>
      <c r="AB29" s="21">
        <f>EXP(-LN(2)/2)*AB28+(1-EXP(-LN(2)/2))/(LN(2)/2)*V29*Y29*VLOOKUP('Données projet'!$B$9,Paramètres!$A$1:$I$89,3,0)*0.475*44/12</f>
        <v>6.3413348563502918</v>
      </c>
      <c r="AC29" s="22">
        <f t="shared" si="3"/>
        <v>36.411034047149307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19.498076923076916</v>
      </c>
      <c r="N30" s="13">
        <f>IF('Données projet'!$A$36&gt;35,N29+M30-V29,IF(A30&lt;'Données projet'!$A$36,$K$205^A30,IF(A30='Données projet'!$A$36,'Données projet'!$B$36,N29+M30-V29)))</f>
        <v>221.92884615384617</v>
      </c>
      <c r="O30" s="13">
        <f>N30*VLOOKUP('Données projet'!$B$9,Paramètres!$A$1:$I$89,3,0)*VLOOKUP('Données projet'!$B$9,Paramètres!$A$1:$I$89,5,0)</f>
        <v>132.71345000000002</v>
      </c>
      <c r="P30" s="13">
        <f t="shared" si="33"/>
        <v>34.622602138133175</v>
      </c>
      <c r="Q30" s="20">
        <f t="shared" si="2"/>
        <v>291.44362414058196</v>
      </c>
      <c r="R30" s="59">
        <f t="shared" si="0"/>
        <v>581.1102908072487</v>
      </c>
      <c r="S30" s="59">
        <f ca="1">AVERAGE(OFFSET($R$3,0,0,'Données projet'!$E$9+1,1))-AVERAGE(OFFSET($H$3,0,0,'Données projet'!$E$9+1,1))</f>
        <v>323.20040177531774</v>
      </c>
      <c r="T30" s="59">
        <f t="shared" si="34"/>
        <v>402.87981443974337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11.510519191253341</v>
      </c>
      <c r="AA30" s="21">
        <f>EXP(-LN(2)/25)*AA29+(1-EXP(-LN(2)/25))/(LN(2)/25)*Calculateur!V30*Calculateur!X30*VLOOKUP('Données projet'!$B$9,Paramètres!$A$1:$I$89,3,0)*0.475*44/12</f>
        <v>17.827744959001087</v>
      </c>
      <c r="AB30" s="21">
        <f>EXP(-LN(2)/2)*AB29+(1-EXP(-LN(2)/2))/(LN(2)/2)*V30*Y30*VLOOKUP('Données projet'!$B$9,Paramètres!$A$1:$I$89,3,0)*0.475*44/12</f>
        <v>4.4840008786999128</v>
      </c>
      <c r="AC30" s="22">
        <f t="shared" si="3"/>
        <v>33.822265028954341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19.498076923076916</v>
      </c>
      <c r="N31" s="13">
        <f>IF('Données projet'!$A$36&gt;35,N30+M31-V30,IF(A31&lt;'Données projet'!$A$36,$K$205^A31,IF(A31='Données projet'!$A$36,'Données projet'!$B$36,N30+M31-V30)))</f>
        <v>241.42692307692309</v>
      </c>
      <c r="O31" s="13">
        <f>N31*VLOOKUP('Données projet'!$B$9,Paramètres!$A$1:$I$89,3,0)*VLOOKUP('Données projet'!$B$9,Paramètres!$A$1:$I$89,5,0)</f>
        <v>144.37330000000003</v>
      </c>
      <c r="P31" s="13">
        <f t="shared" si="33"/>
        <v>37.297066515496802</v>
      </c>
      <c r="Q31" s="20">
        <f t="shared" si="2"/>
        <v>316.40922168115691</v>
      </c>
      <c r="R31" s="59">
        <f t="shared" si="0"/>
        <v>607.29811057004576</v>
      </c>
      <c r="S31" s="59">
        <f ca="1">AVERAGE(OFFSET($R$3,0,0,'Données projet'!$E$9+1,1))-AVERAGE(OFFSET($H$3,0,0,'Données projet'!$E$9+1,1))</f>
        <v>323.20040177531774</v>
      </c>
      <c r="T31" s="59">
        <f t="shared" si="34"/>
        <v>402.87981443974337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11.28480493063633</v>
      </c>
      <c r="AA31" s="21">
        <f>EXP(-LN(2)/25)*AA30+(1-EXP(-LN(2)/25))/(LN(2)/25)*Calculateur!V31*Calculateur!X31*VLOOKUP('Données projet'!$B$9,Paramètres!$A$1:$I$89,3,0)*0.475*44/12</f>
        <v>17.340244335576841</v>
      </c>
      <c r="AB31" s="21">
        <f>EXP(-LN(2)/2)*AB30+(1-EXP(-LN(2)/2))/(LN(2)/2)*V31*Y31*VLOOKUP('Données projet'!$B$9,Paramètres!$A$1:$I$89,3,0)*0.475*44/12</f>
        <v>3.1706674281751464</v>
      </c>
      <c r="AC31" s="22">
        <f t="shared" si="3"/>
        <v>31.795716694388318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19.498076923076916</v>
      </c>
      <c r="N32" s="13">
        <f>IF('Données projet'!$A$36&gt;35,N31+M32-V31,IF(A32&lt;'Données projet'!$A$36,$K$205^A32,IF(A32='Données projet'!$A$36,'Données projet'!$B$36,N31+M32-V31)))</f>
        <v>260.92500000000001</v>
      </c>
      <c r="O32" s="13">
        <f>N32*VLOOKUP('Données projet'!$B$9,Paramètres!$A$1:$I$89,3,0)*VLOOKUP('Données projet'!$B$9,Paramètres!$A$1:$I$89,5,0)</f>
        <v>156.03315000000001</v>
      </c>
      <c r="P32" s="13">
        <f t="shared" si="33"/>
        <v>39.946478197047639</v>
      </c>
      <c r="Q32" s="20">
        <f t="shared" si="2"/>
        <v>341.33118577652465</v>
      </c>
      <c r="R32" s="59">
        <f t="shared" si="0"/>
        <v>633.44229688763585</v>
      </c>
      <c r="S32" s="59">
        <f ca="1">AVERAGE(OFFSET($R$3,0,0,'Données projet'!$E$9+1,1))-AVERAGE(OFFSET($H$3,0,0,'Données projet'!$E$9+1,1))</f>
        <v>323.20040177531774</v>
      </c>
      <c r="T32" s="59">
        <f t="shared" si="34"/>
        <v>402.87981443974337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11.063516788997914</v>
      </c>
      <c r="AA32" s="21">
        <f>EXP(-LN(2)/25)*AA31+(1-EXP(-LN(2)/25))/(LN(2)/25)*Calculateur!V32*Calculateur!X32*VLOOKUP('Données projet'!$B$9,Paramètres!$A$1:$I$89,3,0)*0.475*44/12</f>
        <v>16.866074442336675</v>
      </c>
      <c r="AB32" s="21">
        <f>EXP(-LN(2)/2)*AB31+(1-EXP(-LN(2)/2))/(LN(2)/2)*V32*Y32*VLOOKUP('Données projet'!$B$9,Paramètres!$A$1:$I$89,3,0)*0.475*44/12</f>
        <v>2.2420004393499569</v>
      </c>
      <c r="AC32" s="22">
        <f t="shared" si="3"/>
        <v>30.171591670684549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280.42307692307691</v>
      </c>
      <c r="L33" s="12">
        <f>VLOOKUP(A33,'Données projet'!$A$35:$I$55,9,0)</f>
        <v>19.498076923076916</v>
      </c>
      <c r="M33" s="12">
        <f t="array" ref="M33">INDEX(L:L,MIN(IF(ISNUMBER(L33:L229),ROW(L33:L229),"")))</f>
        <v>19.498076923076916</v>
      </c>
      <c r="N33" s="13">
        <f>IF('Données projet'!$A$36&gt;35,N32+M33-V32,IF(A33&lt;'Données projet'!$A$36,$K$205^A33,IF(A33='Données projet'!$A$36,'Données projet'!$B$36,N32+M33-V32)))</f>
        <v>280.42307692307691</v>
      </c>
      <c r="O33" s="13">
        <f>N33*VLOOKUP('Données projet'!$B$9,Paramètres!$A$1:$I$89,3,0)*VLOOKUP('Données projet'!$B$9,Paramètres!$A$1:$I$89,5,0)</f>
        <v>167.69299999999998</v>
      </c>
      <c r="P33" s="13">
        <f t="shared" si="33"/>
        <v>42.572922166359888</v>
      </c>
      <c r="Q33" s="20">
        <f t="shared" si="2"/>
        <v>366.2131477730768</v>
      </c>
      <c r="R33" s="59">
        <f t="shared" si="0"/>
        <v>659.54648110641006</v>
      </c>
      <c r="S33" s="59">
        <f ca="1">AVERAGE(OFFSET($R$3,0,0,'Données projet'!$E$9+1,1))-AVERAGE(OFFSET($H$3,0,0,'Données projet'!$E$9+1,1))</f>
        <v>323.20040177531774</v>
      </c>
      <c r="T33" s="59">
        <f t="shared" si="34"/>
        <v>402.87981443974337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10.846567972844589</v>
      </c>
      <c r="AA33" s="21">
        <f>EXP(-LN(2)/25)*AA32+(1-EXP(-LN(2)/25))/(LN(2)/25)*Calculateur!V33*Calculateur!X33*VLOOKUP('Données projet'!$B$9,Paramètres!$A$1:$I$89,3,0)*0.475*44/12</f>
        <v>16.404870749762672</v>
      </c>
      <c r="AB33" s="21">
        <f>EXP(-LN(2)/2)*AB32+(1-EXP(-LN(2)/2))/(LN(2)/2)*V33*Y33*VLOOKUP('Données projet'!$B$9,Paramètres!$A$1:$I$89,3,0)*0.475*44/12</f>
        <v>1.5853337140875734</v>
      </c>
      <c r="AC33" s="22">
        <f t="shared" si="3"/>
        <v>28.836772436694837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19.184615384615398</v>
      </c>
      <c r="N34" s="13">
        <f>IF('Données projet'!$A$36&gt;35,N33+M34-V33,IF(A34&lt;'Données projet'!$A$36,$K$205^A34,IF(A34='Données projet'!$A$36,'Données projet'!$B$36,N33+M34-V33)))</f>
        <v>299.60769230769233</v>
      </c>
      <c r="O34" s="13">
        <f>N34*VLOOKUP('Données projet'!$B$9,Paramètres!$A$1:$I$89,3,0)*VLOOKUP('Données projet'!$B$9,Paramètres!$A$1:$I$89,5,0)</f>
        <v>179.16540000000003</v>
      </c>
      <c r="P34" s="13">
        <f t="shared" si="33"/>
        <v>45.136452849152207</v>
      </c>
      <c r="Q34" s="20">
        <f t="shared" si="2"/>
        <v>390.65906037894007</v>
      </c>
      <c r="R34" s="59">
        <f t="shared" si="0"/>
        <v>683.99239371227338</v>
      </c>
      <c r="S34" s="59">
        <f ca="1">AVERAGE(OFFSET($R$3,0,0,'Données projet'!$E$9+1,1))-AVERAGE(OFFSET($H$3,0,0,'Données projet'!$E$9+1,1))</f>
        <v>323.20040177531774</v>
      </c>
      <c r="T34" s="59">
        <f t="shared" si="34"/>
        <v>402.87981443974337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10.633873390650319</v>
      </c>
      <c r="AA34" s="21">
        <f>EXP(-LN(2)/25)*AA33+(1-EXP(-LN(2)/25))/(LN(2)/25)*Calculateur!V34*Calculateur!X34*VLOOKUP('Données projet'!$B$9,Paramètres!$A$1:$I$89,3,0)*0.475*44/12</f>
        <v>15.956278696415753</v>
      </c>
      <c r="AB34" s="21">
        <f>EXP(-LN(2)/2)*AB33+(1-EXP(-LN(2)/2))/(LN(2)/2)*V34*Y34*VLOOKUP('Données projet'!$B$9,Paramètres!$A$1:$I$89,3,0)*0.475*44/12</f>
        <v>1.1210002196749784</v>
      </c>
      <c r="AC34" s="22">
        <f t="shared" si="3"/>
        <v>27.711152306741052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318.7923076923077</v>
      </c>
      <c r="L35" s="12">
        <f>VLOOKUP(A35,'Données projet'!$A$35:$I$55,9,0)</f>
        <v>19.184615384615398</v>
      </c>
      <c r="M35" s="12">
        <f t="array" ref="M35">INDEX(L:L,MIN(IF(ISNUMBER(L35:L231),ROW(L35:L231),"")))</f>
        <v>19.184615384615398</v>
      </c>
      <c r="N35" s="13">
        <f>IF('Données projet'!$A$36&gt;35,N34+M35-V34,IF(A35&lt;'Données projet'!$A$36,$K$205^A35,IF(A35='Données projet'!$A$36,'Données projet'!$B$36,N34+M35-V34)))</f>
        <v>318.79230769230776</v>
      </c>
      <c r="O35" s="13">
        <f>N35*VLOOKUP('Données projet'!$B$9,Paramètres!$A$1:$I$89,3,0)*VLOOKUP('Données projet'!$B$9,Paramètres!$A$1:$I$89,5,0)</f>
        <v>190.63780000000006</v>
      </c>
      <c r="P35" s="13">
        <f t="shared" si="33"/>
        <v>47.680933861376609</v>
      </c>
      <c r="Q35" s="20">
        <f t="shared" ref="Q35:Q66" si="53">(O35+P35)*0.475*44/12</f>
        <v>415.07179480856433</v>
      </c>
      <c r="R35" s="59">
        <f t="shared" si="0"/>
        <v>708.40512814189765</v>
      </c>
      <c r="S35" s="59">
        <f ca="1">AVERAGE(OFFSET($R$3,0,0,'Données projet'!$E$9+1,1))-AVERAGE(OFFSET($H$3,0,0,'Données projet'!$E$9+1,1))</f>
        <v>323.20040177531774</v>
      </c>
      <c r="T35" s="59">
        <f t="shared" si="34"/>
        <v>402.87981443974337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64.523076923076914</v>
      </c>
      <c r="W35" s="16">
        <f>IF(ISNA(VLOOKUP(A35,'Données projet'!$A$35:$I$55,5,0)),0%,VLOOKUP(A35,'Données projet'!$A$35:$I$55,5,0)*VLOOKUP('Données projet'!$B$9,Paramètres!$A$1:$I$89,7,0))</f>
        <v>0.315</v>
      </c>
      <c r="X35" s="16">
        <f>IF(ISNA(VLOOKUP(A35,'Données projet'!$A$35:$I$55,6,0)),0%,VLOOKUP(A35,'Données projet'!$A$35:$I$55,6,0)*VLOOKUP('Données projet'!$B$9,Paramètres!$A$1:$I$89,7,0))</f>
        <v>7.5600000000000001E-2</v>
      </c>
      <c r="Y35" s="16">
        <f>IF(ISNA(VLOOKUP(A35,'Données projet'!$A$35:$I$55,7,0)),0%,VLOOKUP(A35,'Données projet'!$A$35:$I$55,7,0))</f>
        <v>0.13200000000000001</v>
      </c>
      <c r="Z35" s="21">
        <f>EXP(-LN(2)/35)*Z34+(1-EXP(-LN(2)/35))/(LN(2)/35)*V35*W35*VLOOKUP('Données projet'!$B$9,Paramètres!$A$1:$I$89,3,0)*0.475*44/12</f>
        <v>26.548695242558715</v>
      </c>
      <c r="AA35" s="21">
        <f>EXP(-LN(2)/25)*AA34+(1-EXP(-LN(2)/25))/(LN(2)/25)*Calculateur!V35*Calculateur!X35*VLOOKUP('Données projet'!$B$9,Paramètres!$A$1:$I$89,3,0)*0.475*44/12</f>
        <v>19.374320264649796</v>
      </c>
      <c r="AB35" s="21">
        <f>EXP(-LN(2)/2)*AB34+(1-EXP(-LN(2)/2))/(LN(2)/2)*V35*Y35*VLOOKUP('Données projet'!$B$9,Paramètres!$A$1:$I$89,3,0)*0.475*44/12</f>
        <v>6.5593451485188776</v>
      </c>
      <c r="AC35" s="22">
        <f t="shared" si="3"/>
        <v>52.482360655727391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18.055769230769229</v>
      </c>
      <c r="N36" s="13">
        <f>IF('Données projet'!$A$36&gt;35,N35+M36-V35,IF(A36&lt;'Données projet'!$A$36,$K$205^A36,IF(A36='Données projet'!$A$36,'Données projet'!$B$36,N35+M36-V35)))</f>
        <v>272.32500000000005</v>
      </c>
      <c r="O36" s="13">
        <f>N36*VLOOKUP('Données projet'!$B$9,Paramètres!$A$1:$I$89,3,0)*VLOOKUP('Données projet'!$B$9,Paramètres!$A$1:$I$89,5,0)</f>
        <v>162.85035000000002</v>
      </c>
      <c r="P36" s="13">
        <f t="shared" si="33"/>
        <v>41.484757610477807</v>
      </c>
      <c r="Q36" s="20">
        <f t="shared" si="53"/>
        <v>355.88364575491551</v>
      </c>
      <c r="R36" s="59">
        <f t="shared" si="0"/>
        <v>649.21697908824876</v>
      </c>
      <c r="S36" s="59">
        <f ca="1">AVERAGE(OFFSET($R$3,0,0,'Données projet'!$E$9+1,1))-AVERAGE(OFFSET($H$3,0,0,'Données projet'!$E$9+1,1))</f>
        <v>323.20040177531774</v>
      </c>
      <c r="T36" s="59">
        <f t="shared" si="34"/>
        <v>402.87981443974337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26.0280915219573</v>
      </c>
      <c r="AA36" s="21">
        <f>EXP(-LN(2)/25)*AA35+(1-EXP(-LN(2)/25))/(LN(2)/25)*Calculateur!V36*Calculateur!X36*VLOOKUP('Données projet'!$B$9,Paramètres!$A$1:$I$89,3,0)*0.475*44/12</f>
        <v>18.844528458161726</v>
      </c>
      <c r="AB36" s="21">
        <f>EXP(-LN(2)/2)*AB35+(1-EXP(-LN(2)/2))/(LN(2)/2)*V36*Y36*VLOOKUP('Données projet'!$B$9,Paramètres!$A$1:$I$89,3,0)*0.475*44/12</f>
        <v>4.6381574346607808</v>
      </c>
      <c r="AC36" s="22">
        <f t="shared" si="3"/>
        <v>49.51077741477981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18.055769230769229</v>
      </c>
      <c r="N37" s="13">
        <f>IF('Données projet'!$A$36&gt;35,N36+M37-V36,IF(A37&lt;'Données projet'!$A$36,$K$205^A37,IF(A37='Données projet'!$A$36,'Données projet'!$B$36,N36+M37-V36)))</f>
        <v>290.38076923076926</v>
      </c>
      <c r="O37" s="13">
        <f>N37*VLOOKUP('Données projet'!$B$9,Paramètres!$A$1:$I$89,3,0)*VLOOKUP('Données projet'!$B$9,Paramètres!$A$1:$I$89,5,0)</f>
        <v>173.64770000000001</v>
      </c>
      <c r="P37" s="13">
        <f t="shared" si="33"/>
        <v>43.905974872685142</v>
      </c>
      <c r="Q37" s="20">
        <f t="shared" si="53"/>
        <v>378.90598373659327</v>
      </c>
      <c r="R37" s="59">
        <f t="shared" si="0"/>
        <v>672.23931706992653</v>
      </c>
      <c r="S37" s="59">
        <f ca="1">AVERAGE(OFFSET($R$3,0,0,'Données projet'!$E$9+1,1))-AVERAGE(OFFSET($H$3,0,0,'Données projet'!$E$9+1,1))</f>
        <v>323.20040177531774</v>
      </c>
      <c r="T37" s="59">
        <f t="shared" si="34"/>
        <v>402.87981443974337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25.517696522779964</v>
      </c>
      <c r="AA37" s="21">
        <f>EXP(-LN(2)/25)*AA36+(1-EXP(-LN(2)/25))/(LN(2)/25)*Calculateur!V37*Calculateur!X37*VLOOKUP('Données projet'!$B$9,Paramètres!$A$1:$I$89,3,0)*0.475*44/12</f>
        <v>18.329223836482612</v>
      </c>
      <c r="AB37" s="21">
        <f>EXP(-LN(2)/2)*AB36+(1-EXP(-LN(2)/2))/(LN(2)/2)*V37*Y37*VLOOKUP('Données projet'!$B$9,Paramètres!$A$1:$I$89,3,0)*0.475*44/12</f>
        <v>3.2796725742594397</v>
      </c>
      <c r="AC37" s="22">
        <f t="shared" si="3"/>
        <v>47.126592933522019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18.055769230769229</v>
      </c>
      <c r="N38" s="13">
        <f>IF('Données projet'!$A$36&gt;35,N37+M38-V37,IF(A38&lt;'Données projet'!$A$36,$K$205^A38,IF(A38='Données projet'!$A$36,'Données projet'!$B$36,N37+M38-V37)))</f>
        <v>308.43653846153848</v>
      </c>
      <c r="O38" s="13">
        <f>N38*VLOOKUP('Données projet'!$B$9,Paramètres!$A$1:$I$89,3,0)*VLOOKUP('Données projet'!$B$9,Paramètres!$A$1:$I$89,5,0)</f>
        <v>184.44505000000004</v>
      </c>
      <c r="P38" s="13">
        <f t="shared" si="33"/>
        <v>46.309719450497106</v>
      </c>
      <c r="Q38" s="20">
        <f t="shared" si="53"/>
        <v>401.89789012628256</v>
      </c>
      <c r="R38" s="59">
        <f t="shared" si="0"/>
        <v>695.23122345961588</v>
      </c>
      <c r="S38" s="59">
        <f ca="1">AVERAGE(OFFSET($R$3,0,0,'Données projet'!$E$9+1,1))-AVERAGE(OFFSET($H$3,0,0,'Données projet'!$E$9+1,1))</f>
        <v>323.20040177531774</v>
      </c>
      <c r="T38" s="59">
        <f t="shared" si="34"/>
        <v>402.87981443974337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25.017310058226286</v>
      </c>
      <c r="AA38" s="21">
        <f>EXP(-LN(2)/25)*AA37+(1-EXP(-LN(2)/25))/(LN(2)/25)*Calculateur!V38*Calculateur!X38*VLOOKUP('Données projet'!$B$9,Paramètres!$A$1:$I$89,3,0)*0.475*44/12</f>
        <v>17.828010246782004</v>
      </c>
      <c r="AB38" s="21">
        <f>EXP(-LN(2)/2)*AB37+(1-EXP(-LN(2)/2))/(LN(2)/2)*V38*Y38*VLOOKUP('Données projet'!$B$9,Paramètres!$A$1:$I$89,3,0)*0.475*44/12</f>
        <v>2.3190787173303908</v>
      </c>
      <c r="AC38" s="22">
        <f t="shared" si="3"/>
        <v>45.164399022338678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18.055769230769229</v>
      </c>
      <c r="N39" s="13">
        <f>IF('Données projet'!$A$36&gt;35,N38+M39-V38,IF(A39&lt;'Données projet'!$A$36,$K$205^A39,IF(A39='Données projet'!$A$36,'Données projet'!$B$36,N38+M39-V38)))</f>
        <v>326.49230769230769</v>
      </c>
      <c r="O39" s="13">
        <f>N39*VLOOKUP('Données projet'!$B$9,Paramètres!$A$1:$I$89,3,0)*VLOOKUP('Données projet'!$B$9,Paramètres!$A$1:$I$89,5,0)</f>
        <v>195.2424</v>
      </c>
      <c r="P39" s="13">
        <f t="shared" si="33"/>
        <v>48.697130705157392</v>
      </c>
      <c r="Q39" s="20">
        <f t="shared" si="53"/>
        <v>424.8613493114824</v>
      </c>
      <c r="R39" s="59">
        <f t="shared" si="0"/>
        <v>718.19468264481566</v>
      </c>
      <c r="S39" s="59">
        <f ca="1">AVERAGE(OFFSET($R$3,0,0,'Données projet'!$E$9+1,1))-AVERAGE(OFFSET($H$3,0,0,'Données projet'!$E$9+1,1))</f>
        <v>323.20040177531774</v>
      </c>
      <c r="T39" s="59">
        <f t="shared" si="34"/>
        <v>402.87981443974337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24.526735867036898</v>
      </c>
      <c r="AA39" s="21">
        <f>EXP(-LN(2)/25)*AA38+(1-EXP(-LN(2)/25))/(LN(2)/25)*Calculateur!V39*Calculateur!X39*VLOOKUP('Données projet'!$B$9,Paramètres!$A$1:$I$89,3,0)*0.475*44/12</f>
        <v>17.340502369049439</v>
      </c>
      <c r="AB39" s="21">
        <f>EXP(-LN(2)/2)*AB38+(1-EXP(-LN(2)/2))/(LN(2)/2)*V39*Y39*VLOOKUP('Données projet'!$B$9,Paramètres!$A$1:$I$89,3,0)*0.475*44/12</f>
        <v>1.6398362871297201</v>
      </c>
      <c r="AC39" s="22">
        <f t="shared" si="3"/>
        <v>43.507074523216055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18.055769230769229</v>
      </c>
      <c r="N40" s="13">
        <f>IF('Données projet'!$A$36&gt;35,N39+M40-V39,IF(A40&lt;'Données projet'!$A$36,$K$205^A40,IF(A40='Données projet'!$A$36,'Données projet'!$B$36,N39+M40-V39)))</f>
        <v>344.54807692307691</v>
      </c>
      <c r="O40" s="13">
        <f>N40*VLOOKUP('Données projet'!$B$9,Paramètres!$A$1:$I$89,3,0)*VLOOKUP('Données projet'!$B$9,Paramètres!$A$1:$I$89,5,0)</f>
        <v>206.03975</v>
      </c>
      <c r="P40" s="13">
        <f t="shared" si="33"/>
        <v>51.069214862008621</v>
      </c>
      <c r="Q40" s="20">
        <f t="shared" si="53"/>
        <v>447.79811380133168</v>
      </c>
      <c r="R40" s="59">
        <f t="shared" si="0"/>
        <v>741.131447134665</v>
      </c>
      <c r="S40" s="59">
        <f ca="1">AVERAGE(OFFSET($R$3,0,0,'Données projet'!$E$9+1,1))-AVERAGE(OFFSET($H$3,0,0,'Données projet'!$E$9+1,1))</f>
        <v>323.20040177531774</v>
      </c>
      <c r="T40" s="59">
        <f t="shared" si="34"/>
        <v>402.87981443974337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24.045781536516021</v>
      </c>
      <c r="AA40" s="21">
        <f>EXP(-LN(2)/25)*AA39+(1-EXP(-LN(2)/25))/(LN(2)/25)*Calculateur!V40*Calculateur!X40*VLOOKUP('Données projet'!$B$9,Paramètres!$A$1:$I$89,3,0)*0.475*44/12</f>
        <v>16.866325419870396</v>
      </c>
      <c r="AB40" s="21">
        <f>EXP(-LN(2)/2)*AB39+(1-EXP(-LN(2)/2))/(LN(2)/2)*V40*Y40*VLOOKUP('Données projet'!$B$9,Paramètres!$A$1:$I$89,3,0)*0.475*44/12</f>
        <v>1.1595393586651956</v>
      </c>
      <c r="AC40" s="22">
        <f t="shared" si="3"/>
        <v>42.071646315051609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18.055769230769229</v>
      </c>
      <c r="N41" s="13">
        <f>IF('Données projet'!$A$36&gt;35,N40+M41-V40,IF(A41&lt;'Données projet'!$A$36,$K$205^A41,IF(A41='Données projet'!$A$36,'Données projet'!$B$36,N40+M41-V40)))</f>
        <v>362.60384615384612</v>
      </c>
      <c r="O41" s="13">
        <f>N41*VLOOKUP('Données projet'!$B$9,Paramètres!$A$1:$I$89,3,0)*VLOOKUP('Données projet'!$B$9,Paramètres!$A$1:$I$89,5,0)</f>
        <v>216.83710000000002</v>
      </c>
      <c r="P41" s="13">
        <f t="shared" si="33"/>
        <v>53.426866729052094</v>
      </c>
      <c r="Q41" s="20">
        <f t="shared" si="53"/>
        <v>470.70974205309909</v>
      </c>
      <c r="R41" s="59">
        <f t="shared" si="0"/>
        <v>764.04307538643241</v>
      </c>
      <c r="S41" s="59">
        <f ca="1">AVERAGE(OFFSET($R$3,0,0,'Données projet'!$E$9+1,1))-AVERAGE(OFFSET($H$3,0,0,'Données projet'!$E$9+1,1))</f>
        <v>323.20040177531774</v>
      </c>
      <c r="T41" s="59">
        <f t="shared" si="34"/>
        <v>402.87981443974337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23.574258427063484</v>
      </c>
      <c r="AA41" s="21">
        <f>EXP(-LN(2)/25)*AA40+(1-EXP(-LN(2)/25))/(LN(2)/25)*Calculateur!V41*Calculateur!X41*VLOOKUP('Données projet'!$B$9,Paramètres!$A$1:$I$89,3,0)*0.475*44/12</f>
        <v>16.405114864302536</v>
      </c>
      <c r="AB41" s="21">
        <f>EXP(-LN(2)/2)*AB40+(1-EXP(-LN(2)/2))/(LN(2)/2)*V41*Y41*VLOOKUP('Données projet'!$B$9,Paramètres!$A$1:$I$89,3,0)*0.475*44/12</f>
        <v>0.81991814356486015</v>
      </c>
      <c r="AC41" s="22">
        <f t="shared" si="3"/>
        <v>40.799291434930879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18.055769230769229</v>
      </c>
      <c r="N42" s="13">
        <f>IF('Données projet'!$A$36&gt;35,N41+M42-V41,IF(A42&lt;'Données projet'!$A$36,$K$205^A42,IF(A42='Données projet'!$A$36,'Données projet'!$B$36,N41+M42-V41)))</f>
        <v>380.65961538461534</v>
      </c>
      <c r="O42" s="13">
        <f>N42*VLOOKUP('Données projet'!$B$9,Paramètres!$A$1:$I$89,3,0)*VLOOKUP('Données projet'!$B$9,Paramètres!$A$1:$I$89,5,0)</f>
        <v>227.63444999999999</v>
      </c>
      <c r="P42" s="13">
        <f t="shared" si="33"/>
        <v>55.770886966725193</v>
      </c>
      <c r="Q42" s="20">
        <f t="shared" si="53"/>
        <v>493.59762855037974</v>
      </c>
      <c r="R42" s="59">
        <f t="shared" si="0"/>
        <v>786.93096188371305</v>
      </c>
      <c r="S42" s="59">
        <f ca="1">AVERAGE(OFFSET($R$3,0,0,'Données projet'!$E$9+1,1))-AVERAGE(OFFSET($H$3,0,0,'Données projet'!$E$9+1,1))</f>
        <v>323.20040177531774</v>
      </c>
      <c r="T42" s="59">
        <f t="shared" si="34"/>
        <v>402.87981443974337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23.111981598186613</v>
      </c>
      <c r="AA42" s="21">
        <f>EXP(-LN(2)/25)*AA41+(1-EXP(-LN(2)/25))/(LN(2)/25)*Calculateur!V42*Calculateur!X42*VLOOKUP('Données projet'!$B$9,Paramètres!$A$1:$I$89,3,0)*0.475*44/12</f>
        <v>15.956516135630688</v>
      </c>
      <c r="AB42" s="21">
        <f>EXP(-LN(2)/2)*AB41+(1-EXP(-LN(2)/2))/(LN(2)/2)*V42*Y42*VLOOKUP('Données projet'!$B$9,Paramètres!$A$1:$I$89,3,0)*0.475*44/12</f>
        <v>0.57976967933259782</v>
      </c>
      <c r="AC42" s="22">
        <f t="shared" si="3"/>
        <v>39.648267413149902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398.71538461538461</v>
      </c>
      <c r="L43" s="12">
        <f>VLOOKUP(A43,'Données projet'!$A$35:$I$55,9,0)</f>
        <v>18.055769230769229</v>
      </c>
      <c r="M43" s="12">
        <f t="array" ref="M43">INDEX(L:L,MIN(IF(ISNUMBER(L43:L239),ROW(L43:L239),"")))</f>
        <v>18.055769230769229</v>
      </c>
      <c r="N43" s="13">
        <f>IF('Données projet'!$A$36&gt;35,N42+M43-V42,IF(A43&lt;'Données projet'!$A$36,$K$205^A43,IF(A43='Données projet'!$A$36,'Données projet'!$B$36,N42+M43-V42)))</f>
        <v>398.71538461538455</v>
      </c>
      <c r="O43" s="13">
        <f>N43*VLOOKUP('Données projet'!$B$9,Paramètres!$A$1:$I$89,3,0)*VLOOKUP('Données projet'!$B$9,Paramètres!$A$1:$I$89,5,0)</f>
        <v>238.43179999999998</v>
      </c>
      <c r="P43" s="13">
        <f t="shared" si="33"/>
        <v>58.101995988242535</v>
      </c>
      <c r="Q43" s="20">
        <f t="shared" si="53"/>
        <v>516.46302801285572</v>
      </c>
      <c r="R43" s="59">
        <f t="shared" si="0"/>
        <v>809.79636134618909</v>
      </c>
      <c r="S43" s="59">
        <f ca="1">AVERAGE(OFFSET($R$3,0,0,'Données projet'!$E$9+1,1))-AVERAGE(OFFSET($H$3,0,0,'Données projet'!$E$9+1,1))</f>
        <v>323.20040177531774</v>
      </c>
      <c r="T43" s="59">
        <f t="shared" si="34"/>
        <v>402.87981443974337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92.661538461538456</v>
      </c>
      <c r="W43" s="16">
        <f>IF(ISNA(VLOOKUP(A43,'Données projet'!$A$35:$I$55,5,0)),0%,VLOOKUP(A43,'Données projet'!$A$35:$I$55,5,0)*VLOOKUP('Données projet'!$B$9,Paramètres!$A$1:$I$89,7,0))</f>
        <v>0.315</v>
      </c>
      <c r="X43" s="16">
        <f>IF(ISNA(VLOOKUP(A43,'Données projet'!$A$35:$I$55,6,0)),0%,VLOOKUP(A43,'Données projet'!$A$35:$I$55,6,0)*VLOOKUP('Données projet'!$B$9,Paramètres!$A$1:$I$89,7,0))</f>
        <v>7.5600000000000001E-2</v>
      </c>
      <c r="Y43" s="16">
        <f>IF(ISNA(VLOOKUP(A43,'Données projet'!$A$35:$I$55,7,0)),0%,VLOOKUP(A43,'Données projet'!$A$35:$I$55,7,0))</f>
        <v>0.13200000000000001</v>
      </c>
      <c r="Z43" s="21">
        <f>EXP(-LN(2)/35)*Z42+(1-EXP(-LN(2)/35))/(LN(2)/35)*V43*W43*VLOOKUP('Données projet'!$B$9,Paramètres!$A$1:$I$89,3,0)*0.475*44/12</f>
        <v>45.813493314358581</v>
      </c>
      <c r="AA43" s="21">
        <f>EXP(-LN(2)/25)*AA42+(1-EXP(-LN(2)/25))/(LN(2)/25)*Calculateur!V43*Calculateur!X43*VLOOKUP('Données projet'!$B$9,Paramètres!$A$1:$I$89,3,0)*0.475*44/12</f>
        <v>21.055437468951411</v>
      </c>
      <c r="AB43" s="21">
        <f>EXP(-LN(2)/2)*AB42+(1-EXP(-LN(2)/2))/(LN(2)/2)*V43*Y43*VLOOKUP('Données projet'!$B$9,Paramètres!$A$1:$I$89,3,0)*0.475*44/12</f>
        <v>8.6914810912279421</v>
      </c>
      <c r="AC43" s="22">
        <f t="shared" si="3"/>
        <v>75.560411874537934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15.21153846153846</v>
      </c>
      <c r="N44" s="13">
        <f>IF('Données projet'!$A$36&gt;35,N43+M44-V43,IF(A44&lt;'Données projet'!$A$36,$K$205^A44,IF(A44='Données projet'!$A$36,'Données projet'!$B$36,N43+M44-V43)))</f>
        <v>321.26538461538456</v>
      </c>
      <c r="O44" s="13">
        <f>N44*VLOOKUP('Données projet'!$B$9,Paramètres!$A$1:$I$89,3,0)*VLOOKUP('Données projet'!$B$9,Paramètres!$A$1:$I$89,5,0)</f>
        <v>192.11670000000001</v>
      </c>
      <c r="P44" s="13">
        <f t="shared" si="33"/>
        <v>48.007622995174927</v>
      </c>
      <c r="Q44" s="20">
        <f t="shared" si="53"/>
        <v>418.21652921659637</v>
      </c>
      <c r="R44" s="59">
        <f t="shared" si="0"/>
        <v>711.54986254992968</v>
      </c>
      <c r="S44" s="59">
        <f ca="1">AVERAGE(OFFSET($R$3,0,0,'Données projet'!$E$9+1,1))-AVERAGE(OFFSET($H$3,0,0,'Données projet'!$E$9+1,1))</f>
        <v>323.20040177531774</v>
      </c>
      <c r="T44" s="59">
        <f t="shared" si="34"/>
        <v>402.87981443974337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44.915118653935743</v>
      </c>
      <c r="AA44" s="21">
        <f>EXP(-LN(2)/25)*AA43+(1-EXP(-LN(2)/25))/(LN(2)/25)*Calculateur!V44*Calculateur!X44*VLOOKUP('Données projet'!$B$9,Paramètres!$A$1:$I$89,3,0)*0.475*44/12</f>
        <v>20.479675424105601</v>
      </c>
      <c r="AB44" s="21">
        <f>EXP(-LN(2)/2)*AB43+(1-EXP(-LN(2)/2))/(LN(2)/2)*V44*Y44*VLOOKUP('Données projet'!$B$9,Paramètres!$A$1:$I$89,3,0)*0.475*44/12</f>
        <v>6.1458052181619323</v>
      </c>
      <c r="AC44" s="22">
        <f t="shared" si="3"/>
        <v>71.540599296203283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15.21153846153846</v>
      </c>
      <c r="N45" s="13">
        <f>IF('Données projet'!$A$36&gt;35,N44+M45-V44,IF(A45&lt;'Données projet'!$A$36,$K$205^A45,IF(A45='Données projet'!$A$36,'Données projet'!$B$36,N44+M45-V44)))</f>
        <v>336.47692307692301</v>
      </c>
      <c r="O45" s="13">
        <f>N45*VLOOKUP('Données projet'!$B$9,Paramètres!$A$1:$I$89,3,0)*VLOOKUP('Données projet'!$B$9,Paramètres!$A$1:$I$89,5,0)</f>
        <v>201.2132</v>
      </c>
      <c r="P45" s="13">
        <f t="shared" si="33"/>
        <v>50.010698447793722</v>
      </c>
      <c r="Q45" s="20">
        <f t="shared" si="53"/>
        <v>437.54828979657401</v>
      </c>
      <c r="R45" s="59">
        <f t="shared" si="0"/>
        <v>730.88162312990733</v>
      </c>
      <c r="S45" s="59">
        <f ca="1">AVERAGE(OFFSET($R$3,0,0,'Données projet'!$E$9+1,1))-AVERAGE(OFFSET($H$3,0,0,'Données projet'!$E$9+1,1))</f>
        <v>323.20040177531774</v>
      </c>
      <c r="T45" s="59">
        <f t="shared" si="34"/>
        <v>402.87981443974337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44.034360572649362</v>
      </c>
      <c r="AA45" s="21">
        <f>EXP(-LN(2)/25)*AA44+(1-EXP(-LN(2)/25))/(LN(2)/25)*Calculateur!V45*Calculateur!X45*VLOOKUP('Données projet'!$B$9,Paramètres!$A$1:$I$89,3,0)*0.475*44/12</f>
        <v>19.91965762265411</v>
      </c>
      <c r="AB45" s="21">
        <f>EXP(-LN(2)/2)*AB44+(1-EXP(-LN(2)/2))/(LN(2)/2)*V45*Y45*VLOOKUP('Données projet'!$B$9,Paramètres!$A$1:$I$89,3,0)*0.475*44/12</f>
        <v>4.3457405456139719</v>
      </c>
      <c r="AC45" s="22">
        <f t="shared" si="3"/>
        <v>68.299758740917454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15.21153846153846</v>
      </c>
      <c r="N46" s="13">
        <f>IF('Données projet'!$A$36&gt;35,N45+M46-V45,IF(A46&lt;'Données projet'!$A$36,$K$205^A46,IF(A46='Données projet'!$A$36,'Données projet'!$B$36,N45+M46-V45)))</f>
        <v>351.68846153846147</v>
      </c>
      <c r="O46" s="13">
        <f>N46*VLOOKUP('Données projet'!$B$9,Paramètres!$A$1:$I$89,3,0)*VLOOKUP('Données projet'!$B$9,Paramètres!$A$1:$I$89,5,0)</f>
        <v>210.30969999999999</v>
      </c>
      <c r="P46" s="13">
        <f t="shared" si="33"/>
        <v>52.003257134609832</v>
      </c>
      <c r="Q46" s="20">
        <f t="shared" si="53"/>
        <v>456.86173367611201</v>
      </c>
      <c r="R46" s="59">
        <f t="shared" si="0"/>
        <v>750.19506700944532</v>
      </c>
      <c r="S46" s="59">
        <f ca="1">AVERAGE(OFFSET($R$3,0,0,'Données projet'!$E$9+1,1))-AVERAGE(OFFSET($H$3,0,0,'Données projet'!$E$9+1,1))</f>
        <v>323.20040177531774</v>
      </c>
      <c r="T46" s="59">
        <f t="shared" si="34"/>
        <v>402.87981443974337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43.170873620127622</v>
      </c>
      <c r="AA46" s="21">
        <f>EXP(-LN(2)/25)*AA45+(1-EXP(-LN(2)/25))/(LN(2)/25)*Calculateur!V46*Calculateur!X46*VLOOKUP('Données projet'!$B$9,Paramètres!$A$1:$I$89,3,0)*0.475*44/12</f>
        <v>19.374953537433367</v>
      </c>
      <c r="AB46" s="21">
        <f>EXP(-LN(2)/2)*AB45+(1-EXP(-LN(2)/2))/(LN(2)/2)*V46*Y46*VLOOKUP('Données projet'!$B$9,Paramètres!$A$1:$I$89,3,0)*0.475*44/12</f>
        <v>3.0729026090809666</v>
      </c>
      <c r="AC46" s="22">
        <f t="shared" si="3"/>
        <v>65.618729766641962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15.21153846153846</v>
      </c>
      <c r="N47" s="13">
        <f>IF('Données projet'!$A$36&gt;35,N46+M47-V46,IF(A47&lt;'Données projet'!$A$36,$K$205^A47,IF(A47='Données projet'!$A$36,'Données projet'!$B$36,N46+M47-V46)))</f>
        <v>366.89999999999992</v>
      </c>
      <c r="O47" s="13">
        <f>N47*VLOOKUP('Données projet'!$B$9,Paramètres!$A$1:$I$89,3,0)*VLOOKUP('Données projet'!$B$9,Paramètres!$A$1:$I$89,5,0)</f>
        <v>219.40619999999998</v>
      </c>
      <c r="P47" s="13">
        <f t="shared" si="33"/>
        <v>53.985805930473333</v>
      </c>
      <c r="Q47" s="20">
        <f t="shared" si="53"/>
        <v>476.15774366224099</v>
      </c>
      <c r="R47" s="59">
        <f t="shared" si="0"/>
        <v>769.4910769955743</v>
      </c>
      <c r="S47" s="59">
        <f ca="1">AVERAGE(OFFSET($R$3,0,0,'Données projet'!$E$9+1,1))-AVERAGE(OFFSET($H$3,0,0,'Données projet'!$E$9+1,1))</f>
        <v>323.20040177531774</v>
      </c>
      <c r="T47" s="59">
        <f t="shared" si="34"/>
        <v>402.87981443974337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42.324319120069795</v>
      </c>
      <c r="AA47" s="21">
        <f>EXP(-LN(2)/25)*AA46+(1-EXP(-LN(2)/25))/(LN(2)/25)*Calculateur!V47*Calculateur!X47*VLOOKUP('Données projet'!$B$9,Paramètres!$A$1:$I$89,3,0)*0.475*44/12</f>
        <v>18.845144414067725</v>
      </c>
      <c r="AB47" s="21">
        <f>EXP(-LN(2)/2)*AB46+(1-EXP(-LN(2)/2))/(LN(2)/2)*V47*Y47*VLOOKUP('Données projet'!$B$9,Paramètres!$A$1:$I$89,3,0)*0.475*44/12</f>
        <v>2.172870272806986</v>
      </c>
      <c r="AC47" s="22">
        <f t="shared" si="3"/>
        <v>63.342333806944509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15.21153846153846</v>
      </c>
      <c r="N48" s="13">
        <f>IF('Données projet'!$A$36&gt;35,N47+M48-V47,IF(A48&lt;'Données projet'!$A$36,$K$205^A48,IF(A48='Données projet'!$A$36,'Données projet'!$B$36,N47+M48-V47)))</f>
        <v>382.11153846153837</v>
      </c>
      <c r="O48" s="13">
        <f>N48*VLOOKUP('Données projet'!$B$9,Paramètres!$A$1:$I$89,3,0)*VLOOKUP('Données projet'!$B$9,Paramètres!$A$1:$I$89,5,0)</f>
        <v>228.50269999999998</v>
      </c>
      <c r="P48" s="13">
        <f t="shared" si="33"/>
        <v>55.958807302542581</v>
      </c>
      <c r="Q48" s="20">
        <f t="shared" si="53"/>
        <v>495.43712521859487</v>
      </c>
      <c r="R48" s="59">
        <f t="shared" si="0"/>
        <v>788.77045855192819</v>
      </c>
      <c r="S48" s="59">
        <f ca="1">AVERAGE(OFFSET($R$3,0,0,'Données projet'!$E$9+1,1))-AVERAGE(OFFSET($H$3,0,0,'Données projet'!$E$9+1,1))</f>
        <v>323.20040177531774</v>
      </c>
      <c r="T48" s="59">
        <f t="shared" si="34"/>
        <v>402.87981443974337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41.494365037410844</v>
      </c>
      <c r="AA48" s="21">
        <f>EXP(-LN(2)/25)*AA47+(1-EXP(-LN(2)/25))/(LN(2)/25)*Calculateur!V48*Calculateur!X48*VLOOKUP('Données projet'!$B$9,Paramètres!$A$1:$I$89,3,0)*0.475*44/12</f>
        <v>18.329822949041969</v>
      </c>
      <c r="AB48" s="21">
        <f>EXP(-LN(2)/2)*AB47+(1-EXP(-LN(2)/2))/(LN(2)/2)*V48*Y48*VLOOKUP('Données projet'!$B$9,Paramètres!$A$1:$I$89,3,0)*0.475*44/12</f>
        <v>1.5364513045404833</v>
      </c>
      <c r="AC48" s="22">
        <f t="shared" si="3"/>
        <v>61.360639290993298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15.21153846153846</v>
      </c>
      <c r="N49" s="13">
        <f>IF('Données projet'!$A$36&gt;35,N48+M49-V48,IF(A49&lt;'Données projet'!$A$36,$K$205^A49,IF(A49='Données projet'!$A$36,'Données projet'!$B$36,N48+M49-V48)))</f>
        <v>397.32307692307683</v>
      </c>
      <c r="O49" s="13">
        <f>N49*VLOOKUP('Données projet'!$B$9,Paramètres!$A$1:$I$89,3,0)*VLOOKUP('Données projet'!$B$9,Paramètres!$A$1:$I$89,5,0)</f>
        <v>237.59919999999997</v>
      </c>
      <c r="P49" s="13">
        <f t="shared" si="33"/>
        <v>57.922684812819405</v>
      </c>
      <c r="Q49" s="20">
        <f t="shared" si="53"/>
        <v>514.70061604899377</v>
      </c>
      <c r="R49" s="59">
        <f t="shared" si="0"/>
        <v>808.03394938232714</v>
      </c>
      <c r="S49" s="59">
        <f ca="1">AVERAGE(OFFSET($R$3,0,0,'Données projet'!$E$9+1,1))-AVERAGE(OFFSET($H$3,0,0,'Données projet'!$E$9+1,1))</f>
        <v>323.20040177531774</v>
      </c>
      <c r="T49" s="59">
        <f t="shared" si="34"/>
        <v>402.87981443974337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40.680685848090825</v>
      </c>
      <c r="AA49" s="21">
        <f>EXP(-LN(2)/25)*AA48+(1-EXP(-LN(2)/25))/(LN(2)/25)*Calculateur!V49*Calculateur!X49*VLOOKUP('Données projet'!$B$9,Paramètres!$A$1:$I$89,3,0)*0.475*44/12</f>
        <v>17.828592976576921</v>
      </c>
      <c r="AB49" s="21">
        <f>EXP(-LN(2)/2)*AB48+(1-EXP(-LN(2)/2))/(LN(2)/2)*V49*Y49*VLOOKUP('Données projet'!$B$9,Paramètres!$A$1:$I$89,3,0)*0.475*44/12</f>
        <v>1.086435136403493</v>
      </c>
      <c r="AC49" s="22">
        <f t="shared" si="3"/>
        <v>59.59571396107124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15.21153846153846</v>
      </c>
      <c r="N50" s="13">
        <f>IF('Données projet'!$A$36&gt;35,N49+M50-V49,IF(A50&lt;'Données projet'!$A$36,$K$205^A50,IF(A50='Données projet'!$A$36,'Données projet'!$B$36,N49+M50-V49)))</f>
        <v>412.53461538461528</v>
      </c>
      <c r="O50" s="13">
        <f>N50*VLOOKUP('Données projet'!$B$9,Paramètres!$A$1:$I$89,3,0)*VLOOKUP('Données projet'!$B$9,Paramètres!$A$1:$I$89,5,0)</f>
        <v>246.69569999999996</v>
      </c>
      <c r="P50" s="13">
        <f t="shared" si="33"/>
        <v>59.877827754324372</v>
      </c>
      <c r="Q50" s="20">
        <f t="shared" si="53"/>
        <v>533.94889417211482</v>
      </c>
      <c r="R50" s="59">
        <f t="shared" si="0"/>
        <v>827.28222750544819</v>
      </c>
      <c r="S50" s="59">
        <f ca="1">AVERAGE(OFFSET($R$3,0,0,'Données projet'!$E$9+1,1))-AVERAGE(OFFSET($H$3,0,0,'Données projet'!$E$9+1,1))</f>
        <v>323.20040177531774</v>
      </c>
      <c r="T50" s="59">
        <f t="shared" si="34"/>
        <v>402.87981443974337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39.882962411378074</v>
      </c>
      <c r="AA50" s="21">
        <f>EXP(-LN(2)/25)*AA49+(1-EXP(-LN(2)/25))/(LN(2)/25)*Calculateur!V50*Calculateur!X50*VLOOKUP('Données projet'!$B$9,Paramètres!$A$1:$I$89,3,0)*0.475*44/12</f>
        <v>17.34106916406747</v>
      </c>
      <c r="AB50" s="21">
        <f>EXP(-LN(2)/2)*AB49+(1-EXP(-LN(2)/2))/(LN(2)/2)*V50*Y50*VLOOKUP('Données projet'!$B$9,Paramètres!$A$1:$I$89,3,0)*0.475*44/12</f>
        <v>0.76822565227024164</v>
      </c>
      <c r="AC50" s="22">
        <f t="shared" si="3"/>
        <v>57.992257227715783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427.74615384615385</v>
      </c>
      <c r="L51" s="12">
        <f>VLOOKUP(A51,'Données projet'!$A$35:$I$55,9,0)</f>
        <v>15.21153846153846</v>
      </c>
      <c r="M51" s="12">
        <f t="array" ref="M51">INDEX(L:L,MIN(IF(ISNUMBER(L51:L247),ROW(L51:L247),"")))</f>
        <v>15.21153846153846</v>
      </c>
      <c r="N51" s="13">
        <f>IF('Données projet'!$A$36&gt;35,N50+M51-V50,IF(A51&lt;'Données projet'!$A$36,$K$205^A51,IF(A51='Données projet'!$A$36,'Données projet'!$B$36,N50+M51-V50)))</f>
        <v>427.74615384615373</v>
      </c>
      <c r="O51" s="13">
        <f>N51*VLOOKUP('Données projet'!$B$9,Paramètres!$A$1:$I$89,3,0)*VLOOKUP('Données projet'!$B$9,Paramètres!$A$1:$I$89,5,0)</f>
        <v>255.79219999999995</v>
      </c>
      <c r="P51" s="13">
        <f t="shared" si="33"/>
        <v>61.824595084245523</v>
      </c>
      <c r="Q51" s="20">
        <f t="shared" si="53"/>
        <v>553.18258477172765</v>
      </c>
      <c r="R51" s="59">
        <f t="shared" si="0"/>
        <v>846.51591810506102</v>
      </c>
      <c r="S51" s="59">
        <f ca="1">AVERAGE(OFFSET($R$3,0,0,'Données projet'!$E$9+1,1))-AVERAGE(OFFSET($H$3,0,0,'Données projet'!$E$9+1,1))</f>
        <v>323.20040177531774</v>
      </c>
      <c r="T51" s="59">
        <f t="shared" si="34"/>
        <v>402.87981443974337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83.969230769230762</v>
      </c>
      <c r="W51" s="16">
        <f>IF(ISNA(VLOOKUP(A51,'Données projet'!$A$35:$I$55,5,0)),0%,VLOOKUP(A51,'Données projet'!$A$35:$I$55,5,0)*VLOOKUP('Données projet'!$B$9,Paramètres!$A$1:$I$89,7,0))</f>
        <v>0.315</v>
      </c>
      <c r="X51" s="16">
        <f>IF(ISNA(VLOOKUP(A51,'Données projet'!$A$35:$I$55,6,0)),0%,VLOOKUP(A51,'Données projet'!$A$35:$I$55,6,0)*VLOOKUP('Données projet'!$B$9,Paramètres!$A$1:$I$89,7,0))</f>
        <v>7.5600000000000001E-2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60.083528580688551</v>
      </c>
      <c r="AA51" s="21">
        <f>EXP(-LN(2)/25)*AA50+(1-EXP(-LN(2)/25))/(LN(2)/25)*Calculateur!V51*Calculateur!X51*VLOOKUP('Données projet'!$B$9,Paramètres!$A$1:$I$89,3,0)*0.475*44/12</f>
        <v>21.882883930435508</v>
      </c>
      <c r="AB51" s="21">
        <f>EXP(-LN(2)/2)*AB50+(1-EXP(-LN(2)/2))/(LN(2)/2)*V51*Y51*VLOOKUP('Données projet'!$B$9,Paramètres!$A$1:$I$89,3,0)*0.475*44/12</f>
        <v>8.0478742479516399</v>
      </c>
      <c r="AC51" s="22">
        <f t="shared" si="3"/>
        <v>90.014286759075702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12.837499999999991</v>
      </c>
      <c r="N52" s="13">
        <f>IF('Données projet'!$A$36&gt;35,N51+M52-V51,IF(A52&lt;'Données projet'!$A$36,$K$205^A52,IF(A52='Données projet'!$A$36,'Données projet'!$B$36,N51+M52-V51)))</f>
        <v>356.61442307692295</v>
      </c>
      <c r="O52" s="13">
        <f>N52*VLOOKUP('Données projet'!$B$9,Paramètres!$A$1:$I$89,3,0)*VLOOKUP('Données projet'!$B$9,Paramètres!$A$1:$I$89,5,0)</f>
        <v>213.25542499999995</v>
      </c>
      <c r="P52" s="13">
        <f t="shared" si="33"/>
        <v>52.646339807871037</v>
      </c>
      <c r="Q52" s="20">
        <f t="shared" si="53"/>
        <v>463.11224037370857</v>
      </c>
      <c r="R52" s="59">
        <f t="shared" si="0"/>
        <v>756.44557370704183</v>
      </c>
      <c r="S52" s="59">
        <f ca="1">AVERAGE(OFFSET($R$3,0,0,'Données projet'!$E$9+1,1))-AVERAGE(OFFSET($H$3,0,0,'Données projet'!$E$9+1,1))</f>
        <v>323.20040177531774</v>
      </c>
      <c r="T52" s="59">
        <f t="shared" si="34"/>
        <v>402.87981443974337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58.905327232555059</v>
      </c>
      <c r="AA52" s="21">
        <f>EXP(-LN(2)/25)*AA51+(1-EXP(-LN(2)/25))/(LN(2)/25)*Calculateur!V52*Calculateur!X52*VLOOKUP('Données projet'!$B$9,Paramètres!$A$1:$I$89,3,0)*0.475*44/12</f>
        <v>21.284495318586895</v>
      </c>
      <c r="AB52" s="21">
        <f>EXP(-LN(2)/2)*AB51+(1-EXP(-LN(2)/2))/(LN(2)/2)*V52*Y52*VLOOKUP('Données projet'!$B$9,Paramètres!$A$1:$I$89,3,0)*0.475*44/12</f>
        <v>5.6907064548631912</v>
      </c>
      <c r="AC52" s="22">
        <f t="shared" si="3"/>
        <v>85.880529006005148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12.837499999999991</v>
      </c>
      <c r="N53" s="13">
        <f>IF('Données projet'!$A$36&gt;35,N52+M53-V52,IF(A53&lt;'Données projet'!$A$36,$K$205^A53,IF(A53='Données projet'!$A$36,'Données projet'!$B$36,N52+M53-V52)))</f>
        <v>369.45192307692292</v>
      </c>
      <c r="O53" s="13">
        <f>N53*VLOOKUP('Données projet'!$B$9,Paramètres!$A$1:$I$89,3,0)*VLOOKUP('Données projet'!$B$9,Paramètres!$A$1:$I$89,5,0)</f>
        <v>220.93224999999995</v>
      </c>
      <c r="P53" s="13">
        <f t="shared" si="33"/>
        <v>54.31745576001893</v>
      </c>
      <c r="Q53" s="20">
        <f t="shared" si="53"/>
        <v>479.3932375320328</v>
      </c>
      <c r="R53" s="59">
        <f t="shared" si="0"/>
        <v>772.72657086536606</v>
      </c>
      <c r="S53" s="59">
        <f ca="1">AVERAGE(OFFSET($R$3,0,0,'Données projet'!$E$9+1,1))-AVERAGE(OFFSET($H$3,0,0,'Données projet'!$E$9+1,1))</f>
        <v>323.20040177531774</v>
      </c>
      <c r="T53" s="59">
        <f t="shared" si="34"/>
        <v>402.87981443974337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57.750229694226604</v>
      </c>
      <c r="AA53" s="21">
        <f>EXP(-LN(2)/25)*AA52+(1-EXP(-LN(2)/25))/(LN(2)/25)*Calculateur!V53*Calculateur!X53*VLOOKUP('Données projet'!$B$9,Paramètres!$A$1:$I$89,3,0)*0.475*44/12</f>
        <v>20.702469674797175</v>
      </c>
      <c r="AB53" s="21">
        <f>EXP(-LN(2)/2)*AB52+(1-EXP(-LN(2)/2))/(LN(2)/2)*V53*Y53*VLOOKUP('Données projet'!$B$9,Paramètres!$A$1:$I$89,3,0)*0.475*44/12</f>
        <v>4.0239371239758199</v>
      </c>
      <c r="AC53" s="22">
        <f t="shared" si="3"/>
        <v>82.476636492999603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12.837499999999991</v>
      </c>
      <c r="N54" s="13">
        <f>IF('Données projet'!$A$36&gt;35,N53+M54-V53,IF(A54&lt;'Données projet'!$A$36,$K$205^A54,IF(A54='Données projet'!$A$36,'Données projet'!$B$36,N53+M54-V53)))</f>
        <v>382.2894230769229</v>
      </c>
      <c r="O54" s="13">
        <f>N54*VLOOKUP('Données projet'!$B$9,Paramètres!$A$1:$I$89,3,0)*VLOOKUP('Données projet'!$B$9,Paramètres!$A$1:$I$89,5,0)</f>
        <v>228.6090749999999</v>
      </c>
      <c r="P54" s="13">
        <f t="shared" si="33"/>
        <v>55.981824933821947</v>
      </c>
      <c r="Q54" s="20">
        <f t="shared" si="53"/>
        <v>495.66248405140635</v>
      </c>
      <c r="R54" s="59">
        <f t="shared" si="0"/>
        <v>788.99581738473967</v>
      </c>
      <c r="S54" s="59">
        <f ca="1">AVERAGE(OFFSET($R$3,0,0,'Données projet'!$E$9+1,1))-AVERAGE(OFFSET($H$3,0,0,'Données projet'!$E$9+1,1))</f>
        <v>323.20040177531774</v>
      </c>
      <c r="T54" s="59">
        <f t="shared" si="34"/>
        <v>402.87981443974337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56.617782914084835</v>
      </c>
      <c r="AA54" s="21">
        <f>EXP(-LN(2)/25)*AA53+(1-EXP(-LN(2)/25))/(LN(2)/25)*Calculateur!V54*Calculateur!X54*VLOOKUP('Données projet'!$B$9,Paramètres!$A$1:$I$89,3,0)*0.475*44/12</f>
        <v>20.136359552844283</v>
      </c>
      <c r="AB54" s="21">
        <f>EXP(-LN(2)/2)*AB53+(1-EXP(-LN(2)/2))/(LN(2)/2)*V54*Y54*VLOOKUP('Données projet'!$B$9,Paramètres!$A$1:$I$89,3,0)*0.475*44/12</f>
        <v>2.8453532274315956</v>
      </c>
      <c r="AC54" s="22">
        <f t="shared" si="3"/>
        <v>79.599495694360726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12.837499999999991</v>
      </c>
      <c r="N55" s="13">
        <f>IF('Données projet'!$A$36&gt;35,N54+M55-V54,IF(A55&lt;'Données projet'!$A$36,$K$205^A55,IF(A55='Données projet'!$A$36,'Données projet'!$B$36,N54+M55-V54)))</f>
        <v>395.12692307692288</v>
      </c>
      <c r="O55" s="13">
        <f>N55*VLOOKUP('Données projet'!$B$9,Paramètres!$A$1:$I$89,3,0)*VLOOKUP('Données projet'!$B$9,Paramètres!$A$1:$I$89,5,0)</f>
        <v>236.28589999999988</v>
      </c>
      <c r="P55" s="13">
        <f t="shared" si="33"/>
        <v>57.639699864397762</v>
      </c>
      <c r="Q55" s="20">
        <f t="shared" si="53"/>
        <v>511.92041976382592</v>
      </c>
      <c r="R55" s="59">
        <f t="shared" si="0"/>
        <v>805.25375309715923</v>
      </c>
      <c r="S55" s="59">
        <f ca="1">AVERAGE(OFFSET($R$3,0,0,'Données projet'!$E$9+1,1))-AVERAGE(OFFSET($H$3,0,0,'Données projet'!$E$9+1,1))</f>
        <v>323.20040177531774</v>
      </c>
      <c r="T55" s="59">
        <f t="shared" si="34"/>
        <v>402.87981443974337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55.507542724577313</v>
      </c>
      <c r="AA55" s="21">
        <f>EXP(-LN(2)/25)*AA54+(1-EXP(-LN(2)/25))/(LN(2)/25)*Calculateur!V55*Calculateur!X55*VLOOKUP('Données projet'!$B$9,Paramètres!$A$1:$I$89,3,0)*0.475*44/12</f>
        <v>19.585729741946629</v>
      </c>
      <c r="AB55" s="21">
        <f>EXP(-LN(2)/2)*AB54+(1-EXP(-LN(2)/2))/(LN(2)/2)*V55*Y55*VLOOKUP('Données projet'!$B$9,Paramètres!$A$1:$I$89,3,0)*0.475*44/12</f>
        <v>2.01196856198791</v>
      </c>
      <c r="AC55" s="22">
        <f t="shared" si="3"/>
        <v>77.105241028511855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12.837499999999991</v>
      </c>
      <c r="N56" s="13">
        <f>IF('Données projet'!$A$36&gt;35,N55+M56-V55,IF(A56&lt;'Données projet'!$A$36,$K$205^A56,IF(A56='Données projet'!$A$36,'Données projet'!$B$36,N55+M56-V55)))</f>
        <v>407.96442307692286</v>
      </c>
      <c r="O56" s="13">
        <f>N56*VLOOKUP('Données projet'!$B$9,Paramètres!$A$1:$I$89,3,0)*VLOOKUP('Données projet'!$B$9,Paramètres!$A$1:$I$89,5,0)</f>
        <v>243.96272499999989</v>
      </c>
      <c r="P56" s="13">
        <f t="shared" si="33"/>
        <v>59.291315745845196</v>
      </c>
      <c r="Q56" s="20">
        <f t="shared" si="53"/>
        <v>528.16745429901346</v>
      </c>
      <c r="R56" s="59">
        <f t="shared" si="0"/>
        <v>821.50078763234683</v>
      </c>
      <c r="S56" s="59">
        <f ca="1">AVERAGE(OFFSET($R$3,0,0,'Données projet'!$E$9+1,1))-AVERAGE(OFFSET($H$3,0,0,'Données projet'!$E$9+1,1))</f>
        <v>323.20040177531774</v>
      </c>
      <c r="T56" s="59">
        <f t="shared" si="34"/>
        <v>402.87981443974337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54.419073668006384</v>
      </c>
      <c r="AA56" s="21">
        <f>EXP(-LN(2)/25)*AA55+(1-EXP(-LN(2)/25))/(LN(2)/25)*Calculateur!V56*Calculateur!X56*VLOOKUP('Données projet'!$B$9,Paramètres!$A$1:$I$89,3,0)*0.475*44/12</f>
        <v>19.050156932184336</v>
      </c>
      <c r="AB56" s="21">
        <f>EXP(-LN(2)/2)*AB55+(1-EXP(-LN(2)/2))/(LN(2)/2)*V56*Y56*VLOOKUP('Données projet'!$B$9,Paramètres!$A$1:$I$89,3,0)*0.475*44/12</f>
        <v>1.4226766137157978</v>
      </c>
      <c r="AC56" s="22">
        <f t="shared" si="3"/>
        <v>74.891907213906507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12.837499999999991</v>
      </c>
      <c r="N57" s="13">
        <f>IF('Données projet'!$A$36&gt;35,N56+M57-V56,IF(A57&lt;'Données projet'!$A$36,$K$205^A57,IF(A57='Données projet'!$A$36,'Données projet'!$B$36,N56+M57-V56)))</f>
        <v>420.80192307692283</v>
      </c>
      <c r="O57" s="13">
        <f>N57*VLOOKUP('Données projet'!$B$9,Paramètres!$A$1:$I$89,3,0)*VLOOKUP('Données projet'!$B$9,Paramètres!$A$1:$I$89,5,0)</f>
        <v>251.63954999999987</v>
      </c>
      <c r="P57" s="13">
        <f t="shared" si="33"/>
        <v>60.936892129812627</v>
      </c>
      <c r="Q57" s="20">
        <f t="shared" si="53"/>
        <v>544.40397004275667</v>
      </c>
      <c r="R57" s="59">
        <f t="shared" si="0"/>
        <v>837.73730337609004</v>
      </c>
      <c r="S57" s="59">
        <f ca="1">AVERAGE(OFFSET($R$3,0,0,'Données projet'!$E$9+1,1))-AVERAGE(OFFSET($H$3,0,0,'Données projet'!$E$9+1,1))</f>
        <v>323.20040177531774</v>
      </c>
      <c r="T57" s="59">
        <f t="shared" si="34"/>
        <v>402.87981443974337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53.35194882573424</v>
      </c>
      <c r="AA57" s="21">
        <f>EXP(-LN(2)/25)*AA56+(1-EXP(-LN(2)/25))/(LN(2)/25)*Calculateur!V57*Calculateur!X57*VLOOKUP('Données projet'!$B$9,Paramètres!$A$1:$I$89,3,0)*0.475*44/12</f>
        <v>18.529229389069542</v>
      </c>
      <c r="AB57" s="21">
        <f>EXP(-LN(2)/2)*AB56+(1-EXP(-LN(2)/2))/(LN(2)/2)*V57*Y57*VLOOKUP('Données projet'!$B$9,Paramètres!$A$1:$I$89,3,0)*0.475*44/12</f>
        <v>1.005984280993955</v>
      </c>
      <c r="AC57" s="22">
        <f t="shared" si="3"/>
        <v>72.887162495797739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12.837499999999991</v>
      </c>
      <c r="N58" s="13">
        <f>IF('Données projet'!$A$36&gt;35,N57+M58-V57,IF(A58&lt;'Données projet'!$A$36,$K$205^A58,IF(A58='Données projet'!$A$36,'Données projet'!$B$36,N57+M58-V57)))</f>
        <v>433.63942307692281</v>
      </c>
      <c r="O58" s="13">
        <f>N58*VLOOKUP('Données projet'!$B$9,Paramètres!$A$1:$I$89,3,0)*VLOOKUP('Données projet'!$B$9,Paramètres!$A$1:$I$89,5,0)</f>
        <v>259.31637499999988</v>
      </c>
      <c r="P58" s="13">
        <f t="shared" si="33"/>
        <v>62.576634410968637</v>
      </c>
      <c r="Q58" s="20">
        <f t="shared" si="53"/>
        <v>560.63032472410339</v>
      </c>
      <c r="R58" s="59">
        <f t="shared" si="0"/>
        <v>853.96365805743676</v>
      </c>
      <c r="S58" s="59">
        <f ca="1">AVERAGE(OFFSET($R$3,0,0,'Données projet'!$E$9+1,1))-AVERAGE(OFFSET($H$3,0,0,'Données projet'!$E$9+1,1))</f>
        <v>323.20040177531774</v>
      </c>
      <c r="T58" s="59">
        <f t="shared" si="34"/>
        <v>402.87981443974337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52.30574965073717</v>
      </c>
      <c r="AA58" s="21">
        <f>EXP(-LN(2)/25)*AA57+(1-EXP(-LN(2)/25))/(LN(2)/25)*Calculateur!V58*Calculateur!X58*VLOOKUP('Données projet'!$B$9,Paramètres!$A$1:$I$89,3,0)*0.475*44/12</f>
        <v>18.022546637015612</v>
      </c>
      <c r="AB58" s="21">
        <f>EXP(-LN(2)/2)*AB57+(1-EXP(-LN(2)/2))/(LN(2)/2)*V58*Y58*VLOOKUP('Données projet'!$B$9,Paramètres!$A$1:$I$89,3,0)*0.475*44/12</f>
        <v>0.71133830685789889</v>
      </c>
      <c r="AC58" s="22">
        <f t="shared" si="3"/>
        <v>71.039634594610675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446.47692307692301</v>
      </c>
      <c r="L59" s="12">
        <f>VLOOKUP(A59,'Données projet'!$A$35:$I$55,9,0)</f>
        <v>12.837499999999991</v>
      </c>
      <c r="M59" s="12">
        <f t="array" ref="M59">INDEX(L:L,MIN(IF(ISNUMBER(L59:L255),ROW(L59:L255),"")))</f>
        <v>12.837499999999991</v>
      </c>
      <c r="N59" s="13">
        <f>IF('Données projet'!$A$36&gt;35,N58+M59-V58,IF(A59&lt;'Données projet'!$A$36,$K$205^A59,IF(A59='Données projet'!$A$36,'Données projet'!$B$36,N58+M59-V58)))</f>
        <v>446.47692307692279</v>
      </c>
      <c r="O59" s="13">
        <f>N59*VLOOKUP('Données projet'!$B$9,Paramètres!$A$1:$I$89,3,0)*VLOOKUP('Données projet'!$B$9,Paramètres!$A$1:$I$89,5,0)</f>
        <v>266.99319999999983</v>
      </c>
      <c r="P59" s="13">
        <f t="shared" si="33"/>
        <v>64.210735131625498</v>
      </c>
      <c r="Q59" s="20">
        <f t="shared" si="53"/>
        <v>576.84685368758073</v>
      </c>
      <c r="R59" s="59">
        <f t="shared" si="0"/>
        <v>870.18018702091399</v>
      </c>
      <c r="S59" s="59">
        <f ca="1">AVERAGE(OFFSET($R$3,0,0,'Données projet'!$E$9+1,1))-AVERAGE(OFFSET($H$3,0,0,'Données projet'!$E$9+1,1))</f>
        <v>323.20040177531774</v>
      </c>
      <c r="T59" s="59">
        <f t="shared" si="34"/>
        <v>402.87981443974337</v>
      </c>
      <c r="U59" s="15">
        <f>IF(ISNA(VLOOKUP(A59,'Données projet'!$A$35:$I$55,3,0)),0,VLOOKUP(A59,'Données projet'!$A$35:$I$55,3,0))</f>
        <v>7</v>
      </c>
      <c r="V59" s="15">
        <f>IF(ISNA(VLOOKUP(A59,'Données projet'!$A$35:$I$55,4,0)),0,VLOOKUP(A59,'Données projet'!$A$35:$I$55,4,0))</f>
        <v>446.47692307692301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162.84792782712228</v>
      </c>
      <c r="AA59" s="21">
        <f>EXP(-LN(2)/25)*AA58+(1-EXP(-LN(2)/25))/(LN(2)/25)*Calculateur!V59*Calculateur!X59*VLOOKUP('Données projet'!$B$9,Paramètres!$A$1:$I$89,3,0)*0.475*44/12</f>
        <v>44.200577593110729</v>
      </c>
      <c r="AB59" s="21">
        <f>EXP(-LN(2)/2)*AB58+(1-EXP(-LN(2)/2))/(LN(2)/2)*V59*Y59*VLOOKUP('Données projet'!$B$9,Paramètres!$A$1:$I$89,3,0)*0.475*44/12</f>
        <v>40.406370942809481</v>
      </c>
      <c r="AC59" s="22">
        <f t="shared" si="3"/>
        <v>247.45487636304247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-1.3596945791505279E-13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323.20040177531774</v>
      </c>
      <c r="T60" s="59">
        <f t="shared" si="34"/>
        <v>402.87981443974337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159.65457928986061</v>
      </c>
      <c r="AA60" s="21">
        <f>EXP(-LN(2)/25)*AA59+(1-EXP(-LN(2)/25))/(LN(2)/25)*Calculateur!V60*Calculateur!X60*VLOOKUP('Données projet'!$B$9,Paramètres!$A$1:$I$89,3,0)*0.475*44/12</f>
        <v>42.991910474419761</v>
      </c>
      <c r="AB60" s="21">
        <f>EXP(-LN(2)/2)*AB59+(1-EXP(-LN(2)/2))/(LN(2)/2)*V60*Y60*VLOOKUP('Données projet'!$B$9,Paramètres!$A$1:$I$89,3,0)*0.475*44/12</f>
        <v>28.571618896799659</v>
      </c>
      <c r="AC60" s="22">
        <f t="shared" si="3"/>
        <v>231.21810866108004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-1.3596945791505279E-13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323.20040177531774</v>
      </c>
      <c r="T61" s="59">
        <f t="shared" si="34"/>
        <v>402.87981443974337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156.52385036966436</v>
      </c>
      <c r="AA61" s="21">
        <f>EXP(-LN(2)/25)*AA60+(1-EXP(-LN(2)/25))/(LN(2)/25)*Calculateur!V61*Calculateur!X61*VLOOKUP('Données projet'!$B$9,Paramètres!$A$1:$I$89,3,0)*0.475*44/12</f>
        <v>41.81629442165044</v>
      </c>
      <c r="AB61" s="21">
        <f>EXP(-LN(2)/2)*AB60+(1-EXP(-LN(2)/2))/(LN(2)/2)*V61*Y61*VLOOKUP('Données projet'!$B$9,Paramètres!$A$1:$I$89,3,0)*0.475*44/12</f>
        <v>20.203185471404744</v>
      </c>
      <c r="AC61" s="22">
        <f t="shared" si="3"/>
        <v>218.54333026271954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-1.3596945791505279E-13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323.20040177531774</v>
      </c>
      <c r="T62" s="59">
        <f t="shared" si="34"/>
        <v>402.87981443974337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153.45451313403709</v>
      </c>
      <c r="AA62" s="21">
        <f>EXP(-LN(2)/25)*AA61+(1-EXP(-LN(2)/25))/(LN(2)/25)*Calculateur!V62*Calculateur!X62*VLOOKUP('Données projet'!$B$9,Paramètres!$A$1:$I$89,3,0)*0.475*44/12</f>
        <v>40.672825651667054</v>
      </c>
      <c r="AB62" s="21">
        <f>EXP(-LN(2)/2)*AB61+(1-EXP(-LN(2)/2))/(LN(2)/2)*V62*Y62*VLOOKUP('Données projet'!$B$9,Paramètres!$A$1:$I$89,3,0)*0.475*44/12</f>
        <v>14.285809448399831</v>
      </c>
      <c r="AC62" s="22">
        <f t="shared" si="3"/>
        <v>208.41314823410397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-1.3596945791505279E-13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323.20040177531774</v>
      </c>
      <c r="T63" s="59">
        <f t="shared" si="34"/>
        <v>402.87981443974337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150.4453637294896</v>
      </c>
      <c r="AA63" s="21">
        <f>EXP(-LN(2)/25)*AA62+(1-EXP(-LN(2)/25))/(LN(2)/25)*Calculateur!V63*Calculateur!X63*VLOOKUP('Données projet'!$B$9,Paramètres!$A$1:$I$89,3,0)*0.475*44/12</f>
        <v>39.560625095331275</v>
      </c>
      <c r="AB63" s="21">
        <f>EXP(-LN(2)/2)*AB62+(1-EXP(-LN(2)/2))/(LN(2)/2)*V63*Y63*VLOOKUP('Données projet'!$B$9,Paramètres!$A$1:$I$89,3,0)*0.475*44/12</f>
        <v>10.101592735702374</v>
      </c>
      <c r="AC63" s="22">
        <f t="shared" si="3"/>
        <v>200.10758156052324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-1.3596945791505279E-13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323.20040177531774</v>
      </c>
      <c r="T64" s="59">
        <f t="shared" si="34"/>
        <v>402.87981443974337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147.49522190936537</v>
      </c>
      <c r="AA64" s="21">
        <f>EXP(-LN(2)/25)*AA63+(1-EXP(-LN(2)/25))/(LN(2)/25)*Calculateur!V64*Calculateur!X64*VLOOKUP('Données projet'!$B$9,Paramètres!$A$1:$I$89,3,0)*0.475*44/12</f>
        <v>38.478837721696586</v>
      </c>
      <c r="AB64" s="21">
        <f>EXP(-LN(2)/2)*AB63+(1-EXP(-LN(2)/2))/(LN(2)/2)*V64*Y64*VLOOKUP('Données projet'!$B$9,Paramètres!$A$1:$I$89,3,0)*0.475*44/12</f>
        <v>7.1429047241999166</v>
      </c>
      <c r="AC64" s="22">
        <f t="shared" si="3"/>
        <v>193.11696435526187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-1.3596945791505279E-13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323.20040177531774</v>
      </c>
      <c r="T65" s="59">
        <f t="shared" si="34"/>
        <v>402.87981443974337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144.60293057092494</v>
      </c>
      <c r="AA65" s="21">
        <f>EXP(-LN(2)/25)*AA64+(1-EXP(-LN(2)/25))/(LN(2)/25)*Calculateur!V65*Calculateur!X65*VLOOKUP('Données projet'!$B$9,Paramètres!$A$1:$I$89,3,0)*0.475*44/12</f>
        <v>37.426631880682663</v>
      </c>
      <c r="AB65" s="21">
        <f>EXP(-LN(2)/2)*AB64+(1-EXP(-LN(2)/2))/(LN(2)/2)*V65*Y65*VLOOKUP('Données projet'!$B$9,Paramètres!$A$1:$I$89,3,0)*0.475*44/12</f>
        <v>5.0507963678511878</v>
      </c>
      <c r="AC65" s="22">
        <f t="shared" si="3"/>
        <v>187.08035881945878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-1.3596945791505279E-13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323.20040177531774</v>
      </c>
      <c r="T66" s="59">
        <f t="shared" si="34"/>
        <v>402.87981443974337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141.76735530150782</v>
      </c>
      <c r="AA66" s="21">
        <f>EXP(-LN(2)/25)*AA65+(1-EXP(-LN(2)/25))/(LN(2)/25)*Calculateur!V66*Calculateur!X66*VLOOKUP('Données projet'!$B$9,Paramètres!$A$1:$I$89,3,0)*0.475*44/12</f>
        <v>36.403198663724368</v>
      </c>
      <c r="AB66" s="21">
        <f>EXP(-LN(2)/2)*AB65+(1-EXP(-LN(2)/2))/(LN(2)/2)*V66*Y66*VLOOKUP('Données projet'!$B$9,Paramètres!$A$1:$I$89,3,0)*0.475*44/12</f>
        <v>3.5714523620999592</v>
      </c>
      <c r="AC66" s="22">
        <f t="shared" si="3"/>
        <v>181.74200632733215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-1.3596945791505279E-13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323.20040177531774</v>
      </c>
      <c r="T67" s="59">
        <f t="shared" si="34"/>
        <v>402.87981443974337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138.98738393359383</v>
      </c>
      <c r="AA67" s="21">
        <f>EXP(-LN(2)/25)*AA66+(1-EXP(-LN(2)/25))/(LN(2)/25)*Calculateur!V67*Calculateur!X67*VLOOKUP('Données projet'!$B$9,Paramètres!$A$1:$I$89,3,0)*0.475*44/12</f>
        <v>35.407751281903806</v>
      </c>
      <c r="AB67" s="21">
        <f>EXP(-LN(2)/2)*AB66+(1-EXP(-LN(2)/2))/(LN(2)/2)*V67*Y67*VLOOKUP('Données projet'!$B$9,Paramètres!$A$1:$I$89,3,0)*0.475*44/12</f>
        <v>2.5253981839255943</v>
      </c>
      <c r="AC67" s="22">
        <f t="shared" si="3"/>
        <v>176.92053339942325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-1.3596945791505279E-13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323.20040177531774</v>
      </c>
      <c r="T68" s="59">
        <f t="shared" si="34"/>
        <v>402.87981443974337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136.26192610858953</v>
      </c>
      <c r="AA68" s="21">
        <f>EXP(-LN(2)/25)*AA67+(1-EXP(-LN(2)/25))/(LN(2)/25)*Calculateur!V68*Calculateur!X68*VLOOKUP('Données projet'!$B$9,Paramètres!$A$1:$I$89,3,0)*0.475*44/12</f>
        <v>34.43952446108743</v>
      </c>
      <c r="AB68" s="21">
        <f>EXP(-LN(2)/2)*AB67+(1-EXP(-LN(2)/2))/(LN(2)/2)*V68*Y68*VLOOKUP('Données projet'!$B$9,Paramètres!$A$1:$I$89,3,0)*0.475*44/12</f>
        <v>1.7857261810499798</v>
      </c>
      <c r="AC68" s="22">
        <f t="shared" ref="AC68:AC131" si="57">SUM(Z68:AB68)</f>
        <v>172.48717675072695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-1.3596945791505279E-13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323.20040177531774</v>
      </c>
      <c r="T69" s="59">
        <f t="shared" ref="T69:T132" si="88">$T$3</f>
        <v>402.87981443974337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133.58991284916843</v>
      </c>
      <c r="AA69" s="21">
        <f>EXP(-LN(2)/25)*AA68+(1-EXP(-LN(2)/25))/(LN(2)/25)*Calculateur!V69*Calculateur!X69*VLOOKUP('Données projet'!$B$9,Paramètres!$A$1:$I$89,3,0)*0.475*44/12</f>
        <v>33.497773853603114</v>
      </c>
      <c r="AB69" s="21">
        <f>EXP(-LN(2)/2)*AB68+(1-EXP(-LN(2)/2))/(LN(2)/2)*V69*Y69*VLOOKUP('Données projet'!$B$9,Paramètres!$A$1:$I$89,3,0)*0.475*44/12</f>
        <v>1.2626990919627974</v>
      </c>
      <c r="AC69" s="22">
        <f t="shared" si="57"/>
        <v>168.35038579473434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-1.3596945791505279E-13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323.20040177531774</v>
      </c>
      <c r="T70" s="59">
        <f t="shared" si="88"/>
        <v>402.87981443974337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130.9702961399974</v>
      </c>
      <c r="AA70" s="21">
        <f>EXP(-LN(2)/25)*AA69+(1-EXP(-LN(2)/25))/(LN(2)/25)*Calculateur!V70*Calculateur!X70*VLOOKUP('Données projet'!$B$9,Paramètres!$A$1:$I$89,3,0)*0.475*44/12</f>
        <v>32.58177546600497</v>
      </c>
      <c r="AB70" s="21">
        <f>EXP(-LN(2)/2)*AB69+(1-EXP(-LN(2)/2))/(LN(2)/2)*V70*Y70*VLOOKUP('Données projet'!$B$9,Paramètres!$A$1:$I$89,3,0)*0.475*44/12</f>
        <v>0.89286309052499013</v>
      </c>
      <c r="AC70" s="22">
        <f t="shared" si="57"/>
        <v>164.44493469652735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-1.3596945791505279E-13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323.20040177531774</v>
      </c>
      <c r="T71" s="59">
        <f t="shared" si="88"/>
        <v>402.87981443974337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128.4020485166848</v>
      </c>
      <c r="AA71" s="21">
        <f>EXP(-LN(2)/25)*AA70+(1-EXP(-LN(2)/25))/(LN(2)/25)*Calculateur!V71*Calculateur!X71*VLOOKUP('Données projet'!$B$9,Paramètres!$A$1:$I$89,3,0)*0.475*44/12</f>
        <v>31.69082510248596</v>
      </c>
      <c r="AB71" s="21">
        <f>EXP(-LN(2)/2)*AB70+(1-EXP(-LN(2)/2))/(LN(2)/2)*V71*Y71*VLOOKUP('Données projet'!$B$9,Paramètres!$A$1:$I$89,3,0)*0.475*44/12</f>
        <v>0.63134954598139881</v>
      </c>
      <c r="AC71" s="22">
        <f t="shared" si="57"/>
        <v>160.72422316515215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-1.3596945791505279E-13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323.20040177531774</v>
      </c>
      <c r="T72" s="59">
        <f t="shared" si="88"/>
        <v>402.87981443974337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125.884162662789</v>
      </c>
      <c r="AA72" s="21">
        <f>EXP(-LN(2)/25)*AA71+(1-EXP(-LN(2)/25))/(LN(2)/25)*Calculateur!V72*Calculateur!X72*VLOOKUP('Données projet'!$B$9,Paramètres!$A$1:$I$89,3,0)*0.475*44/12</f>
        <v>30.824237823510419</v>
      </c>
      <c r="AB72" s="21">
        <f>EXP(-LN(2)/2)*AB71+(1-EXP(-LN(2)/2))/(LN(2)/2)*V72*Y72*VLOOKUP('Données projet'!$B$9,Paramètres!$A$1:$I$89,3,0)*0.475*44/12</f>
        <v>0.44643154526249512</v>
      </c>
      <c r="AC72" s="22">
        <f t="shared" si="57"/>
        <v>157.15483203156191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-1.3596945791505279E-13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323.20040177531774</v>
      </c>
      <c r="T73" s="59">
        <f t="shared" si="88"/>
        <v>402.87981443974337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123.41565101472936</v>
      </c>
      <c r="AA73" s="21">
        <f>EXP(-LN(2)/25)*AA72+(1-EXP(-LN(2)/25))/(LN(2)/25)*Calculateur!V73*Calculateur!X73*VLOOKUP('Données projet'!$B$9,Paramètres!$A$1:$I$89,3,0)*0.475*44/12</f>
        <v>29.981347419250309</v>
      </c>
      <c r="AB73" s="21">
        <f>EXP(-LN(2)/2)*AB72+(1-EXP(-LN(2)/2))/(LN(2)/2)*V73*Y73*VLOOKUP('Données projet'!$B$9,Paramètres!$A$1:$I$89,3,0)*0.475*44/12</f>
        <v>0.31567477299069946</v>
      </c>
      <c r="AC73" s="22">
        <f t="shared" si="57"/>
        <v>153.71267320697035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-1.3596945791505279E-13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323.20040177531774</v>
      </c>
      <c r="T74" s="59">
        <f t="shared" si="88"/>
        <v>402.87981443974337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120.99554537444475</v>
      </c>
      <c r="AA74" s="21">
        <f>EXP(-LN(2)/25)*AA73+(1-EXP(-LN(2)/25))/(LN(2)/25)*Calculateur!V74*Calculateur!X74*VLOOKUP('Données projet'!$B$9,Paramètres!$A$1:$I$89,3,0)*0.475*44/12</f>
        <v>29.161505897420373</v>
      </c>
      <c r="AB74" s="21">
        <f>EXP(-LN(2)/2)*AB73+(1-EXP(-LN(2)/2))/(LN(2)/2)*V74*Y74*VLOOKUP('Données projet'!$B$9,Paramètres!$A$1:$I$89,3,0)*0.475*44/12</f>
        <v>0.22321577263124759</v>
      </c>
      <c r="AC74" s="22">
        <f t="shared" si="57"/>
        <v>150.38026704449638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-1.3596945791505279E-13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323.20040177531774</v>
      </c>
      <c r="T75" s="59">
        <f t="shared" si="88"/>
        <v>402.87981443974337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118.62289652964742</v>
      </c>
      <c r="AA75" s="21">
        <f>EXP(-LN(2)/25)*AA74+(1-EXP(-LN(2)/25))/(LN(2)/25)*Calculateur!V75*Calculateur!X75*VLOOKUP('Données projet'!$B$9,Paramètres!$A$1:$I$89,3,0)*0.475*44/12</f>
        <v>28.364082985118468</v>
      </c>
      <c r="AB75" s="21">
        <f>EXP(-LN(2)/2)*AB74+(1-EXP(-LN(2)/2))/(LN(2)/2)*V75*Y75*VLOOKUP('Données projet'!$B$9,Paramètres!$A$1:$I$89,3,0)*0.475*44/12</f>
        <v>0.15783738649534973</v>
      </c>
      <c r="AC75" s="22">
        <f t="shared" si="57"/>
        <v>147.14481690126124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-1.3596945791505279E-13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323.20040177531774</v>
      </c>
      <c r="T76" s="59">
        <f t="shared" si="88"/>
        <v>402.87981443974337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116.29677388152366</v>
      </c>
      <c r="AA76" s="21">
        <f>EXP(-LN(2)/25)*AA75+(1-EXP(-LN(2)/25))/(LN(2)/25)*Calculateur!V76*Calculateur!X76*VLOOKUP('Données projet'!$B$9,Paramètres!$A$1:$I$89,3,0)*0.475*44/12</f>
        <v>27.588465644288107</v>
      </c>
      <c r="AB76" s="21">
        <f>EXP(-LN(2)/2)*AB75+(1-EXP(-LN(2)/2))/(LN(2)/2)*V76*Y76*VLOOKUP('Données projet'!$B$9,Paramètres!$A$1:$I$89,3,0)*0.475*44/12</f>
        <v>0.11160788631562379</v>
      </c>
      <c r="AC76" s="22">
        <f t="shared" si="57"/>
        <v>143.99684741212738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-1.3596945791505279E-13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323.20040177531774</v>
      </c>
      <c r="T77" s="59">
        <f t="shared" si="88"/>
        <v>402.87981443974337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114.01626507973489</v>
      </c>
      <c r="AA77" s="21">
        <f>EXP(-LN(2)/25)*AA76+(1-EXP(-LN(2)/25))/(LN(2)/25)*Calculateur!V77*Calculateur!X77*VLOOKUP('Données projet'!$B$9,Paramètres!$A$1:$I$89,3,0)*0.475*44/12</f>
        <v>26.834057600430693</v>
      </c>
      <c r="AB77" s="21">
        <f>EXP(-LN(2)/2)*AB76+(1-EXP(-LN(2)/2))/(LN(2)/2)*V77*Y77*VLOOKUP('Données projet'!$B$9,Paramètres!$A$1:$I$89,3,0)*0.475*44/12</f>
        <v>7.8918693247674865E-2</v>
      </c>
      <c r="AC77" s="22">
        <f t="shared" si="57"/>
        <v>140.92924137341328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-1.3596945791505279E-13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323.20040177531774</v>
      </c>
      <c r="T78" s="59">
        <f t="shared" si="88"/>
        <v>402.87981443974337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111.78047566457619</v>
      </c>
      <c r="AA78" s="21">
        <f>EXP(-LN(2)/25)*AA77+(1-EXP(-LN(2)/25))/(LN(2)/25)*Calculateur!V78*Calculateur!X78*VLOOKUP('Données projet'!$B$9,Paramètres!$A$1:$I$89,3,0)*0.475*44/12</f>
        <v>26.100278884205157</v>
      </c>
      <c r="AB78" s="21">
        <f>EXP(-LN(2)/2)*AB77+(1-EXP(-LN(2)/2))/(LN(2)/2)*V78*Y78*VLOOKUP('Données projet'!$B$9,Paramètres!$A$1:$I$89,3,0)*0.475*44/12</f>
        <v>5.5803943157811897E-2</v>
      </c>
      <c r="AC78" s="22">
        <f t="shared" si="57"/>
        <v>137.93655849193914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-1.3596945791505279E-13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323.20040177531774</v>
      </c>
      <c r="T79" s="59">
        <f t="shared" si="88"/>
        <v>402.87981443974337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109.58852871615186</v>
      </c>
      <c r="AA79" s="21">
        <f>EXP(-LN(2)/25)*AA78+(1-EXP(-LN(2)/25))/(LN(2)/25)*Calculateur!V79*Calculateur!X79*VLOOKUP('Données projet'!$B$9,Paramètres!$A$1:$I$89,3,0)*0.475*44/12</f>
        <v>25.386565385562552</v>
      </c>
      <c r="AB79" s="21">
        <f>EXP(-LN(2)/2)*AB78+(1-EXP(-LN(2)/2))/(LN(2)/2)*V79*Y79*VLOOKUP('Données projet'!$B$9,Paramètres!$A$1:$I$89,3,0)*0.475*44/12</f>
        <v>3.9459346623837432E-2</v>
      </c>
      <c r="AC79" s="22">
        <f t="shared" si="57"/>
        <v>135.01455344833823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-1.3596945791505279E-13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323.20040177531774</v>
      </c>
      <c r="T80" s="59">
        <f t="shared" si="88"/>
        <v>402.87981443974337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107.4395645104305</v>
      </c>
      <c r="AA80" s="21">
        <f>EXP(-LN(2)/25)*AA79+(1-EXP(-LN(2)/25))/(LN(2)/25)*Calculateur!V80*Calculateur!X80*VLOOKUP('Données projet'!$B$9,Paramètres!$A$1:$I$89,3,0)*0.475*44/12</f>
        <v>24.692368420072892</v>
      </c>
      <c r="AB80" s="21">
        <f>EXP(-LN(2)/2)*AB79+(1-EXP(-LN(2)/2))/(LN(2)/2)*V80*Y80*VLOOKUP('Données projet'!$B$9,Paramètres!$A$1:$I$89,3,0)*0.475*44/12</f>
        <v>2.7901971578905949E-2</v>
      </c>
      <c r="AC80" s="22">
        <f t="shared" si="57"/>
        <v>132.15983490208228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-1.3596945791505279E-13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323.20040177531774</v>
      </c>
      <c r="T81" s="59">
        <f t="shared" si="88"/>
        <v>402.87981443974337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105.33274018204459</v>
      </c>
      <c r="AA81" s="21">
        <f>EXP(-LN(2)/25)*AA80+(1-EXP(-LN(2)/25))/(LN(2)/25)*Calculateur!V81*Calculateur!X81*VLOOKUP('Données projet'!$B$9,Paramètres!$A$1:$I$89,3,0)*0.475*44/12</f>
        <v>24.017154307110779</v>
      </c>
      <c r="AB81" s="21">
        <f>EXP(-LN(2)/2)*AB80+(1-EXP(-LN(2)/2))/(LN(2)/2)*V81*Y81*VLOOKUP('Données projet'!$B$9,Paramètres!$A$1:$I$89,3,0)*0.475*44/12</f>
        <v>1.9729673311918716E-2</v>
      </c>
      <c r="AC81" s="22">
        <f t="shared" si="57"/>
        <v>129.36962416246729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-1.3596945791505279E-13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323.20040177531774</v>
      </c>
      <c r="T82" s="59">
        <f t="shared" si="88"/>
        <v>402.87981443974337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103.26722939370238</v>
      </c>
      <c r="AA82" s="21">
        <f>EXP(-LN(2)/25)*AA81+(1-EXP(-LN(2)/25))/(LN(2)/25)*Calculateur!V82*Calculateur!X82*VLOOKUP('Données projet'!$B$9,Paramètres!$A$1:$I$89,3,0)*0.475*44/12</f>
        <v>23.360403959575581</v>
      </c>
      <c r="AB82" s="21">
        <f>EXP(-LN(2)/2)*AB81+(1-EXP(-LN(2)/2))/(LN(2)/2)*V82*Y82*VLOOKUP('Données projet'!$B$9,Paramètres!$A$1:$I$89,3,0)*0.475*44/12</f>
        <v>1.3950985789452974E-2</v>
      </c>
      <c r="AC82" s="22">
        <f t="shared" si="57"/>
        <v>126.64158433906741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-1.3596945791505279E-13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323.20040177531774</v>
      </c>
      <c r="T83" s="59">
        <f t="shared" si="88"/>
        <v>402.87981443974337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101.24222201208238</v>
      </c>
      <c r="AA83" s="21">
        <f>EXP(-LN(2)/25)*AA82+(1-EXP(-LN(2)/25))/(LN(2)/25)*Calculateur!V83*Calculateur!X83*VLOOKUP('Données projet'!$B$9,Paramètres!$A$1:$I$89,3,0)*0.475*44/12</f>
        <v>22.721612484830732</v>
      </c>
      <c r="AB83" s="21">
        <f>EXP(-LN(2)/2)*AB82+(1-EXP(-LN(2)/2))/(LN(2)/2)*V83*Y83*VLOOKUP('Données projet'!$B$9,Paramètres!$A$1:$I$89,3,0)*0.475*44/12</f>
        <v>9.8648366559593581E-3</v>
      </c>
      <c r="AC83" s="22">
        <f t="shared" si="57"/>
        <v>123.97369933356907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-1.3596945791505279E-13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323.20040177531774</v>
      </c>
      <c r="T84" s="59">
        <f t="shared" si="88"/>
        <v>402.87981443974337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99.256923790083405</v>
      </c>
      <c r="AA84" s="21">
        <f>EXP(-LN(2)/25)*AA83+(1-EXP(-LN(2)/25))/(LN(2)/25)*Calculateur!V84*Calculateur!X84*VLOOKUP('Données projet'!$B$9,Paramètres!$A$1:$I$89,3,0)*0.475*44/12</f>
        <v>22.100288796555365</v>
      </c>
      <c r="AB84" s="21">
        <f>EXP(-LN(2)/2)*AB83+(1-EXP(-LN(2)/2))/(LN(2)/2)*V84*Y84*VLOOKUP('Données projet'!$B$9,Paramètres!$A$1:$I$89,3,0)*0.475*44/12</f>
        <v>6.9754928947264871E-3</v>
      </c>
      <c r="AC84" s="22">
        <f t="shared" si="57"/>
        <v>121.36418807953349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-1.3596945791505279E-13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323.20040177531774</v>
      </c>
      <c r="T85" s="59">
        <f t="shared" si="88"/>
        <v>402.87981443974337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97.310556055305483</v>
      </c>
      <c r="AA85" s="21">
        <f>EXP(-LN(2)/25)*AA84+(1-EXP(-LN(2)/25))/(LN(2)/25)*Calculateur!V85*Calculateur!X85*VLOOKUP('Données projet'!$B$9,Paramètres!$A$1:$I$89,3,0)*0.475*44/12</f>
        <v>21.495955237209881</v>
      </c>
      <c r="AB85" s="21">
        <f>EXP(-LN(2)/2)*AB84+(1-EXP(-LN(2)/2))/(LN(2)/2)*V85*Y85*VLOOKUP('Données projet'!$B$9,Paramètres!$A$1:$I$89,3,0)*0.475*44/12</f>
        <v>4.9324183279796791E-3</v>
      </c>
      <c r="AC85" s="22">
        <f t="shared" si="57"/>
        <v>118.81144371084335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-1.3596945791505279E-13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323.20040177531774</v>
      </c>
      <c r="T86" s="59">
        <f t="shared" si="88"/>
        <v>402.87981443974337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95.402355404639451</v>
      </c>
      <c r="AA86" s="21">
        <f>EXP(-LN(2)/25)*AA85+(1-EXP(-LN(2)/25))/(LN(2)/25)*Calculateur!V86*Calculateur!X86*VLOOKUP('Données projet'!$B$9,Paramètres!$A$1:$I$89,3,0)*0.475*44/12</f>
        <v>20.90814721082522</v>
      </c>
      <c r="AB86" s="21">
        <f>EXP(-LN(2)/2)*AB85+(1-EXP(-LN(2)/2))/(LN(2)/2)*V86*Y86*VLOOKUP('Données projet'!$B$9,Paramètres!$A$1:$I$89,3,0)*0.475*44/12</f>
        <v>3.4877464473632436E-3</v>
      </c>
      <c r="AC86" s="22">
        <f t="shared" si="57"/>
        <v>116.31399036191203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-1.3596945791505279E-13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323.20040177531774</v>
      </c>
      <c r="T87" s="59">
        <f t="shared" si="88"/>
        <v>402.87981443974337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93.531573404845517</v>
      </c>
      <c r="AA87" s="21">
        <f>EXP(-LN(2)/25)*AA86+(1-EXP(-LN(2)/25))/(LN(2)/25)*Calculateur!V87*Calculateur!X87*VLOOKUP('Données projet'!$B$9,Paramètres!$A$1:$I$89,3,0)*0.475*44/12</f>
        <v>20.336412825833527</v>
      </c>
      <c r="AB87" s="21">
        <f>EXP(-LN(2)/2)*AB86+(1-EXP(-LN(2)/2))/(LN(2)/2)*V87*Y87*VLOOKUP('Données projet'!$B$9,Paramètres!$A$1:$I$89,3,0)*0.475*44/12</f>
        <v>2.4662091639898395E-3</v>
      </c>
      <c r="AC87" s="22">
        <f t="shared" si="57"/>
        <v>113.87045243984302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-1.3596945791505279E-13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323.20040177531774</v>
      </c>
      <c r="T88" s="59">
        <f t="shared" si="88"/>
        <v>402.87981443974337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91.697476299003185</v>
      </c>
      <c r="AA88" s="21">
        <f>EXP(-LN(2)/25)*AA87+(1-EXP(-LN(2)/25))/(LN(2)/25)*Calculateur!V88*Calculateur!X88*VLOOKUP('Données projet'!$B$9,Paramètres!$A$1:$I$89,3,0)*0.475*44/12</f>
        <v>19.780312547665638</v>
      </c>
      <c r="AB88" s="21">
        <f>EXP(-LN(2)/2)*AB87+(1-EXP(-LN(2)/2))/(LN(2)/2)*V88*Y88*VLOOKUP('Données projet'!$B$9,Paramètres!$A$1:$I$89,3,0)*0.475*44/12</f>
        <v>1.7438732236816218E-3</v>
      </c>
      <c r="AC88" s="22">
        <f t="shared" si="57"/>
        <v>111.47953271989252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-1.3596945791505279E-13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323.20040177531774</v>
      </c>
      <c r="T89" s="59">
        <f t="shared" si="88"/>
        <v>402.87981443974337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89.899344718717657</v>
      </c>
      <c r="AA89" s="21">
        <f>EXP(-LN(2)/25)*AA88+(1-EXP(-LN(2)/25))/(LN(2)/25)*Calculateur!V89*Calculateur!X89*VLOOKUP('Données projet'!$B$9,Paramètres!$A$1:$I$89,3,0)*0.475*44/12</f>
        <v>19.239418860848293</v>
      </c>
      <c r="AB89" s="21">
        <f>EXP(-LN(2)/2)*AB88+(1-EXP(-LN(2)/2))/(LN(2)/2)*V89*Y89*VLOOKUP('Données projet'!$B$9,Paramètres!$A$1:$I$89,3,0)*0.475*44/12</f>
        <v>1.2331045819949198E-3</v>
      </c>
      <c r="AC89" s="22">
        <f t="shared" si="57"/>
        <v>109.13999668414795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-1.3596945791505279E-13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323.20040177531774</v>
      </c>
      <c r="T90" s="59">
        <f t="shared" si="88"/>
        <v>402.87981443974337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88.136473401969553</v>
      </c>
      <c r="AA90" s="21">
        <f>EXP(-LN(2)/25)*AA89+(1-EXP(-LN(2)/25))/(LN(2)/25)*Calculateur!V90*Calculateur!X90*VLOOKUP('Données projet'!$B$9,Paramètres!$A$1:$I$89,3,0)*0.475*44/12</f>
        <v>18.713315940341332</v>
      </c>
      <c r="AB90" s="21">
        <f>EXP(-LN(2)/2)*AB89+(1-EXP(-LN(2)/2))/(LN(2)/2)*V90*Y90*VLOOKUP('Données projet'!$B$9,Paramètres!$A$1:$I$89,3,0)*0.475*44/12</f>
        <v>8.7193661184081089E-4</v>
      </c>
      <c r="AC90" s="22">
        <f t="shared" si="57"/>
        <v>106.85066127892273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-1.3596945791505279E-13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323.20040177531774</v>
      </c>
      <c r="T91" s="59">
        <f t="shared" si="88"/>
        <v>402.87981443974337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86.408170916497554</v>
      </c>
      <c r="AA91" s="21">
        <f>EXP(-LN(2)/25)*AA90+(1-EXP(-LN(2)/25))/(LN(2)/25)*Calculateur!V91*Calculateur!X91*VLOOKUP('Données projet'!$B$9,Paramètres!$A$1:$I$89,3,0)*0.475*44/12</f>
        <v>18.201599331862184</v>
      </c>
      <c r="AB91" s="21">
        <f>EXP(-LN(2)/2)*AB90+(1-EXP(-LN(2)/2))/(LN(2)/2)*V91*Y91*VLOOKUP('Données projet'!$B$9,Paramètres!$A$1:$I$89,3,0)*0.475*44/12</f>
        <v>6.1655229099745988E-4</v>
      </c>
      <c r="AC91" s="22">
        <f t="shared" si="57"/>
        <v>104.61038680065073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-1.3596945791505279E-13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323.20040177531774</v>
      </c>
      <c r="T92" s="59">
        <f t="shared" si="88"/>
        <v>402.87981443974337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84.713759388605226</v>
      </c>
      <c r="AA92" s="21">
        <f>EXP(-LN(2)/25)*AA91+(1-EXP(-LN(2)/25))/(LN(2)/25)*Calculateur!V92*Calculateur!X92*VLOOKUP('Données projet'!$B$9,Paramètres!$A$1:$I$89,3,0)*0.475*44/12</f>
        <v>17.703875640951903</v>
      </c>
      <c r="AB92" s="21">
        <f>EXP(-LN(2)/2)*AB91+(1-EXP(-LN(2)/2))/(LN(2)/2)*V92*Y92*VLOOKUP('Données projet'!$B$9,Paramètres!$A$1:$I$89,3,0)*0.475*44/12</f>
        <v>4.3596830592040545E-4</v>
      </c>
      <c r="AC92" s="22">
        <f t="shared" si="57"/>
        <v>102.41807099786305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-1.3596945791505279E-13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323.20040177531774</v>
      </c>
      <c r="T93" s="59">
        <f t="shared" si="88"/>
        <v>402.87981443974337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83.052574237285882</v>
      </c>
      <c r="AA93" s="21">
        <f>EXP(-LN(2)/25)*AA92+(1-EXP(-LN(2)/25))/(LN(2)/25)*Calculateur!V93*Calculateur!X93*VLOOKUP('Données projet'!$B$9,Paramètres!$A$1:$I$89,3,0)*0.475*44/12</f>
        <v>17.219762230543715</v>
      </c>
      <c r="AB93" s="21">
        <f>EXP(-LN(2)/2)*AB92+(1-EXP(-LN(2)/2))/(LN(2)/2)*V93*Y93*VLOOKUP('Données projet'!$B$9,Paramètres!$A$1:$I$89,3,0)*0.475*44/12</f>
        <v>3.0827614549872994E-4</v>
      </c>
      <c r="AC93" s="22">
        <f t="shared" si="57"/>
        <v>100.27264474397511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-1.3596945791505279E-13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323.20040177531774</v>
      </c>
      <c r="T94" s="59">
        <f t="shared" si="88"/>
        <v>402.87981443974337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81.423963913561025</v>
      </c>
      <c r="AA94" s="21">
        <f>EXP(-LN(2)/25)*AA93+(1-EXP(-LN(2)/25))/(LN(2)/25)*Calculateur!V94*Calculateur!X94*VLOOKUP('Données projet'!$B$9,Paramètres!$A$1:$I$89,3,0)*0.475*44/12</f>
        <v>16.748886926801557</v>
      </c>
      <c r="AB94" s="21">
        <f>EXP(-LN(2)/2)*AB93+(1-EXP(-LN(2)/2))/(LN(2)/2)*V94*Y94*VLOOKUP('Données projet'!$B$9,Paramètres!$A$1:$I$89,3,0)*0.475*44/12</f>
        <v>2.1798415296020272E-4</v>
      </c>
      <c r="AC94" s="22">
        <f t="shared" si="57"/>
        <v>98.173068824515539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-1.3596945791505279E-13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323.20040177531774</v>
      </c>
      <c r="T95" s="59">
        <f t="shared" si="88"/>
        <v>402.87981443974337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79.82728964493019</v>
      </c>
      <c r="AA95" s="21">
        <f>EXP(-LN(2)/25)*AA94+(1-EXP(-LN(2)/25))/(LN(2)/25)*Calculateur!V95*Calculateur!X95*VLOOKUP('Données projet'!$B$9,Paramètres!$A$1:$I$89,3,0)*0.475*44/12</f>
        <v>16.290887733002485</v>
      </c>
      <c r="AB95" s="21">
        <f>EXP(-LN(2)/2)*AB94+(1-EXP(-LN(2)/2))/(LN(2)/2)*V95*Y95*VLOOKUP('Données projet'!$B$9,Paramètres!$A$1:$I$89,3,0)*0.475*44/12</f>
        <v>1.5413807274936497E-4</v>
      </c>
      <c r="AC95" s="22">
        <f t="shared" si="57"/>
        <v>96.118331516005426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-1.3596945791505279E-13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323.20040177531774</v>
      </c>
      <c r="T96" s="59">
        <f t="shared" si="88"/>
        <v>402.87981443974337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78.261925184832066</v>
      </c>
      <c r="AA96" s="21">
        <f>EXP(-LN(2)/25)*AA95+(1-EXP(-LN(2)/25))/(LN(2)/25)*Calculateur!V96*Calculateur!X96*VLOOKUP('Données projet'!$B$9,Paramètres!$A$1:$I$89,3,0)*0.475*44/12</f>
        <v>15.84541255124298</v>
      </c>
      <c r="AB96" s="21">
        <f>EXP(-LN(2)/2)*AB95+(1-EXP(-LN(2)/2))/(LN(2)/2)*V96*Y96*VLOOKUP('Données projet'!$B$9,Paramètres!$A$1:$I$89,3,0)*0.475*44/12</f>
        <v>1.0899207648010136E-4</v>
      </c>
      <c r="AC96" s="22">
        <f t="shared" si="57"/>
        <v>94.107446728151515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-1.3596945791505279E-13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323.20040177531774</v>
      </c>
      <c r="T97" s="59">
        <f t="shared" si="88"/>
        <v>402.87981443974337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76.727256567018429</v>
      </c>
      <c r="AA97" s="21">
        <f>EXP(-LN(2)/25)*AA96+(1-EXP(-LN(2)/25))/(LN(2)/25)*Calculateur!V97*Calculateur!X97*VLOOKUP('Données projet'!$B$9,Paramètres!$A$1:$I$89,3,0)*0.475*44/12</f>
        <v>15.41211891175521</v>
      </c>
      <c r="AB97" s="21">
        <f>EXP(-LN(2)/2)*AB96+(1-EXP(-LN(2)/2))/(LN(2)/2)*V97*Y97*VLOOKUP('Données projet'!$B$9,Paramètres!$A$1:$I$89,3,0)*0.475*44/12</f>
        <v>7.7069036374682485E-5</v>
      </c>
      <c r="AC97" s="22">
        <f t="shared" si="57"/>
        <v>92.139452547810023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-1.3596945791505279E-13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323.20040177531774</v>
      </c>
      <c r="T98" s="59">
        <f t="shared" si="88"/>
        <v>402.87981443974337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75.222681864744686</v>
      </c>
      <c r="AA98" s="21">
        <f>EXP(-LN(2)/25)*AA97+(1-EXP(-LN(2)/25))/(LN(2)/25)*Calculateur!V98*Calculateur!X98*VLOOKUP('Données projet'!$B$9,Paramètres!$A$1:$I$89,3,0)*0.475*44/12</f>
        <v>14.990673709625154</v>
      </c>
      <c r="AB98" s="21">
        <f>EXP(-LN(2)/2)*AB97+(1-EXP(-LN(2)/2))/(LN(2)/2)*V98*Y98*VLOOKUP('Données projet'!$B$9,Paramètres!$A$1:$I$89,3,0)*0.475*44/12</f>
        <v>5.4496038240050681E-5</v>
      </c>
      <c r="AC98" s="22">
        <f t="shared" si="57"/>
        <v>90.213410070408088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-1.3596945791505279E-13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323.20040177531774</v>
      </c>
      <c r="T99" s="59">
        <f t="shared" si="88"/>
        <v>402.87981443974337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73.747610954682571</v>
      </c>
      <c r="AA99" s="21">
        <f>EXP(-LN(2)/25)*AA98+(1-EXP(-LN(2)/25))/(LN(2)/25)*Calculateur!V99*Calculateur!X99*VLOOKUP('Données projet'!$B$9,Paramètres!$A$1:$I$89,3,0)*0.475*44/12</f>
        <v>14.580752948710186</v>
      </c>
      <c r="AB99" s="21">
        <f>EXP(-LN(2)/2)*AB98+(1-EXP(-LN(2)/2))/(LN(2)/2)*V99*Y99*VLOOKUP('Données projet'!$B$9,Paramètres!$A$1:$I$89,3,0)*0.475*44/12</f>
        <v>3.8534518187341243E-5</v>
      </c>
      <c r="AC99" s="22">
        <f t="shared" si="57"/>
        <v>88.328402437910938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-1.3596945791505279E-13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323.20040177531774</v>
      </c>
      <c r="T100" s="59">
        <f t="shared" si="88"/>
        <v>402.87981443974337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72.301465285462371</v>
      </c>
      <c r="AA100" s="21">
        <f>EXP(-LN(2)/25)*AA99+(1-EXP(-LN(2)/25))/(LN(2)/25)*Calculateur!V100*Calculateur!X100*VLOOKUP('Données projet'!$B$9,Paramètres!$A$1:$I$89,3,0)*0.475*44/12</f>
        <v>14.182041492559234</v>
      </c>
      <c r="AB100" s="21">
        <f>EXP(-LN(2)/2)*AB99+(1-EXP(-LN(2)/2))/(LN(2)/2)*V100*Y100*VLOOKUP('Données projet'!$B$9,Paramètres!$A$1:$I$89,3,0)*0.475*44/12</f>
        <v>2.724801912002534E-5</v>
      </c>
      <c r="AC100" s="22">
        <f t="shared" si="57"/>
        <v>86.483534026040729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-1.3596945791505279E-13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323.20040177531774</v>
      </c>
      <c r="T101" s="59">
        <f t="shared" si="88"/>
        <v>402.87981443974337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70.88367765075381</v>
      </c>
      <c r="AA101" s="21">
        <f>EXP(-LN(2)/25)*AA100+(1-EXP(-LN(2)/25))/(LN(2)/25)*Calculateur!V101*Calculateur!X101*VLOOKUP('Données projet'!$B$9,Paramètres!$A$1:$I$89,3,0)*0.475*44/12</f>
        <v>13.794232822144053</v>
      </c>
      <c r="AB101" s="21">
        <f>EXP(-LN(2)/2)*AB100+(1-EXP(-LN(2)/2))/(LN(2)/2)*V101*Y101*VLOOKUP('Données projet'!$B$9,Paramètres!$A$1:$I$89,3,0)*0.475*44/12</f>
        <v>1.9267259093670621E-5</v>
      </c>
      <c r="AC101" s="22">
        <f t="shared" si="57"/>
        <v>84.677929740156955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-1.3596945791505279E-13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323.20040177531774</v>
      </c>
      <c r="T102" s="59">
        <f t="shared" si="88"/>
        <v>402.87981443974337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69.493691966796817</v>
      </c>
      <c r="AA102" s="21">
        <f>EXP(-LN(2)/25)*AA101+(1-EXP(-LN(2)/25))/(LN(2)/25)*Calculateur!V102*Calculateur!X102*VLOOKUP('Données projet'!$B$9,Paramètres!$A$1:$I$89,3,0)*0.475*44/12</f>
        <v>13.417028800215347</v>
      </c>
      <c r="AB102" s="21">
        <f>EXP(-LN(2)/2)*AB101+(1-EXP(-LN(2)/2))/(LN(2)/2)*V102*Y102*VLOOKUP('Données projet'!$B$9,Paramètres!$A$1:$I$89,3,0)*0.475*44/12</f>
        <v>1.362400956001267E-5</v>
      </c>
      <c r="AC102" s="22">
        <f t="shared" si="57"/>
        <v>82.91073439102172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-1.3596945791505279E-13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323.20040177531774</v>
      </c>
      <c r="T103" s="59">
        <f t="shared" si="88"/>
        <v>402.87981443974337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68.130963054294668</v>
      </c>
      <c r="AA103" s="21">
        <f>EXP(-LN(2)/25)*AA102+(1-EXP(-LN(2)/25))/(LN(2)/25)*Calculateur!V103*Calculateur!X103*VLOOKUP('Données projet'!$B$9,Paramètres!$A$1:$I$89,3,0)*0.475*44/12</f>
        <v>13.050139442102578</v>
      </c>
      <c r="AB103" s="21">
        <f>EXP(-LN(2)/2)*AB102+(1-EXP(-LN(2)/2))/(LN(2)/2)*V103*Y103*VLOOKUP('Données projet'!$B$9,Paramètres!$A$1:$I$89,3,0)*0.475*44/12</f>
        <v>9.6336295468353106E-6</v>
      </c>
      <c r="AC103" s="22">
        <f t="shared" si="57"/>
        <v>81.18111213002679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-1.3596945791505279E-13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323.20040177531774</v>
      </c>
      <c r="T104" s="59">
        <f t="shared" si="88"/>
        <v>402.87981443974337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66.794956424584115</v>
      </c>
      <c r="AA104" s="21">
        <f>EXP(-LN(2)/25)*AA103+(1-EXP(-LN(2)/25))/(LN(2)/25)*Calculateur!V104*Calculateur!X104*VLOOKUP('Données projet'!$B$9,Paramètres!$A$1:$I$89,3,0)*0.475*44/12</f>
        <v>12.693282692781276</v>
      </c>
      <c r="AB104" s="21">
        <f>EXP(-LN(2)/2)*AB103+(1-EXP(-LN(2)/2))/(LN(2)/2)*V104*Y104*VLOOKUP('Données projet'!$B$9,Paramètres!$A$1:$I$89,3,0)*0.475*44/12</f>
        <v>6.8120047800063351E-6</v>
      </c>
      <c r="AC104" s="22">
        <f t="shared" si="57"/>
        <v>79.48824592937018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-1.3596945791505279E-13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323.20040177531774</v>
      </c>
      <c r="T105" s="59">
        <f t="shared" si="88"/>
        <v>402.87981443974337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65.485148069998615</v>
      </c>
      <c r="AA105" s="21">
        <f>EXP(-LN(2)/25)*AA104+(1-EXP(-LN(2)/25))/(LN(2)/25)*Calculateur!V105*Calculateur!X105*VLOOKUP('Données projet'!$B$9,Paramètres!$A$1:$I$89,3,0)*0.475*44/12</f>
        <v>12.346184210036446</v>
      </c>
      <c r="AB105" s="21">
        <f>EXP(-LN(2)/2)*AB104+(1-EXP(-LN(2)/2))/(LN(2)/2)*V105*Y105*VLOOKUP('Données projet'!$B$9,Paramètres!$A$1:$I$89,3,0)*0.475*44/12</f>
        <v>4.8168147734176553E-6</v>
      </c>
      <c r="AC105" s="22">
        <f t="shared" si="57"/>
        <v>77.831337096849836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-1.3596945791505279E-13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323.20040177531774</v>
      </c>
      <c r="T106" s="59">
        <f t="shared" si="88"/>
        <v>402.87981443974337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64.201024258342315</v>
      </c>
      <c r="AA106" s="21">
        <f>EXP(-LN(2)/25)*AA105+(1-EXP(-LN(2)/25))/(LN(2)/25)*Calculateur!V106*Calculateur!X106*VLOOKUP('Données projet'!$B$9,Paramètres!$A$1:$I$89,3,0)*0.475*44/12</f>
        <v>12.00857715355539</v>
      </c>
      <c r="AB106" s="21">
        <f>EXP(-LN(2)/2)*AB105+(1-EXP(-LN(2)/2))/(LN(2)/2)*V106*Y106*VLOOKUP('Données projet'!$B$9,Paramètres!$A$1:$I$89,3,0)*0.475*44/12</f>
        <v>3.4060023900031676E-6</v>
      </c>
      <c r="AC106" s="22">
        <f t="shared" si="57"/>
        <v>76.2096048179001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-1.3596945791505279E-13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323.20040177531774</v>
      </c>
      <c r="T107" s="59">
        <f t="shared" si="88"/>
        <v>402.87981443974337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62.942081331394412</v>
      </c>
      <c r="AA107" s="21">
        <f>EXP(-LN(2)/25)*AA106+(1-EXP(-LN(2)/25))/(LN(2)/25)*Calculateur!V107*Calculateur!X107*VLOOKUP('Données projet'!$B$9,Paramètres!$A$1:$I$89,3,0)*0.475*44/12</f>
        <v>11.680201979787791</v>
      </c>
      <c r="AB107" s="21">
        <f>EXP(-LN(2)/2)*AB106+(1-EXP(-LN(2)/2))/(LN(2)/2)*V107*Y107*VLOOKUP('Données projet'!$B$9,Paramètres!$A$1:$I$89,3,0)*0.475*44/12</f>
        <v>2.4084073867088277E-6</v>
      </c>
      <c r="AC107" s="22">
        <f t="shared" si="57"/>
        <v>74.622285719589584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-1.3596945791505279E-13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323.20040177531774</v>
      </c>
      <c r="T108" s="59">
        <f t="shared" si="88"/>
        <v>402.87981443974337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61.707825507364596</v>
      </c>
      <c r="AA108" s="21">
        <f>EXP(-LN(2)/25)*AA107+(1-EXP(-LN(2)/25))/(LN(2)/25)*Calculateur!V108*Calculateur!X108*VLOOKUP('Données projet'!$B$9,Paramètres!$A$1:$I$89,3,0)*0.475*44/12</f>
        <v>11.360806242415366</v>
      </c>
      <c r="AB108" s="21">
        <f>EXP(-LN(2)/2)*AB107+(1-EXP(-LN(2)/2))/(LN(2)/2)*V108*Y108*VLOOKUP('Données projet'!$B$9,Paramètres!$A$1:$I$89,3,0)*0.475*44/12</f>
        <v>1.7030011950015838E-6</v>
      </c>
      <c r="AC108" s="22">
        <f t="shared" si="57"/>
        <v>73.068633452781157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-1.3596945791505279E-13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323.20040177531774</v>
      </c>
      <c r="T109" s="59">
        <f t="shared" si="88"/>
        <v>402.87981443974337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60.497772687222287</v>
      </c>
      <c r="AA109" s="21">
        <f>EXP(-LN(2)/25)*AA108+(1-EXP(-LN(2)/25))/(LN(2)/25)*Calculateur!V109*Calculateur!X109*VLOOKUP('Données projet'!$B$9,Paramètres!$A$1:$I$89,3,0)*0.475*44/12</f>
        <v>11.050144398277682</v>
      </c>
      <c r="AB109" s="21">
        <f>EXP(-LN(2)/2)*AB108+(1-EXP(-LN(2)/2))/(LN(2)/2)*V109*Y109*VLOOKUP('Données projet'!$B$9,Paramètres!$A$1:$I$89,3,0)*0.475*44/12</f>
        <v>1.2042036933544138E-6</v>
      </c>
      <c r="AC109" s="22">
        <f t="shared" si="57"/>
        <v>71.547918289703674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-1.3596945791505279E-13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323.20040177531774</v>
      </c>
      <c r="T110" s="59">
        <f t="shared" si="88"/>
        <v>402.87981443974337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59.311448264823625</v>
      </c>
      <c r="AA110" s="21">
        <f>EXP(-LN(2)/25)*AA109+(1-EXP(-LN(2)/25))/(LN(2)/25)*Calculateur!V110*Calculateur!X110*VLOOKUP('Données projet'!$B$9,Paramètres!$A$1:$I$89,3,0)*0.475*44/12</f>
        <v>10.74797761860494</v>
      </c>
      <c r="AB110" s="21">
        <f>EXP(-LN(2)/2)*AB109+(1-EXP(-LN(2)/2))/(LN(2)/2)*V110*Y110*VLOOKUP('Données projet'!$B$9,Paramètres!$A$1:$I$89,3,0)*0.475*44/12</f>
        <v>8.5150059750079189E-7</v>
      </c>
      <c r="AC110" s="22">
        <f t="shared" si="57"/>
        <v>70.059426734929161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-1.3596945791505279E-13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323.20040177531774</v>
      </c>
      <c r="T111" s="59">
        <f t="shared" si="88"/>
        <v>402.87981443974337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58.148386940761753</v>
      </c>
      <c r="AA111" s="21">
        <f>EXP(-LN(2)/25)*AA110+(1-EXP(-LN(2)/25))/(LN(2)/25)*Calculateur!V111*Calculateur!X111*VLOOKUP('Données projet'!$B$9,Paramètres!$A$1:$I$89,3,0)*0.475*44/12</f>
        <v>10.45407360541261</v>
      </c>
      <c r="AB111" s="21">
        <f>EXP(-LN(2)/2)*AB110+(1-EXP(-LN(2)/2))/(LN(2)/2)*V111*Y111*VLOOKUP('Données projet'!$B$9,Paramètres!$A$1:$I$89,3,0)*0.475*44/12</f>
        <v>6.0210184667720692E-7</v>
      </c>
      <c r="AC111" s="22">
        <f t="shared" si="57"/>
        <v>68.60246114827622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-1.3596945791505279E-13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323.20040177531774</v>
      </c>
      <c r="T112" s="59">
        <f t="shared" si="88"/>
        <v>402.87981443974337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57.008132539867375</v>
      </c>
      <c r="AA112" s="21">
        <f>EXP(-LN(2)/25)*AA111+(1-EXP(-LN(2)/25))/(LN(2)/25)*Calculateur!V112*Calculateur!X112*VLOOKUP('Données projet'!$B$9,Paramètres!$A$1:$I$89,3,0)*0.475*44/12</f>
        <v>10.168206412916764</v>
      </c>
      <c r="AB112" s="21">
        <f>EXP(-LN(2)/2)*AB111+(1-EXP(-LN(2)/2))/(LN(2)/2)*V112*Y112*VLOOKUP('Données projet'!$B$9,Paramètres!$A$1:$I$89,3,0)*0.475*44/12</f>
        <v>4.2575029875039594E-7</v>
      </c>
      <c r="AC112" s="22">
        <f t="shared" si="57"/>
        <v>67.176339378534436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-1.3596945791505279E-13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323.20040177531774</v>
      </c>
      <c r="T113" s="59">
        <f t="shared" si="88"/>
        <v>402.87981443974337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55.890237832288022</v>
      </c>
      <c r="AA113" s="21">
        <f>EXP(-LN(2)/25)*AA112+(1-EXP(-LN(2)/25))/(LN(2)/25)*Calculateur!V113*Calculateur!X113*VLOOKUP('Données projet'!$B$9,Paramètres!$A$1:$I$89,3,0)*0.475*44/12</f>
        <v>9.8901562738328188</v>
      </c>
      <c r="AB113" s="21">
        <f>EXP(-LN(2)/2)*AB112+(1-EXP(-LN(2)/2))/(LN(2)/2)*V113*Y113*VLOOKUP('Données projet'!$B$9,Paramètres!$A$1:$I$89,3,0)*0.475*44/12</f>
        <v>3.0105092333860346E-7</v>
      </c>
      <c r="AC113" s="22">
        <f t="shared" si="57"/>
        <v>65.780394407171755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-1.3596945791505279E-13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323.20040177531774</v>
      </c>
      <c r="T114" s="59">
        <f t="shared" si="88"/>
        <v>402.87981443974337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54.794264358075857</v>
      </c>
      <c r="AA114" s="21">
        <f>EXP(-LN(2)/25)*AA113+(1-EXP(-LN(2)/25))/(LN(2)/25)*Calculateur!V114*Calculateur!X114*VLOOKUP('Données projet'!$B$9,Paramètres!$A$1:$I$89,3,0)*0.475*44/12</f>
        <v>9.6197094304241464</v>
      </c>
      <c r="AB114" s="21">
        <f>EXP(-LN(2)/2)*AB113+(1-EXP(-LN(2)/2))/(LN(2)/2)*V114*Y114*VLOOKUP('Données projet'!$B$9,Paramètres!$A$1:$I$89,3,0)*0.475*44/12</f>
        <v>2.1287514937519797E-7</v>
      </c>
      <c r="AC114" s="22">
        <f t="shared" si="57"/>
        <v>64.413974001375152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-1.3596945791505279E-13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323.20040177531774</v>
      </c>
      <c r="T115" s="59">
        <f t="shared" si="88"/>
        <v>402.87981443974337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53.719782255215179</v>
      </c>
      <c r="AA115" s="21">
        <f>EXP(-LN(2)/25)*AA114+(1-EXP(-LN(2)/25))/(LN(2)/25)*Calculateur!V115*Calculateur!X115*VLOOKUP('Données projet'!$B$9,Paramètres!$A$1:$I$89,3,0)*0.475*44/12</f>
        <v>9.3566579701706658</v>
      </c>
      <c r="AB115" s="21">
        <f>EXP(-LN(2)/2)*AB114+(1-EXP(-LN(2)/2))/(LN(2)/2)*V115*Y115*VLOOKUP('Données projet'!$B$9,Paramètres!$A$1:$I$89,3,0)*0.475*44/12</f>
        <v>1.5052546166930173E-7</v>
      </c>
      <c r="AC115" s="22">
        <f t="shared" si="57"/>
        <v>63.076440375911304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-1.3596945791505279E-13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323.20040177531774</v>
      </c>
      <c r="T116" s="59">
        <f t="shared" si="88"/>
        <v>402.87981443974337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52.66637009102223</v>
      </c>
      <c r="AA116" s="21">
        <f>EXP(-LN(2)/25)*AA115+(1-EXP(-LN(2)/25))/(LN(2)/25)*Calculateur!V116*Calculateur!X116*VLOOKUP('Données projet'!$B$9,Paramètres!$A$1:$I$89,3,0)*0.475*44/12</f>
        <v>9.1007996659310919</v>
      </c>
      <c r="AB116" s="21">
        <f>EXP(-LN(2)/2)*AB115+(1-EXP(-LN(2)/2))/(LN(2)/2)*V116*Y116*VLOOKUP('Données projet'!$B$9,Paramètres!$A$1:$I$89,3,0)*0.475*44/12</f>
        <v>1.0643757468759899E-7</v>
      </c>
      <c r="AC116" s="22">
        <f t="shared" si="57"/>
        <v>61.767169863390897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-1.3596945791505279E-13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323.20040177531774</v>
      </c>
      <c r="T117" s="59">
        <f t="shared" si="88"/>
        <v>402.87981443974337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51.633614696851126</v>
      </c>
      <c r="AA117" s="21">
        <f>EXP(-LN(2)/25)*AA116+(1-EXP(-LN(2)/25))/(LN(2)/25)*Calculateur!V117*Calculateur!X117*VLOOKUP('Données projet'!$B$9,Paramètres!$A$1:$I$89,3,0)*0.475*44/12</f>
        <v>8.8519378204759516</v>
      </c>
      <c r="AB117" s="21">
        <f>EXP(-LN(2)/2)*AB116+(1-EXP(-LN(2)/2))/(LN(2)/2)*V117*Y117*VLOOKUP('Données projet'!$B$9,Paramètres!$A$1:$I$89,3,0)*0.475*44/12</f>
        <v>7.5262730834650864E-8</v>
      </c>
      <c r="AC117" s="22">
        <f t="shared" si="57"/>
        <v>60.485552592589812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-1.3596945791505279E-13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323.20040177531774</v>
      </c>
      <c r="T118" s="59">
        <f t="shared" si="88"/>
        <v>402.87981443974337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50.621111006041126</v>
      </c>
      <c r="AA118" s="21">
        <f>EXP(-LN(2)/25)*AA117+(1-EXP(-LN(2)/25))/(LN(2)/25)*Calculateur!V118*Calculateur!X118*VLOOKUP('Données projet'!$B$9,Paramètres!$A$1:$I$89,3,0)*0.475*44/12</f>
        <v>8.6098811152718575</v>
      </c>
      <c r="AB118" s="21">
        <f>EXP(-LN(2)/2)*AB117+(1-EXP(-LN(2)/2))/(LN(2)/2)*V118*Y118*VLOOKUP('Données projet'!$B$9,Paramètres!$A$1:$I$89,3,0)*0.475*44/12</f>
        <v>5.3218787343799493E-8</v>
      </c>
      <c r="AC118" s="22">
        <f t="shared" si="57"/>
        <v>59.230992174531764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-1.3596945791505279E-13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323.20040177531774</v>
      </c>
      <c r="T119" s="59">
        <f t="shared" si="88"/>
        <v>402.87981443974337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49.628461895041639</v>
      </c>
      <c r="AA119" s="21">
        <f>EXP(-LN(2)/25)*AA118+(1-EXP(-LN(2)/25))/(LN(2)/25)*Calculateur!V119*Calculateur!X119*VLOOKUP('Données projet'!$B$9,Paramètres!$A$1:$I$89,3,0)*0.475*44/12</f>
        <v>8.3744434634007785</v>
      </c>
      <c r="AB119" s="21">
        <f>EXP(-LN(2)/2)*AB118+(1-EXP(-LN(2)/2))/(LN(2)/2)*V119*Y119*VLOOKUP('Données projet'!$B$9,Paramètres!$A$1:$I$89,3,0)*0.475*44/12</f>
        <v>3.7631365417325432E-8</v>
      </c>
      <c r="AC119" s="22">
        <f t="shared" si="57"/>
        <v>58.002905396073785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-1.3596945791505279E-13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323.20040177531774</v>
      </c>
      <c r="T120" s="59">
        <f t="shared" si="88"/>
        <v>402.87981443974337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48.655278027652678</v>
      </c>
      <c r="AA120" s="21">
        <f>EXP(-LN(2)/25)*AA119+(1-EXP(-LN(2)/25))/(LN(2)/25)*Calculateur!V120*Calculateur!X120*VLOOKUP('Données projet'!$B$9,Paramètres!$A$1:$I$89,3,0)*0.475*44/12</f>
        <v>8.1454438665012425</v>
      </c>
      <c r="AB120" s="21">
        <f>EXP(-LN(2)/2)*AB119+(1-EXP(-LN(2)/2))/(LN(2)/2)*V120*Y120*VLOOKUP('Données projet'!$B$9,Paramètres!$A$1:$I$89,3,0)*0.475*44/12</f>
        <v>2.6609393671899747E-8</v>
      </c>
      <c r="AC120" s="22">
        <f t="shared" si="57"/>
        <v>56.800721920763316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-1.3596945791505279E-13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323.20040177531774</v>
      </c>
      <c r="T121" s="59">
        <f t="shared" si="88"/>
        <v>402.87981443974337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47.701177702319669</v>
      </c>
      <c r="AA121" s="21">
        <f>EXP(-LN(2)/25)*AA120+(1-EXP(-LN(2)/25))/(LN(2)/25)*Calculateur!V121*Calculateur!X121*VLOOKUP('Données projet'!$B$9,Paramètres!$A$1:$I$89,3,0)*0.475*44/12</f>
        <v>7.9227062756214899</v>
      </c>
      <c r="AB121" s="21">
        <f>EXP(-LN(2)/2)*AB120+(1-EXP(-LN(2)/2))/(LN(2)/2)*V121*Y121*VLOOKUP('Données projet'!$B$9,Paramètres!$A$1:$I$89,3,0)*0.475*44/12</f>
        <v>1.8815682708662716E-8</v>
      </c>
      <c r="AC121" s="22">
        <f t="shared" si="57"/>
        <v>55.623883996756845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-1.3596945791505279E-13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323.20040177531774</v>
      </c>
      <c r="T122" s="59">
        <f t="shared" si="88"/>
        <v>402.87981443974337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46.765786702422702</v>
      </c>
      <c r="AA122" s="21">
        <f>EXP(-LN(2)/25)*AA121+(1-EXP(-LN(2)/25))/(LN(2)/25)*Calculateur!V122*Calculateur!X122*VLOOKUP('Données projet'!$B$9,Paramètres!$A$1:$I$89,3,0)*0.475*44/12</f>
        <v>7.7060594558776048</v>
      </c>
      <c r="AB122" s="21">
        <f>EXP(-LN(2)/2)*AB121+(1-EXP(-LN(2)/2))/(LN(2)/2)*V122*Y122*VLOOKUP('Données projet'!$B$9,Paramètres!$A$1:$I$89,3,0)*0.475*44/12</f>
        <v>1.3304696835949873E-8</v>
      </c>
      <c r="AC122" s="22">
        <f t="shared" si="57"/>
        <v>54.471846171605009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-1.3596945791505279E-13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323.20040177531774</v>
      </c>
      <c r="T123" s="59">
        <f t="shared" si="88"/>
        <v>402.87981443974337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45.848738149501536</v>
      </c>
      <c r="AA123" s="21">
        <f>EXP(-LN(2)/25)*AA122+(1-EXP(-LN(2)/25))/(LN(2)/25)*Calculateur!V123*Calculateur!X123*VLOOKUP('Données projet'!$B$9,Paramètres!$A$1:$I$89,3,0)*0.475*44/12</f>
        <v>7.4953368548125772</v>
      </c>
      <c r="AB123" s="21">
        <f>EXP(-LN(2)/2)*AB122+(1-EXP(-LN(2)/2))/(LN(2)/2)*V123*Y123*VLOOKUP('Données projet'!$B$9,Paramètres!$A$1:$I$89,3,0)*0.475*44/12</f>
        <v>9.4078413543313581E-9</v>
      </c>
      <c r="AC123" s="22">
        <f t="shared" si="57"/>
        <v>53.344075013721955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-1.3596945791505279E-13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323.20040177531774</v>
      </c>
      <c r="T124" s="59">
        <f t="shared" si="88"/>
        <v>402.87981443974337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44.949672359358772</v>
      </c>
      <c r="AA124" s="21">
        <f>EXP(-LN(2)/25)*AA123+(1-EXP(-LN(2)/25))/(LN(2)/25)*Calculateur!V124*Calculateur!X124*VLOOKUP('Données projet'!$B$9,Paramètres!$A$1:$I$89,3,0)*0.475*44/12</f>
        <v>7.2903764743550932</v>
      </c>
      <c r="AB124" s="21">
        <f>EXP(-LN(2)/2)*AB123+(1-EXP(-LN(2)/2))/(LN(2)/2)*V124*Y124*VLOOKUP('Données projet'!$B$9,Paramètres!$A$1:$I$89,3,0)*0.475*44/12</f>
        <v>6.6523484179749366E-9</v>
      </c>
      <c r="AC124" s="22">
        <f t="shared" si="57"/>
        <v>52.240048840366214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-1.3596945791505279E-13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323.20040177531774</v>
      </c>
      <c r="T125" s="59">
        <f t="shared" si="88"/>
        <v>402.87981443974337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44.06823670098472</v>
      </c>
      <c r="AA125" s="21">
        <f>EXP(-LN(2)/25)*AA124+(1-EXP(-LN(2)/25))/(LN(2)/25)*Calculateur!V125*Calculateur!X125*VLOOKUP('Données projet'!$B$9,Paramètres!$A$1:$I$89,3,0)*0.475*44/12</f>
        <v>7.0910207462796171</v>
      </c>
      <c r="AB125" s="21">
        <f>EXP(-LN(2)/2)*AB124+(1-EXP(-LN(2)/2))/(LN(2)/2)*V125*Y125*VLOOKUP('Données projet'!$B$9,Paramètres!$A$1:$I$89,3,0)*0.475*44/12</f>
        <v>4.703920677165679E-9</v>
      </c>
      <c r="AC125" s="22">
        <f t="shared" si="57"/>
        <v>51.159257451968259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-1.3596945791505279E-13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323.20040177531774</v>
      </c>
      <c r="T126" s="59">
        <f t="shared" si="88"/>
        <v>402.87981443974337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43.20408545824872</v>
      </c>
      <c r="AA126" s="21">
        <f>EXP(-LN(2)/25)*AA125+(1-EXP(-LN(2)/25))/(LN(2)/25)*Calculateur!V126*Calculateur!X126*VLOOKUP('Données projet'!$B$9,Paramètres!$A$1:$I$89,3,0)*0.475*44/12</f>
        <v>6.8971164110720267</v>
      </c>
      <c r="AB126" s="21">
        <f>EXP(-LN(2)/2)*AB125+(1-EXP(-LN(2)/2))/(LN(2)/2)*V126*Y126*VLOOKUP('Données projet'!$B$9,Paramètres!$A$1:$I$89,3,0)*0.475*44/12</f>
        <v>3.3261742089874683E-9</v>
      </c>
      <c r="AC126" s="22">
        <f t="shared" si="57"/>
        <v>50.101201872646918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-1.3596945791505279E-13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323.20040177531774</v>
      </c>
      <c r="T127" s="59">
        <f t="shared" si="88"/>
        <v>402.87981443974337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42.356879694302556</v>
      </c>
      <c r="AA127" s="21">
        <f>EXP(-LN(2)/25)*AA126+(1-EXP(-LN(2)/25))/(LN(2)/25)*Calculateur!V127*Calculateur!X127*VLOOKUP('Données projet'!$B$9,Paramètres!$A$1:$I$89,3,0)*0.475*44/12</f>
        <v>6.7085144001076733</v>
      </c>
      <c r="AB127" s="21">
        <f>EXP(-LN(2)/2)*AB126+(1-EXP(-LN(2)/2))/(LN(2)/2)*V127*Y127*VLOOKUP('Données projet'!$B$9,Paramètres!$A$1:$I$89,3,0)*0.475*44/12</f>
        <v>2.3519603385828395E-9</v>
      </c>
      <c r="AC127" s="22">
        <f t="shared" si="57"/>
        <v>49.065394096762191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-1.3596945791505279E-13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323.20040177531774</v>
      </c>
      <c r="T128" s="59">
        <f t="shared" si="88"/>
        <v>402.87981443974337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41.526287118642891</v>
      </c>
      <c r="AA128" s="21">
        <f>EXP(-LN(2)/25)*AA127+(1-EXP(-LN(2)/25))/(LN(2)/25)*Calculateur!V128*Calculateur!X128*VLOOKUP('Données projet'!$B$9,Paramètres!$A$1:$I$89,3,0)*0.475*44/12</f>
        <v>6.5250697210512891</v>
      </c>
      <c r="AB128" s="21">
        <f>EXP(-LN(2)/2)*AB127+(1-EXP(-LN(2)/2))/(LN(2)/2)*V128*Y128*VLOOKUP('Données projet'!$B$9,Paramètres!$A$1:$I$89,3,0)*0.475*44/12</f>
        <v>1.6630871044937342E-9</v>
      </c>
      <c r="AC128" s="22">
        <f t="shared" si="57"/>
        <v>48.051356841357268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-1.3596945791505279E-13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323.20040177531774</v>
      </c>
      <c r="T129" s="59">
        <f t="shared" si="88"/>
        <v>402.87981443974337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40.711981956780463</v>
      </c>
      <c r="AA129" s="21">
        <f>EXP(-LN(2)/25)*AA128+(1-EXP(-LN(2)/25))/(LN(2)/25)*Calculateur!V129*Calculateur!X129*VLOOKUP('Données projet'!$B$9,Paramètres!$A$1:$I$89,3,0)*0.475*44/12</f>
        <v>6.3466413463906379</v>
      </c>
      <c r="AB129" s="21">
        <f>EXP(-LN(2)/2)*AB128+(1-EXP(-LN(2)/2))/(LN(2)/2)*V129*Y129*VLOOKUP('Données projet'!$B$9,Paramètres!$A$1:$I$89,3,0)*0.475*44/12</f>
        <v>1.1759801692914198E-9</v>
      </c>
      <c r="AC129" s="22">
        <f t="shared" si="57"/>
        <v>47.05862330434708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-1.3596945791505279E-13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323.20040177531774</v>
      </c>
      <c r="T130" s="59">
        <f t="shared" si="88"/>
        <v>402.87981443974337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39.913644822465052</v>
      </c>
      <c r="AA130" s="21">
        <f>EXP(-LN(2)/25)*AA129+(1-EXP(-LN(2)/25))/(LN(2)/25)*Calculateur!V130*Calculateur!X130*VLOOKUP('Données projet'!$B$9,Paramètres!$A$1:$I$89,3,0)*0.475*44/12</f>
        <v>6.173092105018223</v>
      </c>
      <c r="AB130" s="21">
        <f>EXP(-LN(2)/2)*AB129+(1-EXP(-LN(2)/2))/(LN(2)/2)*V130*Y130*VLOOKUP('Données projet'!$B$9,Paramètres!$A$1:$I$89,3,0)*0.475*44/12</f>
        <v>8.3154355224686708E-10</v>
      </c>
      <c r="AC130" s="22">
        <f t="shared" si="57"/>
        <v>46.086736928314814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-1.3596945791505279E-13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323.20040177531774</v>
      </c>
      <c r="T131" s="59">
        <f t="shared" si="88"/>
        <v>402.87981443974337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39.13096259241599</v>
      </c>
      <c r="AA131" s="21">
        <f>EXP(-LN(2)/25)*AA130+(1-EXP(-LN(2)/25))/(LN(2)/25)*Calculateur!V131*Calculateur!X131*VLOOKUP('Données projet'!$B$9,Paramètres!$A$1:$I$89,3,0)*0.475*44/12</f>
        <v>6.0042885767776948</v>
      </c>
      <c r="AB131" s="21">
        <f>EXP(-LN(2)/2)*AB130+(1-EXP(-LN(2)/2))/(LN(2)/2)*V131*Y131*VLOOKUP('Données projet'!$B$9,Paramètres!$A$1:$I$89,3,0)*0.475*44/12</f>
        <v>5.8799008464570988E-10</v>
      </c>
      <c r="AC131" s="22">
        <f t="shared" si="57"/>
        <v>45.135251169781675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-1.3596945791505279E-13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323.20040177531774</v>
      </c>
      <c r="T132" s="59">
        <f t="shared" si="88"/>
        <v>402.87981443974337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38.363628283509172</v>
      </c>
      <c r="AA132" s="21">
        <f>EXP(-LN(2)/25)*AA131+(1-EXP(-LN(2)/25))/(LN(2)/25)*Calculateur!V132*Calculateur!X132*VLOOKUP('Données projet'!$B$9,Paramètres!$A$1:$I$89,3,0)*0.475*44/12</f>
        <v>5.8401009898938954</v>
      </c>
      <c r="AB132" s="21">
        <f>EXP(-LN(2)/2)*AB131+(1-EXP(-LN(2)/2))/(LN(2)/2)*V132*Y132*VLOOKUP('Données projet'!$B$9,Paramètres!$A$1:$I$89,3,0)*0.475*44/12</f>
        <v>4.1577177612343354E-10</v>
      </c>
      <c r="AC132" s="22">
        <f t="shared" ref="AC132:AC153" si="111">SUM(Z132:AB132)</f>
        <v>44.203729273818844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-1.3596945791505279E-13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323.20040177531774</v>
      </c>
      <c r="T133" s="59">
        <f t="shared" ref="T133:T196" si="142">$T$3</f>
        <v>402.87981443974337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37.6113409323723</v>
      </c>
      <c r="AA133" s="21">
        <f>EXP(-LN(2)/25)*AA132+(1-EXP(-LN(2)/25))/(LN(2)/25)*Calculateur!V133*Calculateur!X133*VLOOKUP('Données projet'!$B$9,Paramètres!$A$1:$I$89,3,0)*0.475*44/12</f>
        <v>5.6804031212076831</v>
      </c>
      <c r="AB133" s="21">
        <f>EXP(-LN(2)/2)*AB132+(1-EXP(-LN(2)/2))/(LN(2)/2)*V133*Y133*VLOOKUP('Données projet'!$B$9,Paramètres!$A$1:$I$89,3,0)*0.475*44/12</f>
        <v>2.9399504232285494E-10</v>
      </c>
      <c r="AC133" s="22">
        <f t="shared" si="111"/>
        <v>43.291744053873977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-1.3596945791505279E-13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323.20040177531774</v>
      </c>
      <c r="T134" s="59">
        <f t="shared" si="142"/>
        <v>402.87981443974337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36.87380547734125</v>
      </c>
      <c r="AA134" s="21">
        <f>EXP(-LN(2)/25)*AA133+(1-EXP(-LN(2)/25))/(LN(2)/25)*Calculateur!V134*Calculateur!X134*VLOOKUP('Données projet'!$B$9,Paramètres!$A$1:$I$89,3,0)*0.475*44/12</f>
        <v>5.5250721991388412</v>
      </c>
      <c r="AB134" s="21">
        <f>EXP(-LN(2)/2)*AB133+(1-EXP(-LN(2)/2))/(LN(2)/2)*V134*Y134*VLOOKUP('Données projet'!$B$9,Paramètres!$A$1:$I$89,3,0)*0.475*44/12</f>
        <v>2.0788588806171677E-10</v>
      </c>
      <c r="AC134" s="22">
        <f t="shared" si="111"/>
        <v>42.398877676687974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-1.3596945791505279E-13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323.20040177531774</v>
      </c>
      <c r="T135" s="59">
        <f t="shared" si="142"/>
        <v>402.87981443974337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36.15073264273115</v>
      </c>
      <c r="AA135" s="21">
        <f>EXP(-LN(2)/25)*AA134+(1-EXP(-LN(2)/25))/(LN(2)/25)*Calculateur!V135*Calculateur!X135*VLOOKUP('Données projet'!$B$9,Paramètres!$A$1:$I$89,3,0)*0.475*44/12</f>
        <v>5.3739888093024701</v>
      </c>
      <c r="AB135" s="21">
        <f>EXP(-LN(2)/2)*AB134+(1-EXP(-LN(2)/2))/(LN(2)/2)*V135*Y135*VLOOKUP('Données projet'!$B$9,Paramètres!$A$1:$I$89,3,0)*0.475*44/12</f>
        <v>1.4699752116142747E-10</v>
      </c>
      <c r="AC135" s="22">
        <f t="shared" si="111"/>
        <v>41.524721452180614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-1.3596945791505279E-13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323.20040177531774</v>
      </c>
      <c r="T136" s="59">
        <f t="shared" si="142"/>
        <v>402.87981443974337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35.44183882537687</v>
      </c>
      <c r="AA136" s="21">
        <f>EXP(-LN(2)/25)*AA135+(1-EXP(-LN(2)/25))/(LN(2)/25)*Calculateur!V136*Calculateur!X136*VLOOKUP('Données projet'!$B$9,Paramètres!$A$1:$I$89,3,0)*0.475*44/12</f>
        <v>5.227036802706305</v>
      </c>
      <c r="AB136" s="21">
        <f>EXP(-LN(2)/2)*AB135+(1-EXP(-LN(2)/2))/(LN(2)/2)*V136*Y136*VLOOKUP('Données projet'!$B$9,Paramètres!$A$1:$I$89,3,0)*0.475*44/12</f>
        <v>1.0394294403085838E-10</v>
      </c>
      <c r="AC136" s="22">
        <f t="shared" si="111"/>
        <v>40.668875628187116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-1.3596945791505279E-13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323.20040177531774</v>
      </c>
      <c r="T137" s="59">
        <f t="shared" si="142"/>
        <v>402.87981443974337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34.746845983398373</v>
      </c>
      <c r="AA137" s="21">
        <f>EXP(-LN(2)/25)*AA136+(1-EXP(-LN(2)/25))/(LN(2)/25)*Calculateur!V137*Calculateur!X137*VLOOKUP('Données projet'!$B$9,Paramètres!$A$1:$I$89,3,0)*0.475*44/12</f>
        <v>5.0841032064583818</v>
      </c>
      <c r="AB137" s="21">
        <f>EXP(-LN(2)/2)*AB136+(1-EXP(-LN(2)/2))/(LN(2)/2)*V137*Y137*VLOOKUP('Données projet'!$B$9,Paramètres!$A$1:$I$89,3,0)*0.475*44/12</f>
        <v>7.3498760580713735E-11</v>
      </c>
      <c r="AC137" s="22">
        <f t="shared" si="111"/>
        <v>39.830949189930251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-1.3596945791505279E-13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323.20040177531774</v>
      </c>
      <c r="T138" s="59">
        <f t="shared" si="142"/>
        <v>402.87981443974337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34.065481527147298</v>
      </c>
      <c r="AA138" s="21">
        <f>EXP(-LN(2)/25)*AA137+(1-EXP(-LN(2)/25))/(LN(2)/25)*Calculateur!V138*Calculateur!X138*VLOOKUP('Données projet'!$B$9,Paramètres!$A$1:$I$89,3,0)*0.475*44/12</f>
        <v>4.9450781369164094</v>
      </c>
      <c r="AB138" s="21">
        <f>EXP(-LN(2)/2)*AB137+(1-EXP(-LN(2)/2))/(LN(2)/2)*V138*Y138*VLOOKUP('Données projet'!$B$9,Paramètres!$A$1:$I$89,3,0)*0.475*44/12</f>
        <v>5.1971472015429192E-11</v>
      </c>
      <c r="AC138" s="22">
        <f t="shared" si="111"/>
        <v>39.010559664115675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-1.3596945791505279E-13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323.20040177531774</v>
      </c>
      <c r="T139" s="59">
        <f t="shared" si="142"/>
        <v>402.87981443974337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33.397478212292022</v>
      </c>
      <c r="AA139" s="21">
        <f>EXP(-LN(2)/25)*AA138+(1-EXP(-LN(2)/25))/(LN(2)/25)*Calculateur!V139*Calculateur!X139*VLOOKUP('Données projet'!$B$9,Paramètres!$A$1:$I$89,3,0)*0.475*44/12</f>
        <v>4.8098547152120732</v>
      </c>
      <c r="AB139" s="21">
        <f>EXP(-LN(2)/2)*AB138+(1-EXP(-LN(2)/2))/(LN(2)/2)*V139*Y139*VLOOKUP('Données projet'!$B$9,Paramètres!$A$1:$I$89,3,0)*0.475*44/12</f>
        <v>3.6749380290356867E-11</v>
      </c>
      <c r="AC139" s="22">
        <f t="shared" si="111"/>
        <v>38.207332927540847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-1.3596945791505279E-13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323.20040177531774</v>
      </c>
      <c r="T140" s="59">
        <f t="shared" si="142"/>
        <v>402.87981443974337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32.742574034999272</v>
      </c>
      <c r="AA140" s="21">
        <f>EXP(-LN(2)/25)*AA139+(1-EXP(-LN(2)/25))/(LN(2)/25)*Calculateur!V140*Calculateur!X140*VLOOKUP('Données projet'!$B$9,Paramètres!$A$1:$I$89,3,0)*0.475*44/12</f>
        <v>4.6783289850853329</v>
      </c>
      <c r="AB140" s="21">
        <f>EXP(-LN(2)/2)*AB139+(1-EXP(-LN(2)/2))/(LN(2)/2)*V140*Y140*VLOOKUP('Données projet'!$B$9,Paramètres!$A$1:$I$89,3,0)*0.475*44/12</f>
        <v>2.5985736007714596E-11</v>
      </c>
      <c r="AC140" s="22">
        <f t="shared" si="111"/>
        <v>37.420903020110593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-1.3596945791505279E-13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323.20040177531774</v>
      </c>
      <c r="T141" s="59">
        <f t="shared" si="142"/>
        <v>402.87981443974337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32.100512129171129</v>
      </c>
      <c r="AA141" s="21">
        <f>EXP(-LN(2)/25)*AA140+(1-EXP(-LN(2)/25))/(LN(2)/25)*Calculateur!V141*Calculateur!X141*VLOOKUP('Données projet'!$B$9,Paramètres!$A$1:$I$89,3,0)*0.475*44/12</f>
        <v>4.550399832965546</v>
      </c>
      <c r="AB141" s="21">
        <f>EXP(-LN(2)/2)*AB140+(1-EXP(-LN(2)/2))/(LN(2)/2)*V141*Y141*VLOOKUP('Données projet'!$B$9,Paramètres!$A$1:$I$89,3,0)*0.475*44/12</f>
        <v>1.8374690145178434E-11</v>
      </c>
      <c r="AC141" s="22">
        <f t="shared" si="111"/>
        <v>36.65091196215505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-1.3596945791505279E-13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323.20040177531774</v>
      </c>
      <c r="T142" s="59">
        <f t="shared" si="142"/>
        <v>402.87981443974337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31.471040665697178</v>
      </c>
      <c r="AA142" s="21">
        <f>EXP(-LN(2)/25)*AA141+(1-EXP(-LN(2)/25))/(LN(2)/25)*Calculateur!V142*Calculateur!X142*VLOOKUP('Données projet'!$B$9,Paramètres!$A$1:$I$89,3,0)*0.475*44/12</f>
        <v>4.4259689102379758</v>
      </c>
      <c r="AB142" s="21">
        <f>EXP(-LN(2)/2)*AB141+(1-EXP(-LN(2)/2))/(LN(2)/2)*V142*Y142*VLOOKUP('Données projet'!$B$9,Paramètres!$A$1:$I$89,3,0)*0.475*44/12</f>
        <v>1.2992868003857298E-11</v>
      </c>
      <c r="AC142" s="22">
        <f t="shared" si="111"/>
        <v>35.897009575948147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-1.3596945791505279E-13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323.20040177531774</v>
      </c>
      <c r="T143" s="59">
        <f t="shared" si="142"/>
        <v>402.87981443974337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30.85391275368227</v>
      </c>
      <c r="AA143" s="21">
        <f>EXP(-LN(2)/25)*AA142+(1-EXP(-LN(2)/25))/(LN(2)/25)*Calculateur!V143*Calculateur!X143*VLOOKUP('Données projet'!$B$9,Paramètres!$A$1:$I$89,3,0)*0.475*44/12</f>
        <v>4.3049405576359288</v>
      </c>
      <c r="AB143" s="21">
        <f>EXP(-LN(2)/2)*AB142+(1-EXP(-LN(2)/2))/(LN(2)/2)*V143*Y143*VLOOKUP('Données projet'!$B$9,Paramètres!$A$1:$I$89,3,0)*0.475*44/12</f>
        <v>9.1873450725892168E-12</v>
      </c>
      <c r="AC143" s="22">
        <f t="shared" si="111"/>
        <v>35.158853311327384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-1.3596945791505279E-13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323.20040177531774</v>
      </c>
      <c r="T144" s="59">
        <f t="shared" si="142"/>
        <v>402.87981443974337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30.248886343611115</v>
      </c>
      <c r="AA144" s="21">
        <f>EXP(-LN(2)/25)*AA143+(1-EXP(-LN(2)/25))/(LN(2)/25)*Calculateur!V144*Calculateur!X144*VLOOKUP('Données projet'!$B$9,Paramètres!$A$1:$I$89,3,0)*0.475*44/12</f>
        <v>4.1872217317003892</v>
      </c>
      <c r="AB144" s="21">
        <f>EXP(-LN(2)/2)*AB143+(1-EXP(-LN(2)/2))/(LN(2)/2)*V144*Y144*VLOOKUP('Données projet'!$B$9,Paramètres!$A$1:$I$89,3,0)*0.475*44/12</f>
        <v>6.496434001928649E-12</v>
      </c>
      <c r="AC144" s="22">
        <f t="shared" si="111"/>
        <v>34.436108075317996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-1.3596945791505279E-13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323.20040177531774</v>
      </c>
      <c r="T145" s="59">
        <f t="shared" si="142"/>
        <v>402.87981443974337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29.655724132411784</v>
      </c>
      <c r="AA145" s="21">
        <f>EXP(-LN(2)/25)*AA144+(1-EXP(-LN(2)/25))/(LN(2)/25)*Calculateur!V145*Calculateur!X145*VLOOKUP('Données projet'!$B$9,Paramètres!$A$1:$I$89,3,0)*0.475*44/12</f>
        <v>4.0727219332506213</v>
      </c>
      <c r="AB145" s="21">
        <f>EXP(-LN(2)/2)*AB144+(1-EXP(-LN(2)/2))/(LN(2)/2)*V145*Y145*VLOOKUP('Données projet'!$B$9,Paramètres!$A$1:$I$89,3,0)*0.475*44/12</f>
        <v>4.5936725362946084E-12</v>
      </c>
      <c r="AC145" s="22">
        <f t="shared" si="111"/>
        <v>33.728446065667001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-1.3596945791505279E-13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323.20040177531774</v>
      </c>
      <c r="T146" s="59">
        <f t="shared" si="142"/>
        <v>402.87981443974337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29.074193470380848</v>
      </c>
      <c r="AA146" s="21">
        <f>EXP(-LN(2)/25)*AA145+(1-EXP(-LN(2)/25))/(LN(2)/25)*Calculateur!V146*Calculateur!X146*VLOOKUP('Données projet'!$B$9,Paramètres!$A$1:$I$89,3,0)*0.475*44/12</f>
        <v>3.9613531378107449</v>
      </c>
      <c r="AB146" s="21">
        <f>EXP(-LN(2)/2)*AB145+(1-EXP(-LN(2)/2))/(LN(2)/2)*V146*Y146*VLOOKUP('Données projet'!$B$9,Paramètres!$A$1:$I$89,3,0)*0.475*44/12</f>
        <v>3.2482170009643245E-12</v>
      </c>
      <c r="AC146" s="22">
        <f t="shared" si="111"/>
        <v>33.035546608194842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-1.3596945791505279E-13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323.20040177531774</v>
      </c>
      <c r="T147" s="59">
        <f t="shared" si="142"/>
        <v>402.87981443974337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28.504066269933659</v>
      </c>
      <c r="AA147" s="21">
        <f>EXP(-LN(2)/25)*AA146+(1-EXP(-LN(2)/25))/(LN(2)/25)*Calculateur!V147*Calculateur!X147*VLOOKUP('Données projet'!$B$9,Paramètres!$A$1:$I$89,3,0)*0.475*44/12</f>
        <v>3.8530297279388024</v>
      </c>
      <c r="AB147" s="21">
        <f>EXP(-LN(2)/2)*AB146+(1-EXP(-LN(2)/2))/(LN(2)/2)*V147*Y147*VLOOKUP('Données projet'!$B$9,Paramètres!$A$1:$I$89,3,0)*0.475*44/12</f>
        <v>2.2968362681473042E-12</v>
      </c>
      <c r="AC147" s="22">
        <f t="shared" si="111"/>
        <v>32.357095997874758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-1.3596945791505279E-13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323.20040177531774</v>
      </c>
      <c r="T148" s="59">
        <f t="shared" si="142"/>
        <v>402.87981443974337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27.945118916143983</v>
      </c>
      <c r="AA148" s="21">
        <f>EXP(-LN(2)/25)*AA147+(1-EXP(-LN(2)/25))/(LN(2)/25)*Calculateur!V148*Calculateur!X148*VLOOKUP('Données projet'!$B$9,Paramètres!$A$1:$I$89,3,0)*0.475*44/12</f>
        <v>3.7476684274062886</v>
      </c>
      <c r="AB148" s="21">
        <f>EXP(-LN(2)/2)*AB147+(1-EXP(-LN(2)/2))/(LN(2)/2)*V148*Y148*VLOOKUP('Données projet'!$B$9,Paramètres!$A$1:$I$89,3,0)*0.475*44/12</f>
        <v>1.6241085004821623E-12</v>
      </c>
      <c r="AC148" s="22">
        <f t="shared" si="111"/>
        <v>31.692787343551895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-1.3596945791505279E-13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323.20040177531774</v>
      </c>
      <c r="T149" s="59">
        <f t="shared" si="142"/>
        <v>402.87981443974337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27.3971321790379</v>
      </c>
      <c r="AA149" s="21">
        <f>EXP(-LN(2)/25)*AA148+(1-EXP(-LN(2)/25))/(LN(2)/25)*Calculateur!V149*Calculateur!X149*VLOOKUP('Données projet'!$B$9,Paramètres!$A$1:$I$89,3,0)*0.475*44/12</f>
        <v>3.6451882371775466</v>
      </c>
      <c r="AB149" s="21">
        <f>EXP(-LN(2)/2)*AB148+(1-EXP(-LN(2)/2))/(LN(2)/2)*V149*Y149*VLOOKUP('Données projet'!$B$9,Paramètres!$A$1:$I$89,3,0)*0.475*44/12</f>
        <v>1.1484181340736521E-12</v>
      </c>
      <c r="AC149" s="22">
        <f t="shared" si="111"/>
        <v>31.042320416216594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-1.3596945791505279E-13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323.20040177531774</v>
      </c>
      <c r="T150" s="59">
        <f t="shared" si="142"/>
        <v>402.87981443974337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26.859891127607561</v>
      </c>
      <c r="AA150" s="21">
        <f>EXP(-LN(2)/25)*AA149+(1-EXP(-LN(2)/25))/(LN(2)/25)*Calculateur!V150*Calculateur!X150*VLOOKUP('Données projet'!$B$9,Paramètres!$A$1:$I$89,3,0)*0.475*44/12</f>
        <v>3.5455103731398085</v>
      </c>
      <c r="AB150" s="21">
        <f>EXP(-LN(2)/2)*AB149+(1-EXP(-LN(2)/2))/(LN(2)/2)*V150*Y150*VLOOKUP('Données projet'!$B$9,Paramètres!$A$1:$I$89,3,0)*0.475*44/12</f>
        <v>8.1205425024108113E-13</v>
      </c>
      <c r="AC150" s="22">
        <f t="shared" si="111"/>
        <v>30.405401500748184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-1.3596945791505279E-13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323.20040177531774</v>
      </c>
      <c r="T151" s="59">
        <f t="shared" si="142"/>
        <v>402.87981443974337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26.333185045511087</v>
      </c>
      <c r="AA151" s="21">
        <f>EXP(-LN(2)/25)*AA150+(1-EXP(-LN(2)/25))/(LN(2)/25)*Calculateur!V151*Calculateur!X151*VLOOKUP('Données projet'!$B$9,Paramètres!$A$1:$I$89,3,0)*0.475*44/12</f>
        <v>3.4485582055360133</v>
      </c>
      <c r="AB151" s="21">
        <f>EXP(-LN(2)/2)*AB150+(1-EXP(-LN(2)/2))/(LN(2)/2)*V151*Y151*VLOOKUP('Données projet'!$B$9,Paramètres!$A$1:$I$89,3,0)*0.475*44/12</f>
        <v>5.7420906703682605E-13</v>
      </c>
      <c r="AC151" s="22">
        <f t="shared" si="111"/>
        <v>29.781743251047676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-1.3596945791505279E-13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323.20040177531774</v>
      </c>
      <c r="T152" s="59">
        <f t="shared" si="142"/>
        <v>402.87981443974337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25.816807348425534</v>
      </c>
      <c r="AA152" s="21">
        <f>EXP(-LN(2)/25)*AA151+(1-EXP(-LN(2)/25))/(LN(2)/25)*Calculateur!V152*Calculateur!X152*VLOOKUP('Données projet'!$B$9,Paramètres!$A$1:$I$89,3,0)*0.475*44/12</f>
        <v>3.3542572000538367</v>
      </c>
      <c r="AB152" s="21">
        <f>EXP(-LN(2)/2)*AB151+(1-EXP(-LN(2)/2))/(LN(2)/2)*V152*Y152*VLOOKUP('Données projet'!$B$9,Paramètres!$A$1:$I$89,3,0)*0.475*44/12</f>
        <v>4.0602712512054057E-13</v>
      </c>
      <c r="AC152" s="22">
        <f t="shared" si="111"/>
        <v>29.171064548479777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-1.3596945791505279E-13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323.20040177531774</v>
      </c>
      <c r="T153" s="59">
        <f t="shared" si="142"/>
        <v>402.87981443974337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25.310555503020534</v>
      </c>
      <c r="AA153" s="21">
        <f>EXP(-LN(2)/25)*AA152+(1-EXP(-LN(2)/25))/(LN(2)/25)*Calculateur!V153*Calculateur!X153*VLOOKUP('Données projet'!$B$9,Paramètres!$A$1:$I$89,3,0)*0.475*44/12</f>
        <v>3.2625348605256446</v>
      </c>
      <c r="AB153" s="21">
        <f>EXP(-LN(2)/2)*AB152+(1-EXP(-LN(2)/2))/(LN(2)/2)*V153*Y153*VLOOKUP('Données projet'!$B$9,Paramètres!$A$1:$I$89,3,0)*0.475*44/12</f>
        <v>2.8710453351841303E-13</v>
      </c>
      <c r="AC153" s="22">
        <f t="shared" si="111"/>
        <v>28.573090363546466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-1.3596945791505279E-13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323.20040177531774</v>
      </c>
      <c r="T154" s="59">
        <f t="shared" si="142"/>
        <v>402.87981443974337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24.814230947520791</v>
      </c>
      <c r="AA154" s="21">
        <f>EXP(-LN(2)/25)*AA153+(1-EXP(-LN(2)/25))/(LN(2)/25)*Calculateur!V154*Calculateur!X154*VLOOKUP('Données projet'!$B$9,Paramètres!$A$1:$I$89,3,0)*0.475*44/12</f>
        <v>3.173320673195319</v>
      </c>
      <c r="AB154" s="21">
        <f>EXP(-LN(2)/2)*AB153+(1-EXP(-LN(2)/2))/(LN(2)/2)*V154*Y154*VLOOKUP('Données projet'!$B$9,Paramètres!$A$1:$I$89,3,0)*0.475*44/12</f>
        <v>2.0301356256027028E-13</v>
      </c>
      <c r="AC154" s="22">
        <f t="shared" ref="AC154:AC203" si="163">SUM(Z154:AB154)</f>
        <v>27.987551620716314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-1.3596945791505279E-13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323.20040177531774</v>
      </c>
      <c r="T155" s="59">
        <f t="shared" si="142"/>
        <v>402.87981443974337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24.32763901382631</v>
      </c>
      <c r="AA155" s="21">
        <f>EXP(-LN(2)/25)*AA154+(1-EXP(-LN(2)/25))/(LN(2)/25)*Calculateur!V155*Calculateur!X155*VLOOKUP('Données projet'!$B$9,Paramètres!$A$1:$I$89,3,0)*0.475*44/12</f>
        <v>3.0865460525091115</v>
      </c>
      <c r="AB155" s="21">
        <f>EXP(-LN(2)/2)*AB154+(1-EXP(-LN(2)/2))/(LN(2)/2)*V155*Y155*VLOOKUP('Données projet'!$B$9,Paramètres!$A$1:$I$89,3,0)*0.475*44/12</f>
        <v>1.4355226675920651E-13</v>
      </c>
      <c r="AC155" s="22">
        <f t="shared" si="163"/>
        <v>27.414185066335563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-1.3596945791505279E-13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323.20040177531774</v>
      </c>
      <c r="T156" s="59">
        <f t="shared" si="142"/>
        <v>402.87981443974337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23.850588851159806</v>
      </c>
      <c r="AA156" s="21">
        <f>EXP(-LN(2)/25)*AA155+(1-EXP(-LN(2)/25))/(LN(2)/25)*Calculateur!V156*Calculateur!X156*VLOOKUP('Données projet'!$B$9,Paramètres!$A$1:$I$89,3,0)*0.475*44/12</f>
        <v>3.0021442883888474</v>
      </c>
      <c r="AB156" s="21">
        <f>EXP(-LN(2)/2)*AB155+(1-EXP(-LN(2)/2))/(LN(2)/2)*V156*Y156*VLOOKUP('Données projet'!$B$9,Paramètres!$A$1:$I$89,3,0)*0.475*44/12</f>
        <v>1.0150678128013514E-13</v>
      </c>
      <c r="AC156" s="22">
        <f t="shared" si="163"/>
        <v>26.852733139548757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-1.3596945791505279E-13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323.20040177531774</v>
      </c>
      <c r="T157" s="59">
        <f t="shared" si="142"/>
        <v>402.87981443974337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23.382893351211322</v>
      </c>
      <c r="AA157" s="21">
        <f>EXP(-LN(2)/25)*AA156+(1-EXP(-LN(2)/25))/(LN(2)/25)*Calculateur!V157*Calculateur!X157*VLOOKUP('Données projet'!$B$9,Paramètres!$A$1:$I$89,3,0)*0.475*44/12</f>
        <v>2.9200504949469477</v>
      </c>
      <c r="AB157" s="21">
        <f>EXP(-LN(2)/2)*AB156+(1-EXP(-LN(2)/2))/(LN(2)/2)*V157*Y157*VLOOKUP('Données projet'!$B$9,Paramètres!$A$1:$I$89,3,0)*0.475*44/12</f>
        <v>7.1776133379603257E-14</v>
      </c>
      <c r="AC157" s="22">
        <f t="shared" si="163"/>
        <v>26.302943846158342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-1.3596945791505279E-13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323.20040177531774</v>
      </c>
      <c r="T158" s="59">
        <f t="shared" si="142"/>
        <v>402.87981443974337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22.924369074750743</v>
      </c>
      <c r="AA158" s="21">
        <f>EXP(-LN(2)/25)*AA157+(1-EXP(-LN(2)/25))/(LN(2)/25)*Calculateur!V158*Calculateur!X158*VLOOKUP('Données projet'!$B$9,Paramètres!$A$1:$I$89,3,0)*0.475*44/12</f>
        <v>2.8402015606038415</v>
      </c>
      <c r="AB158" s="21">
        <f>EXP(-LN(2)/2)*AB157+(1-EXP(-LN(2)/2))/(LN(2)/2)*V158*Y158*VLOOKUP('Données projet'!$B$9,Paramètres!$A$1:$I$89,3,0)*0.475*44/12</f>
        <v>5.0753390640067571E-14</v>
      </c>
      <c r="AC158" s="22">
        <f t="shared" si="163"/>
        <v>25.764570635354634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-1.3596945791505279E-13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323.20040177531774</v>
      </c>
      <c r="T159" s="59">
        <f t="shared" si="142"/>
        <v>402.87981443974337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22.474836179679361</v>
      </c>
      <c r="AA159" s="21">
        <f>EXP(-LN(2)/25)*AA158+(1-EXP(-LN(2)/25))/(LN(2)/25)*Calculateur!V159*Calculateur!X159*VLOOKUP('Données projet'!$B$9,Paramètres!$A$1:$I$89,3,0)*0.475*44/12</f>
        <v>2.7625360995694206</v>
      </c>
      <c r="AB159" s="21">
        <f>EXP(-LN(2)/2)*AB158+(1-EXP(-LN(2)/2))/(LN(2)/2)*V159*Y159*VLOOKUP('Données projet'!$B$9,Paramètres!$A$1:$I$89,3,0)*0.475*44/12</f>
        <v>3.5888066689801628E-14</v>
      </c>
      <c r="AC159" s="22">
        <f t="shared" si="163"/>
        <v>25.237372279248817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-1.3596945791505279E-13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323.20040177531774</v>
      </c>
      <c r="T160" s="59">
        <f t="shared" si="142"/>
        <v>402.87981443974337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22.034118350492335</v>
      </c>
      <c r="AA160" s="21">
        <f>EXP(-LN(2)/25)*AA159+(1-EXP(-LN(2)/25))/(LN(2)/25)*Calculateur!V160*Calculateur!X160*VLOOKUP('Données projet'!$B$9,Paramètres!$A$1:$I$89,3,0)*0.475*44/12</f>
        <v>2.6869944046512351</v>
      </c>
      <c r="AB160" s="21">
        <f>EXP(-LN(2)/2)*AB159+(1-EXP(-LN(2)/2))/(LN(2)/2)*V160*Y160*VLOOKUP('Données projet'!$B$9,Paramètres!$A$1:$I$89,3,0)*0.475*44/12</f>
        <v>2.5376695320033785E-14</v>
      </c>
      <c r="AC160" s="22">
        <f t="shared" si="163"/>
        <v>24.721112755143594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-1.3596945791505279E-13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323.20040177531774</v>
      </c>
      <c r="T161" s="59">
        <f t="shared" si="142"/>
        <v>402.87981443974337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21.602042729124335</v>
      </c>
      <c r="AA161" s="21">
        <f>EXP(-LN(2)/25)*AA160+(1-EXP(-LN(2)/25))/(LN(2)/25)*Calculateur!V161*Calculateur!X161*VLOOKUP('Données projet'!$B$9,Paramètres!$A$1:$I$89,3,0)*0.475*44/12</f>
        <v>2.6135184013531525</v>
      </c>
      <c r="AB161" s="21">
        <f>EXP(-LN(2)/2)*AB160+(1-EXP(-LN(2)/2))/(LN(2)/2)*V161*Y161*VLOOKUP('Données projet'!$B$9,Paramètres!$A$1:$I$89,3,0)*0.475*44/12</f>
        <v>1.7944033344900814E-14</v>
      </c>
      <c r="AC161" s="22">
        <f t="shared" si="163"/>
        <v>24.215561130477507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-1.3596945791505279E-13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323.20040177531774</v>
      </c>
      <c r="T162" s="59">
        <f t="shared" si="142"/>
        <v>402.87981443974337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21.178439847151257</v>
      </c>
      <c r="AA162" s="21">
        <f>EXP(-LN(2)/25)*AA161+(1-EXP(-LN(2)/25))/(LN(2)/25)*Calculateur!V162*Calculateur!X162*VLOOKUP('Données projet'!$B$9,Paramètres!$A$1:$I$89,3,0)*0.475*44/12</f>
        <v>2.5420516032291909</v>
      </c>
      <c r="AB162" s="21">
        <f>EXP(-LN(2)/2)*AB161+(1-EXP(-LN(2)/2))/(LN(2)/2)*V162*Y162*VLOOKUP('Données projet'!$B$9,Paramètres!$A$1:$I$89,3,0)*0.475*44/12</f>
        <v>1.2688347660016893E-14</v>
      </c>
      <c r="AC162" s="22">
        <f t="shared" si="163"/>
        <v>23.720491450380461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-1.3596945791505279E-13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323.20040177531774</v>
      </c>
      <c r="T163" s="59">
        <f t="shared" si="142"/>
        <v>402.87981443974337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20.763143559321424</v>
      </c>
      <c r="AA163" s="21">
        <f>EXP(-LN(2)/25)*AA162+(1-EXP(-LN(2)/25))/(LN(2)/25)*Calculateur!V163*Calculateur!X163*VLOOKUP('Données projet'!$B$9,Paramètres!$A$1:$I$89,3,0)*0.475*44/12</f>
        <v>2.4725390684582047</v>
      </c>
      <c r="AB163" s="21">
        <f>EXP(-LN(2)/2)*AB162+(1-EXP(-LN(2)/2))/(LN(2)/2)*V163*Y163*VLOOKUP('Données projet'!$B$9,Paramètres!$A$1:$I$89,3,0)*0.475*44/12</f>
        <v>8.9720166724504071E-15</v>
      </c>
      <c r="AC163" s="22">
        <f t="shared" si="163"/>
        <v>23.235682627779639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-1.3596945791505279E-13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323.20040177531774</v>
      </c>
      <c r="T164" s="59">
        <f t="shared" si="142"/>
        <v>402.87981443974337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20.35599097839021</v>
      </c>
      <c r="AA164" s="21">
        <f>EXP(-LN(2)/25)*AA163+(1-EXP(-LN(2)/25))/(LN(2)/25)*Calculateur!V164*Calculateur!X164*VLOOKUP('Données projet'!$B$9,Paramètres!$A$1:$I$89,3,0)*0.475*44/12</f>
        <v>2.4049273576060366</v>
      </c>
      <c r="AB164" s="21">
        <f>EXP(-LN(2)/2)*AB163+(1-EXP(-LN(2)/2))/(LN(2)/2)*V164*Y164*VLOOKUP('Données projet'!$B$9,Paramètres!$A$1:$I$89,3,0)*0.475*44/12</f>
        <v>6.3441738300084463E-15</v>
      </c>
      <c r="AC164" s="22">
        <f t="shared" si="163"/>
        <v>22.760918335996255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-1.3596945791505279E-13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323.20040177531774</v>
      </c>
      <c r="T165" s="59">
        <f t="shared" si="142"/>
        <v>402.87981443974337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19.956822411232505</v>
      </c>
      <c r="AA165" s="21">
        <f>EXP(-LN(2)/25)*AA164+(1-EXP(-LN(2)/25))/(LN(2)/25)*Calculateur!V165*Calculateur!X165*VLOOKUP('Données projet'!$B$9,Paramètres!$A$1:$I$89,3,0)*0.475*44/12</f>
        <v>2.3391644925426665</v>
      </c>
      <c r="AB165" s="21">
        <f>EXP(-LN(2)/2)*AB164+(1-EXP(-LN(2)/2))/(LN(2)/2)*V165*Y165*VLOOKUP('Données projet'!$B$9,Paramètres!$A$1:$I$89,3,0)*0.475*44/12</f>
        <v>4.4860083362252035E-15</v>
      </c>
      <c r="AC165" s="22">
        <f t="shared" si="163"/>
        <v>22.295986903775177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-1.3596945791505279E-13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323.20040177531774</v>
      </c>
      <c r="T166" s="59">
        <f t="shared" si="142"/>
        <v>402.87981443974337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19.565481296207977</v>
      </c>
      <c r="AA166" s="21">
        <f>EXP(-LN(2)/25)*AA165+(1-EXP(-LN(2)/25))/(LN(2)/25)*Calculateur!V166*Calculateur!X166*VLOOKUP('Données projet'!$B$9,Paramètres!$A$1:$I$89,3,0)*0.475*44/12</f>
        <v>2.275199916482773</v>
      </c>
      <c r="AB166" s="21">
        <f>EXP(-LN(2)/2)*AB165+(1-EXP(-LN(2)/2))/(LN(2)/2)*V166*Y166*VLOOKUP('Données projet'!$B$9,Paramètres!$A$1:$I$89,3,0)*0.475*44/12</f>
        <v>3.1720869150042232E-15</v>
      </c>
      <c r="AC166" s="22">
        <f t="shared" si="163"/>
        <v>21.840681212690754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-1.3596945791505279E-13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323.20040177531774</v>
      </c>
      <c r="T167" s="59">
        <f t="shared" si="142"/>
        <v>402.87981443974337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19.181814141754568</v>
      </c>
      <c r="AA167" s="21">
        <f>EXP(-LN(2)/25)*AA166+(1-EXP(-LN(2)/25))/(LN(2)/25)*Calculateur!V167*Calculateur!X167*VLOOKUP('Données projet'!$B$9,Paramètres!$A$1:$I$89,3,0)*0.475*44/12</f>
        <v>2.2129844551189879</v>
      </c>
      <c r="AB167" s="21">
        <f>EXP(-LN(2)/2)*AB166+(1-EXP(-LN(2)/2))/(LN(2)/2)*V167*Y167*VLOOKUP('Données projet'!$B$9,Paramètres!$A$1:$I$89,3,0)*0.475*44/12</f>
        <v>2.2430041681126018E-15</v>
      </c>
      <c r="AC167" s="22">
        <f t="shared" si="163"/>
        <v>21.39479859687356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-1.3596945791505279E-13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323.20040177531774</v>
      </c>
      <c r="T168" s="59">
        <f t="shared" si="142"/>
        <v>402.87981443974337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18.805670466186132</v>
      </c>
      <c r="AA168" s="21">
        <f>EXP(-LN(2)/25)*AA167+(1-EXP(-LN(2)/25))/(LN(2)/25)*Calculateur!V168*Calculateur!X168*VLOOKUP('Données projet'!$B$9,Paramètres!$A$1:$I$89,3,0)*0.475*44/12</f>
        <v>2.1524702788179644</v>
      </c>
      <c r="AB168" s="21">
        <f>EXP(-LN(2)/2)*AB167+(1-EXP(-LN(2)/2))/(LN(2)/2)*V168*Y168*VLOOKUP('Données projet'!$B$9,Paramètres!$A$1:$I$89,3,0)*0.475*44/12</f>
        <v>1.5860434575021116E-15</v>
      </c>
      <c r="AC168" s="22">
        <f t="shared" si="163"/>
        <v>20.958140745004098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-1.3596945791505279E-13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323.20040177531774</v>
      </c>
      <c r="T169" s="59">
        <f t="shared" si="142"/>
        <v>402.87981443974337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18.436902738670607</v>
      </c>
      <c r="AA169" s="21">
        <f>EXP(-LN(2)/25)*AA168+(1-EXP(-LN(2)/25))/(LN(2)/25)*Calculateur!V169*Calculateur!X169*VLOOKUP('Données projet'!$B$9,Paramètres!$A$1:$I$89,3,0)*0.475*44/12</f>
        <v>2.0936108658501946</v>
      </c>
      <c r="AB169" s="21">
        <f>EXP(-LN(2)/2)*AB168+(1-EXP(-LN(2)/2))/(LN(2)/2)*V169*Y169*VLOOKUP('Données projet'!$B$9,Paramètres!$A$1:$I$89,3,0)*0.475*44/12</f>
        <v>1.1215020840563009E-15</v>
      </c>
      <c r="AC169" s="22">
        <f t="shared" si="163"/>
        <v>20.530513604520802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-1.3596945791505279E-13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323.20040177531774</v>
      </c>
      <c r="T170" s="59">
        <f t="shared" si="142"/>
        <v>402.87981443974337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18.075366321365557</v>
      </c>
      <c r="AA170" s="21">
        <f>EXP(-LN(2)/25)*AA169+(1-EXP(-LN(2)/25))/(LN(2)/25)*Calculateur!V170*Calculateur!X170*VLOOKUP('Données projet'!$B$9,Paramètres!$A$1:$I$89,3,0)*0.475*44/12</f>
        <v>2.0363609666253106</v>
      </c>
      <c r="AB170" s="21">
        <f>EXP(-LN(2)/2)*AB169+(1-EXP(-LN(2)/2))/(LN(2)/2)*V170*Y170*VLOOKUP('Données projet'!$B$9,Paramètres!$A$1:$I$89,3,0)*0.475*44/12</f>
        <v>7.9302172875105579E-16</v>
      </c>
      <c r="AC170" s="22">
        <f t="shared" si="163"/>
        <v>20.111727287990867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-1.3596945791505279E-13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323.20040177531774</v>
      </c>
      <c r="T171" s="59">
        <f t="shared" si="142"/>
        <v>402.87981443974337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17.720919412688417</v>
      </c>
      <c r="AA171" s="21">
        <f>EXP(-LN(2)/25)*AA170+(1-EXP(-LN(2)/25))/(LN(2)/25)*Calculateur!V171*Calculateur!X171*VLOOKUP('Données projet'!$B$9,Paramètres!$A$1:$I$89,3,0)*0.475*44/12</f>
        <v>1.9806765689053725</v>
      </c>
      <c r="AB171" s="21">
        <f>EXP(-LN(2)/2)*AB170+(1-EXP(-LN(2)/2))/(LN(2)/2)*V171*Y171*VLOOKUP('Données projet'!$B$9,Paramètres!$A$1:$I$89,3,0)*0.475*44/12</f>
        <v>5.6075104202815044E-16</v>
      </c>
      <c r="AC171" s="22">
        <f t="shared" si="163"/>
        <v>19.70159598159379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-1.3596945791505279E-13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323.20040177531774</v>
      </c>
      <c r="T172" s="59">
        <f t="shared" si="142"/>
        <v>402.87981443974337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17.373422991699169</v>
      </c>
      <c r="AA172" s="21">
        <f>EXP(-LN(2)/25)*AA171+(1-EXP(-LN(2)/25))/(LN(2)/25)*Calculateur!V172*Calculateur!X172*VLOOKUP('Données projet'!$B$9,Paramètres!$A$1:$I$89,3,0)*0.475*44/12</f>
        <v>1.9265148639694012</v>
      </c>
      <c r="AB172" s="21">
        <f>EXP(-LN(2)/2)*AB171+(1-EXP(-LN(2)/2))/(LN(2)/2)*V172*Y172*VLOOKUP('Données projet'!$B$9,Paramètres!$A$1:$I$89,3,0)*0.475*44/12</f>
        <v>3.965108643755279E-16</v>
      </c>
      <c r="AC172" s="22">
        <f t="shared" si="163"/>
        <v>19.299937855668571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-1.3596945791505279E-13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323.20040177531774</v>
      </c>
      <c r="T173" s="59">
        <f t="shared" si="142"/>
        <v>402.87981443974337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17.032740763573631</v>
      </c>
      <c r="AA173" s="21">
        <f>EXP(-LN(2)/25)*AA172+(1-EXP(-LN(2)/25))/(LN(2)/25)*Calculateur!V173*Calculateur!X173*VLOOKUP('Données projet'!$B$9,Paramètres!$A$1:$I$89,3,0)*0.475*44/12</f>
        <v>1.8738342137031443</v>
      </c>
      <c r="AB173" s="21">
        <f>EXP(-LN(2)/2)*AB172+(1-EXP(-LN(2)/2))/(LN(2)/2)*V173*Y173*VLOOKUP('Données projet'!$B$9,Paramètres!$A$1:$I$89,3,0)*0.475*44/12</f>
        <v>2.8037552101407522E-16</v>
      </c>
      <c r="AC173" s="22">
        <f t="shared" si="163"/>
        <v>18.906574977276776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-1.3596945791505279E-13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323.20040177531774</v>
      </c>
      <c r="T174" s="59">
        <f t="shared" si="142"/>
        <v>402.87981443974337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16.698739106145997</v>
      </c>
      <c r="AA174" s="21">
        <f>EXP(-LN(2)/25)*AA173+(1-EXP(-LN(2)/25))/(LN(2)/25)*Calculateur!V174*Calculateur!X174*VLOOKUP('Données projet'!$B$9,Paramètres!$A$1:$I$89,3,0)*0.475*44/12</f>
        <v>1.8225941185887733</v>
      </c>
      <c r="AB174" s="21">
        <f>EXP(-LN(2)/2)*AB173+(1-EXP(-LN(2)/2))/(LN(2)/2)*V174*Y174*VLOOKUP('Données projet'!$B$9,Paramètres!$A$1:$I$89,3,0)*0.475*44/12</f>
        <v>1.9825543218776395E-16</v>
      </c>
      <c r="AC174" s="22">
        <f t="shared" si="163"/>
        <v>18.521333224734772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-1.3596945791505279E-13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323.20040177531774</v>
      </c>
      <c r="T175" s="59">
        <f t="shared" si="142"/>
        <v>402.87981443974337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16.371287017499622</v>
      </c>
      <c r="AA175" s="21">
        <f>EXP(-LN(2)/25)*AA174+(1-EXP(-LN(2)/25))/(LN(2)/25)*Calculateur!V175*Calculateur!X175*VLOOKUP('Données projet'!$B$9,Paramètres!$A$1:$I$89,3,0)*0.475*44/12</f>
        <v>1.7727551865699043</v>
      </c>
      <c r="AB175" s="21">
        <f>EXP(-LN(2)/2)*AB174+(1-EXP(-LN(2)/2))/(LN(2)/2)*V175*Y175*VLOOKUP('Données projet'!$B$9,Paramètres!$A$1:$I$89,3,0)*0.475*44/12</f>
        <v>1.4018776050703761E-16</v>
      </c>
      <c r="AC175" s="22">
        <f t="shared" si="163"/>
        <v>18.144042204069525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-1.3596945791505279E-13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323.20040177531774</v>
      </c>
      <c r="T176" s="59">
        <f t="shared" si="142"/>
        <v>402.87981443974337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16.05025606458555</v>
      </c>
      <c r="AA176" s="21">
        <f>EXP(-LN(2)/25)*AA175+(1-EXP(-LN(2)/25))/(LN(2)/25)*Calculateur!V176*Calculateur!X176*VLOOKUP('Données projet'!$B$9,Paramètres!$A$1:$I$89,3,0)*0.475*44/12</f>
        <v>1.7242791027680067</v>
      </c>
      <c r="AB176" s="21">
        <f>EXP(-LN(2)/2)*AB175+(1-EXP(-LN(2)/2))/(LN(2)/2)*V176*Y176*VLOOKUP('Données projet'!$B$9,Paramètres!$A$1:$I$89,3,0)*0.475*44/12</f>
        <v>9.9127716093881974E-17</v>
      </c>
      <c r="AC176" s="22">
        <f t="shared" si="163"/>
        <v>17.774535167353555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-1.3596945791505279E-13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323.20040177531774</v>
      </c>
      <c r="T177" s="59">
        <f t="shared" si="142"/>
        <v>402.87981443974337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15.735520332848575</v>
      </c>
      <c r="AA177" s="21">
        <f>EXP(-LN(2)/25)*AA176+(1-EXP(-LN(2)/25))/(LN(2)/25)*Calculateur!V177*Calculateur!X177*VLOOKUP('Données projet'!$B$9,Paramètres!$A$1:$I$89,3,0)*0.475*44/12</f>
        <v>1.6771286000269183</v>
      </c>
      <c r="AB177" s="21">
        <f>EXP(-LN(2)/2)*AB176+(1-EXP(-LN(2)/2))/(LN(2)/2)*V177*Y177*VLOOKUP('Données projet'!$B$9,Paramètres!$A$1:$I$89,3,0)*0.475*44/12</f>
        <v>7.0093880253518805E-17</v>
      </c>
      <c r="AC177" s="22">
        <f t="shared" si="163"/>
        <v>17.412648932875491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-1.3596945791505279E-13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323.20040177531774</v>
      </c>
      <c r="T178" s="59">
        <f t="shared" si="142"/>
        <v>402.87981443974337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15.426956376841121</v>
      </c>
      <c r="AA178" s="21">
        <f>EXP(-LN(2)/25)*AA177+(1-EXP(-LN(2)/25))/(LN(2)/25)*Calculateur!V178*Calculateur!X178*VLOOKUP('Données projet'!$B$9,Paramètres!$A$1:$I$89,3,0)*0.475*44/12</f>
        <v>1.6312674302628223</v>
      </c>
      <c r="AB178" s="21">
        <f>EXP(-LN(2)/2)*AB177+(1-EXP(-LN(2)/2))/(LN(2)/2)*V178*Y178*VLOOKUP('Données projet'!$B$9,Paramètres!$A$1:$I$89,3,0)*0.475*44/12</f>
        <v>4.9563858046940987E-17</v>
      </c>
      <c r="AC178" s="22">
        <f t="shared" si="163"/>
        <v>17.058223807103943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-1.3596945791505279E-13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323.20040177531774</v>
      </c>
      <c r="T179" s="59">
        <f t="shared" si="142"/>
        <v>402.87981443974337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15.124443171805543</v>
      </c>
      <c r="AA179" s="21">
        <f>EXP(-LN(2)/25)*AA178+(1-EXP(-LN(2)/25))/(LN(2)/25)*Calculateur!V179*Calculateur!X179*VLOOKUP('Données projet'!$B$9,Paramètres!$A$1:$I$89,3,0)*0.475*44/12</f>
        <v>1.5866603365976595</v>
      </c>
      <c r="AB179" s="21">
        <f>EXP(-LN(2)/2)*AB178+(1-EXP(-LN(2)/2))/(LN(2)/2)*V179*Y179*VLOOKUP('Données projet'!$B$9,Paramètres!$A$1:$I$89,3,0)*0.475*44/12</f>
        <v>3.5046940126759403E-17</v>
      </c>
      <c r="AC179" s="22">
        <f t="shared" si="163"/>
        <v>16.711103508403202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-1.3596945791505279E-13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323.20040177531774</v>
      </c>
      <c r="T180" s="59">
        <f t="shared" si="142"/>
        <v>402.87981443974337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14.827862066205878</v>
      </c>
      <c r="AA180" s="21">
        <f>EXP(-LN(2)/25)*AA179+(1-EXP(-LN(2)/25))/(LN(2)/25)*Calculateur!V180*Calculateur!X180*VLOOKUP('Données projet'!$B$9,Paramètres!$A$1:$I$89,3,0)*0.475*44/12</f>
        <v>1.5432730262545558</v>
      </c>
      <c r="AB180" s="21">
        <f>EXP(-LN(2)/2)*AB179+(1-EXP(-LN(2)/2))/(LN(2)/2)*V180*Y180*VLOOKUP('Données projet'!$B$9,Paramètres!$A$1:$I$89,3,0)*0.475*44/12</f>
        <v>2.4781929023470494E-17</v>
      </c>
      <c r="AC180" s="22">
        <f t="shared" si="163"/>
        <v>16.371135092460435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-1.3596945791505279E-13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323.20040177531774</v>
      </c>
      <c r="T181" s="59">
        <f t="shared" si="142"/>
        <v>402.87981443974337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14.53709673519041</v>
      </c>
      <c r="AA181" s="21">
        <f>EXP(-LN(2)/25)*AA180+(1-EXP(-LN(2)/25))/(LN(2)/25)*Calculateur!V181*Calculateur!X181*VLOOKUP('Données projet'!$B$9,Paramètres!$A$1:$I$89,3,0)*0.475*44/12</f>
        <v>1.5010721441944237</v>
      </c>
      <c r="AB181" s="21">
        <f>EXP(-LN(2)/2)*AB180+(1-EXP(-LN(2)/2))/(LN(2)/2)*V181*Y181*VLOOKUP('Données projet'!$B$9,Paramètres!$A$1:$I$89,3,0)*0.475*44/12</f>
        <v>1.7523470063379701E-17</v>
      </c>
      <c r="AC181" s="22">
        <f t="shared" si="163"/>
        <v>16.038168879384834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-1.3596945791505279E-13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323.20040177531774</v>
      </c>
      <c r="T182" s="59">
        <f t="shared" si="142"/>
        <v>402.87981443974337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14.252033134966815</v>
      </c>
      <c r="AA182" s="21">
        <f>EXP(-LN(2)/25)*AA181+(1-EXP(-LN(2)/25))/(LN(2)/25)*Calculateur!V182*Calculateur!X182*VLOOKUP('Données projet'!$B$9,Paramètres!$A$1:$I$89,3,0)*0.475*44/12</f>
        <v>1.4600252474734738</v>
      </c>
      <c r="AB182" s="21">
        <f>EXP(-LN(2)/2)*AB181+(1-EXP(-LN(2)/2))/(LN(2)/2)*V182*Y182*VLOOKUP('Données projet'!$B$9,Paramètres!$A$1:$I$89,3,0)*0.475*44/12</f>
        <v>1.2390964511735247E-17</v>
      </c>
      <c r="AC182" s="22">
        <f t="shared" si="163"/>
        <v>15.71205838244029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-1.3596945791505279E-13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323.20040177531774</v>
      </c>
      <c r="T183" s="59">
        <f t="shared" si="142"/>
        <v>402.87981443974337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13.972559458071977</v>
      </c>
      <c r="AA183" s="21">
        <f>EXP(-LN(2)/25)*AA182+(1-EXP(-LN(2)/25))/(LN(2)/25)*Calculateur!V183*Calculateur!X183*VLOOKUP('Données projet'!$B$9,Paramètres!$A$1:$I$89,3,0)*0.475*44/12</f>
        <v>1.4201007803019208</v>
      </c>
      <c r="AB183" s="21">
        <f>EXP(-LN(2)/2)*AB182+(1-EXP(-LN(2)/2))/(LN(2)/2)*V183*Y183*VLOOKUP('Données projet'!$B$9,Paramètres!$A$1:$I$89,3,0)*0.475*44/12</f>
        <v>8.7617350316898507E-18</v>
      </c>
      <c r="AC183" s="22">
        <f t="shared" si="163"/>
        <v>15.392660238373898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-1.3596945791505279E-13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323.20040177531774</v>
      </c>
      <c r="T184" s="59">
        <f t="shared" si="142"/>
        <v>402.87981443974337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13.698566089518936</v>
      </c>
      <c r="AA184" s="21">
        <f>EXP(-LN(2)/25)*AA183+(1-EXP(-LN(2)/25))/(LN(2)/25)*Calculateur!V184*Calculateur!X184*VLOOKUP('Données projet'!$B$9,Paramètres!$A$1:$I$89,3,0)*0.475*44/12</f>
        <v>1.3812680497847103</v>
      </c>
      <c r="AB184" s="21">
        <f>EXP(-LN(2)/2)*AB183+(1-EXP(-LN(2)/2))/(LN(2)/2)*V184*Y184*VLOOKUP('Données projet'!$B$9,Paramètres!$A$1:$I$89,3,0)*0.475*44/12</f>
        <v>6.1954822558676234E-18</v>
      </c>
      <c r="AC184" s="22">
        <f t="shared" si="163"/>
        <v>15.079834139303646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-1.3596945791505279E-13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323.20040177531774</v>
      </c>
      <c r="T185" s="59">
        <f t="shared" si="142"/>
        <v>402.87981443974337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13.429945563803766</v>
      </c>
      <c r="AA185" s="21">
        <f>EXP(-LN(2)/25)*AA184+(1-EXP(-LN(2)/25))/(LN(2)/25)*Calculateur!V185*Calculateur!X185*VLOOKUP('Données projet'!$B$9,Paramètres!$A$1:$I$89,3,0)*0.475*44/12</f>
        <v>1.3434972023256175</v>
      </c>
      <c r="AB185" s="21">
        <f>EXP(-LN(2)/2)*AB184+(1-EXP(-LN(2)/2))/(LN(2)/2)*V185*Y185*VLOOKUP('Données projet'!$B$9,Paramètres!$A$1:$I$89,3,0)*0.475*44/12</f>
        <v>4.3808675158449253E-18</v>
      </c>
      <c r="AC185" s="22">
        <f t="shared" si="163"/>
        <v>14.773442766129383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-1.3596945791505279E-13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323.20040177531774</v>
      </c>
      <c r="T186" s="59">
        <f t="shared" si="142"/>
        <v>402.87981443974337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13.166592522755529</v>
      </c>
      <c r="AA186" s="21">
        <f>EXP(-LN(2)/25)*AA185+(1-EXP(-LN(2)/25))/(LN(2)/25)*Calculateur!V186*Calculateur!X186*VLOOKUP('Données projet'!$B$9,Paramètres!$A$1:$I$89,3,0)*0.475*44/12</f>
        <v>1.3067592006765762</v>
      </c>
      <c r="AB186" s="21">
        <f>EXP(-LN(2)/2)*AB185+(1-EXP(-LN(2)/2))/(LN(2)/2)*V186*Y186*VLOOKUP('Données projet'!$B$9,Paramètres!$A$1:$I$89,3,0)*0.475*44/12</f>
        <v>3.0977411279338117E-18</v>
      </c>
      <c r="AC186" s="22">
        <f t="shared" si="163"/>
        <v>14.473351723432106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-1.3596945791505279E-13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323.20040177531774</v>
      </c>
      <c r="T187" s="59">
        <f t="shared" si="142"/>
        <v>402.87981443974337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12.908403674212753</v>
      </c>
      <c r="AA187" s="21">
        <f>EXP(-LN(2)/25)*AA186+(1-EXP(-LN(2)/25))/(LN(2)/25)*Calculateur!V187*Calculateur!X187*VLOOKUP('Données projet'!$B$9,Paramètres!$A$1:$I$89,3,0)*0.475*44/12</f>
        <v>1.2710258016145954</v>
      </c>
      <c r="AB187" s="21">
        <f>EXP(-LN(2)/2)*AB186+(1-EXP(-LN(2)/2))/(LN(2)/2)*V187*Y187*VLOOKUP('Données projet'!$B$9,Paramètres!$A$1:$I$89,3,0)*0.475*44/12</f>
        <v>2.1904337579224627E-18</v>
      </c>
      <c r="AC187" s="22">
        <f t="shared" si="163"/>
        <v>14.179429475827348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-1.3596945791505279E-13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323.20040177531774</v>
      </c>
      <c r="T188" s="59">
        <f t="shared" si="142"/>
        <v>402.87981443974337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12.655277751510253</v>
      </c>
      <c r="AA188" s="21">
        <f>EXP(-LN(2)/25)*AA187+(1-EXP(-LN(2)/25))/(LN(2)/25)*Calculateur!V188*Calculateur!X188*VLOOKUP('Données projet'!$B$9,Paramètres!$A$1:$I$89,3,0)*0.475*44/12</f>
        <v>1.2362695342291024</v>
      </c>
      <c r="AB188" s="21">
        <f>EXP(-LN(2)/2)*AB187+(1-EXP(-LN(2)/2))/(LN(2)/2)*V188*Y188*VLOOKUP('Données projet'!$B$9,Paramètres!$A$1:$I$89,3,0)*0.475*44/12</f>
        <v>1.5488705639669058E-18</v>
      </c>
      <c r="AC188" s="22">
        <f t="shared" si="163"/>
        <v>13.891547285739355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-1.3596945791505279E-13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323.20040177531774</v>
      </c>
      <c r="T189" s="59">
        <f t="shared" si="142"/>
        <v>402.87981443974337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12.407115473760381</v>
      </c>
      <c r="AA189" s="21">
        <f>EXP(-LN(2)/25)*AA188+(1-EXP(-LN(2)/25))/(LN(2)/25)*Calculateur!V189*Calculateur!X189*VLOOKUP('Données projet'!$B$9,Paramètres!$A$1:$I$89,3,0)*0.475*44/12</f>
        <v>1.2024636788030183</v>
      </c>
      <c r="AB189" s="21">
        <f>EXP(-LN(2)/2)*AB188+(1-EXP(-LN(2)/2))/(LN(2)/2)*V189*Y189*VLOOKUP('Données projet'!$B$9,Paramètres!$A$1:$I$89,3,0)*0.475*44/12</f>
        <v>1.0952168789612313E-18</v>
      </c>
      <c r="AC189" s="22">
        <f t="shared" si="163"/>
        <v>13.6095791525634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-1.3596945791505279E-13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323.20040177531774</v>
      </c>
      <c r="T190" s="59">
        <f t="shared" si="142"/>
        <v>402.87981443974337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12.163819506913141</v>
      </c>
      <c r="AA190" s="21">
        <f>EXP(-LN(2)/25)*AA189+(1-EXP(-LN(2)/25))/(LN(2)/25)*Calculateur!V190*Calculateur!X190*VLOOKUP('Données projet'!$B$9,Paramètres!$A$1:$I$89,3,0)*0.475*44/12</f>
        <v>1.1695822462713332</v>
      </c>
      <c r="AB190" s="21">
        <f>EXP(-LN(2)/2)*AB189+(1-EXP(-LN(2)/2))/(LN(2)/2)*V190*Y190*VLOOKUP('Données projet'!$B$9,Paramètres!$A$1:$I$89,3,0)*0.475*44/12</f>
        <v>7.7443528198345292E-19</v>
      </c>
      <c r="AC190" s="22">
        <f t="shared" si="163"/>
        <v>13.333401753184475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-1.3596945791505279E-13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323.20040177531774</v>
      </c>
      <c r="T191" s="59">
        <f t="shared" si="142"/>
        <v>402.87981443974337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11.925294425579889</v>
      </c>
      <c r="AA191" s="21">
        <f>EXP(-LN(2)/25)*AA190+(1-EXP(-LN(2)/25))/(LN(2)/25)*Calculateur!V191*Calculateur!X191*VLOOKUP('Données projet'!$B$9,Paramètres!$A$1:$I$89,3,0)*0.475*44/12</f>
        <v>1.1375999582413865</v>
      </c>
      <c r="AB191" s="21">
        <f>EXP(-LN(2)/2)*AB190+(1-EXP(-LN(2)/2))/(LN(2)/2)*V191*Y191*VLOOKUP('Données projet'!$B$9,Paramètres!$A$1:$I$89,3,0)*0.475*44/12</f>
        <v>5.4760843948061567E-19</v>
      </c>
      <c r="AC191" s="22">
        <f t="shared" si="163"/>
        <v>13.062894383821275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-1.3596945791505279E-13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323.20040177531774</v>
      </c>
      <c r="T192" s="59">
        <f t="shared" si="142"/>
        <v>402.87981443974337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11.691446675605647</v>
      </c>
      <c r="AA192" s="21">
        <f>EXP(-LN(2)/25)*AA191+(1-EXP(-LN(2)/25))/(LN(2)/25)*Calculateur!V192*Calculateur!X192*VLOOKUP('Données projet'!$B$9,Paramètres!$A$1:$I$89,3,0)*0.475*44/12</f>
        <v>1.1064922275594939</v>
      </c>
      <c r="AB192" s="21">
        <f>EXP(-LN(2)/2)*AB191+(1-EXP(-LN(2)/2))/(LN(2)/2)*V192*Y192*VLOOKUP('Données projet'!$B$9,Paramètres!$A$1:$I$89,3,0)*0.475*44/12</f>
        <v>3.8721764099172646E-19</v>
      </c>
      <c r="AC192" s="22">
        <f t="shared" si="163"/>
        <v>12.797938903165141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-1.3596945791505279E-13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323.20040177531774</v>
      </c>
      <c r="T193" s="59">
        <f t="shared" si="142"/>
        <v>402.87981443974337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11.462184537375357</v>
      </c>
      <c r="AA193" s="21">
        <f>EXP(-LN(2)/25)*AA192+(1-EXP(-LN(2)/25))/(LN(2)/25)*Calculateur!V193*Calculateur!X193*VLOOKUP('Données projet'!$B$9,Paramètres!$A$1:$I$89,3,0)*0.475*44/12</f>
        <v>1.0762351394089822</v>
      </c>
      <c r="AB193" s="21">
        <f>EXP(-LN(2)/2)*AB192+(1-EXP(-LN(2)/2))/(LN(2)/2)*V193*Y193*VLOOKUP('Données projet'!$B$9,Paramètres!$A$1:$I$89,3,0)*0.475*44/12</f>
        <v>2.7380421974030783E-19</v>
      </c>
      <c r="AC193" s="22">
        <f t="shared" si="163"/>
        <v>12.53841967678434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-1.3596945791505279E-13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323.20040177531774</v>
      </c>
      <c r="T194" s="59">
        <f t="shared" si="142"/>
        <v>402.87981443974337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11.237418089839666</v>
      </c>
      <c r="AA194" s="21">
        <f>EXP(-LN(2)/25)*AA193+(1-EXP(-LN(2)/25))/(LN(2)/25)*Calculateur!V194*Calculateur!X194*VLOOKUP('Données projet'!$B$9,Paramètres!$A$1:$I$89,3,0)*0.475*44/12</f>
        <v>1.0468054329250973</v>
      </c>
      <c r="AB194" s="21">
        <f>EXP(-LN(2)/2)*AB193+(1-EXP(-LN(2)/2))/(LN(2)/2)*V194*Y194*VLOOKUP('Données projet'!$B$9,Paramètres!$A$1:$I$89,3,0)*0.475*44/12</f>
        <v>1.9360882049586323E-19</v>
      </c>
      <c r="AC194" s="22">
        <f t="shared" si="163"/>
        <v>12.284223522764764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-1.3596945791505279E-13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323.20040177531774</v>
      </c>
      <c r="T195" s="59">
        <f t="shared" si="142"/>
        <v>402.87981443974337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11.017059175246155</v>
      </c>
      <c r="AA195" s="21">
        <f>EXP(-LN(2)/25)*AA194+(1-EXP(-LN(2)/25))/(LN(2)/25)*Calculateur!V195*Calculateur!X195*VLOOKUP('Données projet'!$B$9,Paramètres!$A$1:$I$89,3,0)*0.475*44/12</f>
        <v>1.0181804833126553</v>
      </c>
      <c r="AB195" s="21">
        <f>EXP(-LN(2)/2)*AB194+(1-EXP(-LN(2)/2))/(LN(2)/2)*V195*Y195*VLOOKUP('Données projet'!$B$9,Paramètres!$A$1:$I$89,3,0)*0.475*44/12</f>
        <v>1.3690210987015392E-19</v>
      </c>
      <c r="AC195" s="22">
        <f t="shared" si="163"/>
        <v>12.03523965855881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-1.3596945791505279E-13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323.20040177531774</v>
      </c>
      <c r="T196" s="59">
        <f t="shared" si="142"/>
        <v>402.87981443974337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10.801021364562155</v>
      </c>
      <c r="AA196" s="21">
        <f>EXP(-LN(2)/25)*AA195+(1-EXP(-LN(2)/25))/(LN(2)/25)*Calculateur!V196*Calculateur!X196*VLOOKUP('Données projet'!$B$9,Paramètres!$A$1:$I$89,3,0)*0.475*44/12</f>
        <v>0.99033828445268623</v>
      </c>
      <c r="AB196" s="21">
        <f>EXP(-LN(2)/2)*AB195+(1-EXP(-LN(2)/2))/(LN(2)/2)*V196*Y196*VLOOKUP('Données projet'!$B$9,Paramètres!$A$1:$I$89,3,0)*0.475*44/12</f>
        <v>9.6804410247931615E-20</v>
      </c>
      <c r="AC196" s="22">
        <f t="shared" si="163"/>
        <v>11.791359649014842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-1.3596945791505279E-13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323.20040177531774</v>
      </c>
      <c r="T197" s="59">
        <f t="shared" ref="T197:T203" si="204">$T$3</f>
        <v>402.87981443974337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10.589219923575616</v>
      </c>
      <c r="AA197" s="21">
        <f>EXP(-LN(2)/25)*AA196+(1-EXP(-LN(2)/25))/(LN(2)/25)*Calculateur!V197*Calculateur!X197*VLOOKUP('Données projet'!$B$9,Paramètres!$A$1:$I$89,3,0)*0.475*44/12</f>
        <v>0.9632574319847006</v>
      </c>
      <c r="AB197" s="21">
        <f>EXP(-LN(2)/2)*AB196+(1-EXP(-LN(2)/2))/(LN(2)/2)*V197*Y197*VLOOKUP('Données projet'!$B$9,Paramètres!$A$1:$I$89,3,0)*0.475*44/12</f>
        <v>6.8451054935076958E-20</v>
      </c>
      <c r="AC197" s="22">
        <f t="shared" si="163"/>
        <v>11.552477355560317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-1.3596945791505279E-13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323.20040177531774</v>
      </c>
      <c r="T198" s="59">
        <f t="shared" si="204"/>
        <v>402.87981443974337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10.3815717796607</v>
      </c>
      <c r="AA198" s="21">
        <f>EXP(-LN(2)/25)*AA197+(1-EXP(-LN(2)/25))/(LN(2)/25)*Calculateur!V198*Calculateur!X198*VLOOKUP('Données projet'!$B$9,Paramètres!$A$1:$I$89,3,0)*0.475*44/12</f>
        <v>0.93691710685157215</v>
      </c>
      <c r="AB198" s="21">
        <f>EXP(-LN(2)/2)*AB197+(1-EXP(-LN(2)/2))/(LN(2)/2)*V198*Y198*VLOOKUP('Données projet'!$B$9,Paramètres!$A$1:$I$89,3,0)*0.475*44/12</f>
        <v>4.8402205123965808E-20</v>
      </c>
      <c r="AC198" s="22">
        <f t="shared" si="163"/>
        <v>11.318488886512272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-1.3596945791505279E-13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323.20040177531774</v>
      </c>
      <c r="T199" s="59">
        <f t="shared" si="204"/>
        <v>402.87981443974337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10.177995489195093</v>
      </c>
      <c r="AA199" s="21">
        <f>EXP(-LN(2)/25)*AA198+(1-EXP(-LN(2)/25))/(LN(2)/25)*Calculateur!V199*Calculateur!X199*VLOOKUP('Données projet'!$B$9,Paramètres!$A$1:$I$89,3,0)*0.475*44/12</f>
        <v>0.91129705929438665</v>
      </c>
      <c r="AB199" s="21">
        <f>EXP(-LN(2)/2)*AB198+(1-EXP(-LN(2)/2))/(LN(2)/2)*V199*Y199*VLOOKUP('Données projet'!$B$9,Paramètres!$A$1:$I$89,3,0)*0.475*44/12</f>
        <v>3.4225527467538479E-20</v>
      </c>
      <c r="AC199" s="22">
        <f t="shared" si="163"/>
        <v>11.08929254848948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-1.3596945791505279E-13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323.20040177531774</v>
      </c>
      <c r="T200" s="59">
        <f t="shared" si="204"/>
        <v>402.87981443974337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9.97841120561624</v>
      </c>
      <c r="AA200" s="21">
        <f>EXP(-LN(2)/25)*AA199+(1-EXP(-LN(2)/25))/(LN(2)/25)*Calculateur!V200*Calculateur!X200*VLOOKUP('Données projet'!$B$9,Paramètres!$A$1:$I$89,3,0)*0.475*44/12</f>
        <v>0.88637759328495214</v>
      </c>
      <c r="AB200" s="21">
        <f>EXP(-LN(2)/2)*AB199+(1-EXP(-LN(2)/2))/(LN(2)/2)*V200*Y200*VLOOKUP('Données projet'!$B$9,Paramètres!$A$1:$I$89,3,0)*0.475*44/12</f>
        <v>2.4201102561982904E-20</v>
      </c>
      <c r="AC200" s="22">
        <f t="shared" si="163"/>
        <v>10.864788798901191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-1.3596945791505279E-13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323.20040177531774</v>
      </c>
      <c r="T201" s="59">
        <f t="shared" si="204"/>
        <v>402.87981443974337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9.7827406481039763</v>
      </c>
      <c r="AA201" s="21">
        <f>EXP(-LN(2)/25)*AA200+(1-EXP(-LN(2)/25))/(LN(2)/25)*Calculateur!V201*Calculateur!X201*VLOOKUP('Données projet'!$B$9,Paramètres!$A$1:$I$89,3,0)*0.475*44/12</f>
        <v>0.86213955138400333</v>
      </c>
      <c r="AB201" s="21">
        <f>EXP(-LN(2)/2)*AB200+(1-EXP(-LN(2)/2))/(LN(2)/2)*V201*Y201*VLOOKUP('Données projet'!$B$9,Paramètres!$A$1:$I$89,3,0)*0.475*44/12</f>
        <v>1.711276373376924E-20</v>
      </c>
      <c r="AC201" s="22">
        <f t="shared" si="163"/>
        <v>10.644880199487979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-1.3596945791505279E-13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323.20040177531774</v>
      </c>
      <c r="T202" s="59">
        <f t="shared" si="204"/>
        <v>402.87981443974337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9.5909070708772717</v>
      </c>
      <c r="AA202" s="21">
        <f>EXP(-LN(2)/25)*AA201+(1-EXP(-LN(2)/25))/(LN(2)/25)*Calculateur!V202*Calculateur!X202*VLOOKUP('Données projet'!$B$9,Paramètres!$A$1:$I$89,3,0)*0.475*44/12</f>
        <v>0.83856430001345916</v>
      </c>
      <c r="AB202" s="21">
        <f>EXP(-LN(2)/2)*AB201+(1-EXP(-LN(2)/2))/(LN(2)/2)*V202*Y202*VLOOKUP('Données projet'!$B$9,Paramètres!$A$1:$I$89,3,0)*0.475*44/12</f>
        <v>1.2100551280991452E-20</v>
      </c>
      <c r="AC202" s="22">
        <f t="shared" si="163"/>
        <v>10.429471370890731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-1.3596945791505279E-13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323.20040177531774</v>
      </c>
      <c r="T203" s="59">
        <f t="shared" si="204"/>
        <v>402.87981443974337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9.4028352330930538</v>
      </c>
      <c r="AA203" s="21">
        <f>EXP(-LN(2)/25)*AA202+(1-EXP(-LN(2)/25))/(LN(2)/25)*Calculateur!V203*Calculateur!X203*VLOOKUP('Données projet'!$B$9,Paramètres!$A$1:$I$89,3,0)*0.475*44/12</f>
        <v>0.81563371513141114</v>
      </c>
      <c r="AB203" s="21">
        <f>EXP(-LN(2)/2)*AB202+(1-EXP(-LN(2)/2))/(LN(2)/2)*V203*Y203*VLOOKUP('Données projet'!$B$9,Paramètres!$A$1:$I$89,3,0)*0.475*44/12</f>
        <v>8.5563818668846198E-21</v>
      </c>
      <c r="AC203" s="22">
        <f t="shared" si="163"/>
        <v>10.218468948224466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98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98</v>
      </c>
      <c r="BA204" s="81" t="s">
        <v>98</v>
      </c>
      <c r="BV204" s="81" t="s">
        <v>98</v>
      </c>
      <c r="CQ204" s="81" t="s">
        <v>98</v>
      </c>
      <c r="DL204" s="81" t="s">
        <v>98</v>
      </c>
      <c r="EG204" s="81" t="s">
        <v>98</v>
      </c>
      <c r="FB204" s="81" t="s">
        <v>98</v>
      </c>
      <c r="FW204" s="81" t="s">
        <v>98</v>
      </c>
      <c r="GR204" s="81" t="s">
        <v>98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1.3909694153327172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99</v>
      </c>
      <c r="B1" s="112" t="s">
        <v>100</v>
      </c>
      <c r="C1" s="113" t="s">
        <v>101</v>
      </c>
      <c r="D1" s="112" t="s">
        <v>102</v>
      </c>
      <c r="E1" s="113" t="s">
        <v>103</v>
      </c>
      <c r="F1" s="113" t="s">
        <v>102</v>
      </c>
      <c r="G1" s="113" t="s">
        <v>104</v>
      </c>
      <c r="H1" s="113" t="s">
        <v>102</v>
      </c>
      <c r="I1" s="114" t="s">
        <v>105</v>
      </c>
      <c r="J1" s="78"/>
      <c r="K1" s="78"/>
      <c r="L1" s="78"/>
      <c r="M1" s="78"/>
      <c r="N1" s="78"/>
    </row>
    <row r="2" spans="1:16" x14ac:dyDescent="0.35">
      <c r="A2" s="115" t="s">
        <v>106</v>
      </c>
      <c r="B2" s="116" t="s">
        <v>107</v>
      </c>
      <c r="C2" s="117">
        <v>0.62</v>
      </c>
      <c r="D2" s="117" t="s">
        <v>108</v>
      </c>
      <c r="E2" s="117">
        <v>1.56</v>
      </c>
      <c r="F2" s="117" t="s">
        <v>109</v>
      </c>
      <c r="G2" s="118">
        <v>0.43</v>
      </c>
      <c r="H2" s="119" t="s">
        <v>110</v>
      </c>
      <c r="I2" s="120">
        <v>0.25</v>
      </c>
      <c r="J2" s="78"/>
      <c r="K2" s="78"/>
      <c r="L2" s="78"/>
      <c r="M2" s="78"/>
      <c r="N2" s="78"/>
      <c r="O2" s="281" t="s">
        <v>111</v>
      </c>
      <c r="P2" s="121">
        <v>0</v>
      </c>
    </row>
    <row r="3" spans="1:16" ht="15" thickBot="1" x14ac:dyDescent="0.4">
      <c r="A3" s="122" t="s">
        <v>112</v>
      </c>
      <c r="B3" s="123" t="s">
        <v>113</v>
      </c>
      <c r="C3" s="124">
        <v>0.64</v>
      </c>
      <c r="D3" s="124" t="s">
        <v>108</v>
      </c>
      <c r="E3" s="124">
        <v>1.56</v>
      </c>
      <c r="F3" s="125" t="s">
        <v>109</v>
      </c>
      <c r="G3" s="126">
        <v>0.43</v>
      </c>
      <c r="H3" s="124" t="s">
        <v>110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114</v>
      </c>
      <c r="B4" s="123" t="s">
        <v>115</v>
      </c>
      <c r="C4" s="124">
        <v>0.42</v>
      </c>
      <c r="D4" s="124" t="s">
        <v>108</v>
      </c>
      <c r="E4" s="124">
        <v>1.56</v>
      </c>
      <c r="F4" s="125" t="s">
        <v>109</v>
      </c>
      <c r="G4" s="126">
        <v>0.43</v>
      </c>
      <c r="H4" s="124" t="s">
        <v>110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116</v>
      </c>
      <c r="B5" s="123" t="s">
        <v>117</v>
      </c>
      <c r="C5" s="124">
        <v>0.42</v>
      </c>
      <c r="D5" s="124" t="s">
        <v>108</v>
      </c>
      <c r="E5" s="124">
        <v>1.56</v>
      </c>
      <c r="F5" s="125" t="s">
        <v>109</v>
      </c>
      <c r="G5" s="126">
        <v>0.43</v>
      </c>
      <c r="H5" s="124" t="s">
        <v>110</v>
      </c>
      <c r="I5" s="127">
        <v>0.25</v>
      </c>
      <c r="J5" s="78"/>
      <c r="K5" s="78"/>
      <c r="L5" s="78"/>
      <c r="M5" s="78"/>
      <c r="N5" s="78"/>
      <c r="O5" s="281" t="s">
        <v>118</v>
      </c>
      <c r="P5" s="121">
        <v>0</v>
      </c>
    </row>
    <row r="6" spans="1:16" x14ac:dyDescent="0.35">
      <c r="A6" s="122" t="s">
        <v>119</v>
      </c>
      <c r="B6" s="123" t="s">
        <v>120</v>
      </c>
      <c r="C6" s="124">
        <v>0.42</v>
      </c>
      <c r="D6" s="124" t="s">
        <v>108</v>
      </c>
      <c r="E6" s="124">
        <v>1.56</v>
      </c>
      <c r="F6" s="125" t="s">
        <v>109</v>
      </c>
      <c r="G6" s="126">
        <v>0.43</v>
      </c>
      <c r="H6" s="124" t="s">
        <v>110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121</v>
      </c>
      <c r="B7" s="123" t="s">
        <v>122</v>
      </c>
      <c r="C7" s="124">
        <v>0.52</v>
      </c>
      <c r="D7" s="124" t="s">
        <v>108</v>
      </c>
      <c r="E7" s="124">
        <v>1.56</v>
      </c>
      <c r="F7" s="125" t="s">
        <v>109</v>
      </c>
      <c r="G7" s="126">
        <v>0.43</v>
      </c>
      <c r="H7" s="124" t="s">
        <v>110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123</v>
      </c>
      <c r="B8" s="123" t="s">
        <v>124</v>
      </c>
      <c r="C8" s="124">
        <v>0.36</v>
      </c>
      <c r="D8" s="124" t="s">
        <v>108</v>
      </c>
      <c r="E8" s="124">
        <v>1.3</v>
      </c>
      <c r="F8" s="125" t="s">
        <v>109</v>
      </c>
      <c r="G8" s="126">
        <v>0.55000000000000004</v>
      </c>
      <c r="H8" s="124" t="s">
        <v>125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126</v>
      </c>
      <c r="B9" s="123" t="s">
        <v>127</v>
      </c>
      <c r="C9" s="124">
        <v>0.61</v>
      </c>
      <c r="D9" s="124" t="s">
        <v>108</v>
      </c>
      <c r="E9" s="124">
        <v>1.56</v>
      </c>
      <c r="F9" s="125" t="s">
        <v>109</v>
      </c>
      <c r="G9" s="126">
        <v>0.43</v>
      </c>
      <c r="H9" s="124" t="s">
        <v>110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128</v>
      </c>
      <c r="B10" s="123" t="s">
        <v>129</v>
      </c>
      <c r="C10" s="124">
        <v>0.66</v>
      </c>
      <c r="D10" s="124" t="s">
        <v>108</v>
      </c>
      <c r="E10" s="124">
        <v>1.56</v>
      </c>
      <c r="F10" s="125" t="s">
        <v>109</v>
      </c>
      <c r="G10" s="126">
        <v>0.43</v>
      </c>
      <c r="H10" s="124" t="s">
        <v>110</v>
      </c>
      <c r="I10" s="127">
        <v>0.25</v>
      </c>
      <c r="J10" s="78"/>
      <c r="K10" s="78"/>
      <c r="L10" s="78"/>
      <c r="M10" s="78"/>
      <c r="N10" s="78"/>
      <c r="O10" s="281" t="s">
        <v>130</v>
      </c>
      <c r="P10" s="121">
        <v>0</v>
      </c>
    </row>
    <row r="11" spans="1:16" ht="15" thickBot="1" x14ac:dyDescent="0.4">
      <c r="A11" s="122" t="s">
        <v>131</v>
      </c>
      <c r="B11" s="123" t="s">
        <v>132</v>
      </c>
      <c r="C11" s="124">
        <v>0.47</v>
      </c>
      <c r="D11" s="124" t="s">
        <v>108</v>
      </c>
      <c r="E11" s="124">
        <v>1.56</v>
      </c>
      <c r="F11" s="125" t="s">
        <v>109</v>
      </c>
      <c r="G11" s="126">
        <v>0.43</v>
      </c>
      <c r="H11" s="124" t="s">
        <v>110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133</v>
      </c>
      <c r="B12" s="123" t="s">
        <v>134</v>
      </c>
      <c r="C12" s="124">
        <v>0.67</v>
      </c>
      <c r="D12" s="124" t="s">
        <v>108</v>
      </c>
      <c r="E12" s="124">
        <v>1.56</v>
      </c>
      <c r="F12" s="125" t="s">
        <v>109</v>
      </c>
      <c r="G12" s="126">
        <v>0.43</v>
      </c>
      <c r="H12" s="124" t="s">
        <v>135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136</v>
      </c>
      <c r="B13" s="123" t="s">
        <v>137</v>
      </c>
      <c r="C13" s="124">
        <v>0.7</v>
      </c>
      <c r="D13" s="124" t="s">
        <v>108</v>
      </c>
      <c r="E13" s="124">
        <v>1.56</v>
      </c>
      <c r="F13" s="125" t="s">
        <v>109</v>
      </c>
      <c r="G13" s="126">
        <v>0.43</v>
      </c>
      <c r="H13" s="124" t="s">
        <v>135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138</v>
      </c>
      <c r="B14" s="123" t="s">
        <v>139</v>
      </c>
      <c r="C14" s="124">
        <v>0.54</v>
      </c>
      <c r="D14" s="124" t="s">
        <v>108</v>
      </c>
      <c r="E14" s="124">
        <v>1.56</v>
      </c>
      <c r="F14" s="125" t="s">
        <v>109</v>
      </c>
      <c r="G14" s="126">
        <v>0.43</v>
      </c>
      <c r="H14" s="124" t="s">
        <v>135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140</v>
      </c>
      <c r="B15" s="123" t="s">
        <v>141</v>
      </c>
      <c r="C15" s="124">
        <v>0.65</v>
      </c>
      <c r="D15" s="124" t="s">
        <v>108</v>
      </c>
      <c r="E15" s="124">
        <v>1.56</v>
      </c>
      <c r="F15" s="125" t="s">
        <v>109</v>
      </c>
      <c r="G15" s="126">
        <v>0.43</v>
      </c>
      <c r="H15" s="124" t="s">
        <v>135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142</v>
      </c>
      <c r="B16" s="123" t="s">
        <v>143</v>
      </c>
      <c r="C16" s="124">
        <v>0.56000000000000005</v>
      </c>
      <c r="D16" s="124" t="s">
        <v>108</v>
      </c>
      <c r="E16" s="124">
        <v>1.56</v>
      </c>
      <c r="F16" s="125" t="s">
        <v>109</v>
      </c>
      <c r="G16" s="126">
        <v>0.43</v>
      </c>
      <c r="H16" s="124" t="s">
        <v>135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144</v>
      </c>
      <c r="B17" s="123" t="s">
        <v>145</v>
      </c>
      <c r="C17" s="124">
        <v>0.57999999999999996</v>
      </c>
      <c r="D17" s="124" t="s">
        <v>108</v>
      </c>
      <c r="E17" s="124">
        <v>1.56</v>
      </c>
      <c r="F17" s="125" t="s">
        <v>109</v>
      </c>
      <c r="G17" s="126">
        <v>0.43</v>
      </c>
      <c r="H17" s="124" t="s">
        <v>135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146</v>
      </c>
      <c r="B18" s="123" t="s">
        <v>147</v>
      </c>
      <c r="C18" s="124">
        <v>0.64</v>
      </c>
      <c r="D18" s="124" t="s">
        <v>108</v>
      </c>
      <c r="E18" s="124">
        <v>1.56</v>
      </c>
      <c r="F18" s="125" t="s">
        <v>109</v>
      </c>
      <c r="G18" s="126">
        <v>0.43</v>
      </c>
      <c r="H18" s="124" t="s">
        <v>135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148</v>
      </c>
      <c r="B19" s="123" t="s">
        <v>149</v>
      </c>
      <c r="C19" s="124">
        <v>0.73</v>
      </c>
      <c r="D19" s="124" t="s">
        <v>108</v>
      </c>
      <c r="E19" s="124">
        <v>1.56</v>
      </c>
      <c r="F19" s="125" t="s">
        <v>109</v>
      </c>
      <c r="G19" s="126">
        <v>0.43</v>
      </c>
      <c r="H19" s="124" t="s">
        <v>135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150</v>
      </c>
      <c r="B20" s="123" t="s">
        <v>151</v>
      </c>
      <c r="C20" s="124">
        <v>0.69</v>
      </c>
      <c r="D20" s="124" t="s">
        <v>152</v>
      </c>
      <c r="E20" s="124">
        <v>1.56</v>
      </c>
      <c r="F20" s="125" t="s">
        <v>109</v>
      </c>
      <c r="G20" s="126">
        <v>0.43</v>
      </c>
      <c r="H20" s="124" t="s">
        <v>153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108</v>
      </c>
      <c r="E21" s="124">
        <v>1.3</v>
      </c>
      <c r="F21" s="125" t="s">
        <v>109</v>
      </c>
      <c r="G21" s="126">
        <v>0.55000000000000004</v>
      </c>
      <c r="H21" s="124" t="s">
        <v>125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156</v>
      </c>
      <c r="B22" s="123" t="s">
        <v>157</v>
      </c>
      <c r="C22" s="124">
        <v>0.4</v>
      </c>
      <c r="D22" s="124" t="s">
        <v>108</v>
      </c>
      <c r="E22" s="124">
        <v>1.3</v>
      </c>
      <c r="F22" s="125" t="s">
        <v>109</v>
      </c>
      <c r="G22" s="126">
        <v>0.55000000000000004</v>
      </c>
      <c r="H22" s="124" t="s">
        <v>125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158</v>
      </c>
      <c r="B23" s="123" t="s">
        <v>159</v>
      </c>
      <c r="C23" s="124">
        <v>0.43</v>
      </c>
      <c r="D23" s="124" t="s">
        <v>108</v>
      </c>
      <c r="E23" s="124">
        <v>1.3</v>
      </c>
      <c r="F23" s="125" t="s">
        <v>109</v>
      </c>
      <c r="G23" s="126">
        <v>0.55000000000000004</v>
      </c>
      <c r="H23" s="124" t="s">
        <v>125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160</v>
      </c>
      <c r="B24" s="123" t="s">
        <v>161</v>
      </c>
      <c r="C24" s="124">
        <v>0.37</v>
      </c>
      <c r="D24" s="124" t="s">
        <v>108</v>
      </c>
      <c r="E24" s="124">
        <v>1.3</v>
      </c>
      <c r="F24" s="125" t="s">
        <v>109</v>
      </c>
      <c r="G24" s="126">
        <v>0.55000000000000004</v>
      </c>
      <c r="H24" s="124" t="s">
        <v>135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162</v>
      </c>
      <c r="B25" s="123" t="s">
        <v>163</v>
      </c>
      <c r="C25" s="124">
        <v>0.36</v>
      </c>
      <c r="D25" s="124" t="s">
        <v>108</v>
      </c>
      <c r="E25" s="124">
        <v>1.3</v>
      </c>
      <c r="F25" s="125" t="s">
        <v>109</v>
      </c>
      <c r="G25" s="126">
        <v>0.55000000000000004</v>
      </c>
      <c r="H25" s="124" t="s">
        <v>135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164</v>
      </c>
      <c r="B26" s="123" t="s">
        <v>165</v>
      </c>
      <c r="C26" s="124">
        <v>0.56000000000000005</v>
      </c>
      <c r="D26" s="124" t="s">
        <v>108</v>
      </c>
      <c r="E26" s="124">
        <v>1.56</v>
      </c>
      <c r="F26" s="125" t="s">
        <v>109</v>
      </c>
      <c r="G26" s="126">
        <v>0.53</v>
      </c>
      <c r="H26" s="124" t="s">
        <v>166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167</v>
      </c>
      <c r="B27" s="123" t="s">
        <v>168</v>
      </c>
      <c r="C27" s="124">
        <v>0.51</v>
      </c>
      <c r="D27" s="124" t="s">
        <v>108</v>
      </c>
      <c r="E27" s="124">
        <v>1.56</v>
      </c>
      <c r="F27" s="125" t="s">
        <v>109</v>
      </c>
      <c r="G27" s="126">
        <v>0.53</v>
      </c>
      <c r="H27" s="124" t="s">
        <v>166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169</v>
      </c>
      <c r="B28" s="123" t="s">
        <v>170</v>
      </c>
      <c r="C28" s="124">
        <v>0.51</v>
      </c>
      <c r="D28" s="124" t="s">
        <v>108</v>
      </c>
      <c r="E28" s="124">
        <v>1.56</v>
      </c>
      <c r="F28" s="125" t="s">
        <v>109</v>
      </c>
      <c r="G28" s="126">
        <v>0.53</v>
      </c>
      <c r="H28" s="124" t="s">
        <v>166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171</v>
      </c>
      <c r="B29" s="123" t="s">
        <v>171</v>
      </c>
      <c r="C29" s="124">
        <v>0.56000000000000005</v>
      </c>
      <c r="D29" s="124" t="s">
        <v>108</v>
      </c>
      <c r="E29" s="124">
        <v>1.56</v>
      </c>
      <c r="F29" s="125" t="s">
        <v>109</v>
      </c>
      <c r="G29" s="126">
        <v>0.53</v>
      </c>
      <c r="H29" s="124" t="s">
        <v>166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172</v>
      </c>
      <c r="B30" s="123" t="s">
        <v>173</v>
      </c>
      <c r="C30" s="124">
        <v>0.55000000000000004</v>
      </c>
      <c r="D30" s="124" t="s">
        <v>108</v>
      </c>
      <c r="E30" s="124">
        <v>1.56</v>
      </c>
      <c r="F30" s="125" t="s">
        <v>109</v>
      </c>
      <c r="G30" s="126">
        <v>0.53</v>
      </c>
      <c r="H30" s="124" t="s">
        <v>135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174</v>
      </c>
      <c r="B31" s="123" t="s">
        <v>175</v>
      </c>
      <c r="C31" s="124">
        <v>0.56000000000000005</v>
      </c>
      <c r="D31" s="124" t="s">
        <v>108</v>
      </c>
      <c r="E31" s="124">
        <v>1.56</v>
      </c>
      <c r="F31" s="125" t="s">
        <v>109</v>
      </c>
      <c r="G31" s="126">
        <v>0.43</v>
      </c>
      <c r="H31" s="124" t="s">
        <v>110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176</v>
      </c>
      <c r="B32" s="123" t="s">
        <v>177</v>
      </c>
      <c r="C32" s="124">
        <v>0.48</v>
      </c>
      <c r="D32" s="124" t="s">
        <v>108</v>
      </c>
      <c r="E32" s="124">
        <v>1.3</v>
      </c>
      <c r="F32" s="125" t="s">
        <v>109</v>
      </c>
      <c r="G32" s="126">
        <v>0.6</v>
      </c>
      <c r="H32" s="124" t="s">
        <v>178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179</v>
      </c>
      <c r="B33" s="123" t="s">
        <v>180</v>
      </c>
      <c r="C33" s="124">
        <v>0.42</v>
      </c>
      <c r="D33" s="124" t="s">
        <v>108</v>
      </c>
      <c r="E33" s="124">
        <v>1.3</v>
      </c>
      <c r="F33" s="125" t="s">
        <v>109</v>
      </c>
      <c r="G33" s="126">
        <v>0.6</v>
      </c>
      <c r="H33" s="124" t="s">
        <v>178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181</v>
      </c>
      <c r="B34" s="123" t="s">
        <v>182</v>
      </c>
      <c r="C34" s="124">
        <v>0.42</v>
      </c>
      <c r="D34" s="124" t="s">
        <v>183</v>
      </c>
      <c r="E34" s="124">
        <v>1.3</v>
      </c>
      <c r="F34" s="125" t="s">
        <v>109</v>
      </c>
      <c r="G34" s="126">
        <v>0.6</v>
      </c>
      <c r="H34" s="123" t="s">
        <v>184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185</v>
      </c>
      <c r="B35" s="123" t="s">
        <v>186</v>
      </c>
      <c r="C35" s="124">
        <v>0.5</v>
      </c>
      <c r="D35" s="124" t="s">
        <v>108</v>
      </c>
      <c r="E35" s="124">
        <v>1.56</v>
      </c>
      <c r="F35" s="125" t="s">
        <v>109</v>
      </c>
      <c r="G35" s="126">
        <v>0.43</v>
      </c>
      <c r="H35" s="124" t="s">
        <v>110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187</v>
      </c>
      <c r="B36" s="123" t="s">
        <v>188</v>
      </c>
      <c r="C36" s="124">
        <v>0.55000000000000004</v>
      </c>
      <c r="D36" s="124" t="s">
        <v>108</v>
      </c>
      <c r="E36" s="124">
        <v>1.56</v>
      </c>
      <c r="F36" s="125" t="s">
        <v>109</v>
      </c>
      <c r="G36" s="126">
        <v>0.53</v>
      </c>
      <c r="H36" s="124" t="s">
        <v>166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189</v>
      </c>
      <c r="B37" s="123" t="s">
        <v>190</v>
      </c>
      <c r="C37" s="124">
        <v>0.52</v>
      </c>
      <c r="D37" s="124" t="s">
        <v>108</v>
      </c>
      <c r="E37" s="124">
        <v>1.56</v>
      </c>
      <c r="F37" s="125" t="s">
        <v>109</v>
      </c>
      <c r="G37" s="126">
        <v>0.53</v>
      </c>
      <c r="H37" s="124" t="s">
        <v>166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191</v>
      </c>
      <c r="B38" s="123" t="s">
        <v>192</v>
      </c>
      <c r="C38" s="124">
        <v>0.52</v>
      </c>
      <c r="D38" s="124" t="s">
        <v>108</v>
      </c>
      <c r="E38" s="124">
        <v>1.56</v>
      </c>
      <c r="F38" s="125" t="s">
        <v>109</v>
      </c>
      <c r="G38" s="126">
        <v>0.43</v>
      </c>
      <c r="H38" s="124" t="s">
        <v>110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193</v>
      </c>
      <c r="B39" s="123" t="s">
        <v>194</v>
      </c>
      <c r="C39" s="124">
        <v>0.313</v>
      </c>
      <c r="D39" s="124" t="s">
        <v>195</v>
      </c>
      <c r="E39" s="124">
        <v>1.56</v>
      </c>
      <c r="F39" s="125" t="s">
        <v>109</v>
      </c>
      <c r="G39" s="126">
        <v>0.6</v>
      </c>
      <c r="H39" s="124" t="s">
        <v>196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197</v>
      </c>
      <c r="B40" s="123" t="s">
        <v>194</v>
      </c>
      <c r="C40" s="124">
        <v>0.35199999999999998</v>
      </c>
      <c r="D40" s="124" t="s">
        <v>195</v>
      </c>
      <c r="E40" s="124">
        <v>1.56</v>
      </c>
      <c r="F40" s="125" t="s">
        <v>109</v>
      </c>
      <c r="G40" s="126">
        <v>0.6</v>
      </c>
      <c r="H40" s="124" t="s">
        <v>196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198</v>
      </c>
      <c r="B41" s="123" t="s">
        <v>194</v>
      </c>
      <c r="C41" s="124">
        <v>0.32200000000000001</v>
      </c>
      <c r="D41" s="124" t="s">
        <v>195</v>
      </c>
      <c r="E41" s="124">
        <v>1.56</v>
      </c>
      <c r="F41" s="125" t="s">
        <v>109</v>
      </c>
      <c r="G41" s="126">
        <v>0.6</v>
      </c>
      <c r="H41" s="124" t="s">
        <v>196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199</v>
      </c>
      <c r="B42" s="123" t="s">
        <v>194</v>
      </c>
      <c r="C42" s="124">
        <v>0.311</v>
      </c>
      <c r="D42" s="124" t="s">
        <v>195</v>
      </c>
      <c r="E42" s="124">
        <v>1.56</v>
      </c>
      <c r="F42" s="125" t="s">
        <v>109</v>
      </c>
      <c r="G42" s="126">
        <v>0.6</v>
      </c>
      <c r="H42" s="124" t="s">
        <v>196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200</v>
      </c>
      <c r="B43" s="123" t="s">
        <v>194</v>
      </c>
      <c r="C43" s="124">
        <v>0.33900000000000002</v>
      </c>
      <c r="D43" s="124" t="s">
        <v>195</v>
      </c>
      <c r="E43" s="124">
        <v>1.56</v>
      </c>
      <c r="F43" s="125" t="s">
        <v>109</v>
      </c>
      <c r="G43" s="126">
        <v>0.6</v>
      </c>
      <c r="H43" s="124" t="s">
        <v>196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201</v>
      </c>
      <c r="B44" s="123" t="s">
        <v>194</v>
      </c>
      <c r="C44" s="124">
        <v>0.33600000000000002</v>
      </c>
      <c r="D44" s="124" t="s">
        <v>195</v>
      </c>
      <c r="E44" s="124">
        <v>1.56</v>
      </c>
      <c r="F44" s="125" t="s">
        <v>109</v>
      </c>
      <c r="G44" s="126">
        <v>0.6</v>
      </c>
      <c r="H44" s="124" t="s">
        <v>196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202</v>
      </c>
      <c r="B45" s="123" t="s">
        <v>194</v>
      </c>
      <c r="C45" s="124">
        <v>0.32900000000000001</v>
      </c>
      <c r="D45" s="124" t="s">
        <v>195</v>
      </c>
      <c r="E45" s="124">
        <v>1.56</v>
      </c>
      <c r="F45" s="125" t="s">
        <v>109</v>
      </c>
      <c r="G45" s="126">
        <v>0.6</v>
      </c>
      <c r="H45" s="124" t="s">
        <v>196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203</v>
      </c>
      <c r="B46" s="123" t="s">
        <v>194</v>
      </c>
      <c r="C46" s="124">
        <v>0.34300000000000003</v>
      </c>
      <c r="D46" s="124" t="s">
        <v>195</v>
      </c>
      <c r="E46" s="124">
        <v>1.56</v>
      </c>
      <c r="F46" s="125" t="s">
        <v>109</v>
      </c>
      <c r="G46" s="126">
        <v>0.6</v>
      </c>
      <c r="H46" s="124" t="s">
        <v>196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204</v>
      </c>
      <c r="B47" s="123" t="s">
        <v>194</v>
      </c>
      <c r="C47" s="124">
        <v>0.32500000000000001</v>
      </c>
      <c r="D47" s="124" t="s">
        <v>195</v>
      </c>
      <c r="E47" s="124">
        <v>1.56</v>
      </c>
      <c r="F47" s="125" t="s">
        <v>109</v>
      </c>
      <c r="G47" s="126">
        <v>0.6</v>
      </c>
      <c r="H47" s="124" t="s">
        <v>196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205</v>
      </c>
      <c r="B48" s="123" t="s">
        <v>194</v>
      </c>
      <c r="C48" s="124">
        <v>0.32</v>
      </c>
      <c r="D48" s="124" t="s">
        <v>195</v>
      </c>
      <c r="E48" s="124">
        <v>1.56</v>
      </c>
      <c r="F48" s="125" t="s">
        <v>109</v>
      </c>
      <c r="G48" s="126">
        <v>0.6</v>
      </c>
      <c r="H48" s="124" t="s">
        <v>196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206</v>
      </c>
      <c r="B49" s="123" t="s">
        <v>194</v>
      </c>
      <c r="C49" s="124">
        <v>0.28199999999999997</v>
      </c>
      <c r="D49" s="124" t="s">
        <v>195</v>
      </c>
      <c r="E49" s="124">
        <v>1.56</v>
      </c>
      <c r="F49" s="125" t="s">
        <v>109</v>
      </c>
      <c r="G49" s="126">
        <v>0.6</v>
      </c>
      <c r="H49" s="124" t="s">
        <v>196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207</v>
      </c>
      <c r="B50" s="123" t="s">
        <v>194</v>
      </c>
      <c r="C50" s="124">
        <v>0.32800000000000001</v>
      </c>
      <c r="D50" s="124" t="s">
        <v>195</v>
      </c>
      <c r="E50" s="124">
        <v>1.56</v>
      </c>
      <c r="F50" s="125" t="s">
        <v>109</v>
      </c>
      <c r="G50" s="126">
        <v>0.6</v>
      </c>
      <c r="H50" s="124" t="s">
        <v>196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16</v>
      </c>
      <c r="B51" s="123" t="s">
        <v>194</v>
      </c>
      <c r="C51" s="124">
        <v>0.32600000000000001</v>
      </c>
      <c r="D51" s="124" t="s">
        <v>195</v>
      </c>
      <c r="E51" s="124">
        <v>1.56</v>
      </c>
      <c r="F51" s="125" t="s">
        <v>109</v>
      </c>
      <c r="G51" s="126">
        <v>0.6</v>
      </c>
      <c r="H51" s="124" t="s">
        <v>196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194</v>
      </c>
      <c r="C52" s="124">
        <v>0.35899999999999999</v>
      </c>
      <c r="D52" s="124" t="s">
        <v>195</v>
      </c>
      <c r="E52" s="124">
        <v>1.56</v>
      </c>
      <c r="F52" s="125" t="s">
        <v>109</v>
      </c>
      <c r="G52" s="126">
        <v>0.6</v>
      </c>
      <c r="H52" s="124" t="s">
        <v>196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194</v>
      </c>
      <c r="C53" s="124">
        <v>0.34599999999999997</v>
      </c>
      <c r="D53" s="124" t="s">
        <v>195</v>
      </c>
      <c r="E53" s="124">
        <v>1.56</v>
      </c>
      <c r="F53" s="125" t="s">
        <v>109</v>
      </c>
      <c r="G53" s="126">
        <v>0.6</v>
      </c>
      <c r="H53" s="124" t="s">
        <v>196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194</v>
      </c>
      <c r="C54" s="124">
        <v>0.32600000000000001</v>
      </c>
      <c r="D54" s="124" t="s">
        <v>195</v>
      </c>
      <c r="E54" s="124">
        <v>1.56</v>
      </c>
      <c r="F54" s="125" t="s">
        <v>109</v>
      </c>
      <c r="G54" s="126">
        <v>0.6</v>
      </c>
      <c r="H54" s="124" t="s">
        <v>196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194</v>
      </c>
      <c r="C55" s="124">
        <v>0.30499999999999999</v>
      </c>
      <c r="D55" s="124" t="s">
        <v>195</v>
      </c>
      <c r="E55" s="124">
        <v>1.56</v>
      </c>
      <c r="F55" s="125" t="s">
        <v>109</v>
      </c>
      <c r="G55" s="126">
        <v>0.6</v>
      </c>
      <c r="H55" s="124" t="s">
        <v>196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194</v>
      </c>
      <c r="C56" s="124">
        <v>0.32300000000000001</v>
      </c>
      <c r="D56" s="124" t="s">
        <v>195</v>
      </c>
      <c r="E56" s="124">
        <v>1.56</v>
      </c>
      <c r="F56" s="125" t="s">
        <v>109</v>
      </c>
      <c r="G56" s="126">
        <v>0.6</v>
      </c>
      <c r="H56" s="124" t="s">
        <v>196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194</v>
      </c>
      <c r="C57" s="124">
        <v>0.36699999999999999</v>
      </c>
      <c r="D57" s="124" t="s">
        <v>195</v>
      </c>
      <c r="E57" s="124">
        <v>1.56</v>
      </c>
      <c r="F57" s="125" t="s">
        <v>109</v>
      </c>
      <c r="G57" s="126">
        <v>0.6</v>
      </c>
      <c r="H57" s="124" t="s">
        <v>196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194</v>
      </c>
      <c r="C58" s="124">
        <v>0.36</v>
      </c>
      <c r="D58" s="124" t="s">
        <v>195</v>
      </c>
      <c r="E58" s="124">
        <v>1.56</v>
      </c>
      <c r="F58" s="125" t="s">
        <v>109</v>
      </c>
      <c r="G58" s="126">
        <v>0.6</v>
      </c>
      <c r="H58" s="124" t="s">
        <v>196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194</v>
      </c>
      <c r="C59" s="124">
        <v>0.36799999999999999</v>
      </c>
      <c r="D59" s="124" t="s">
        <v>195</v>
      </c>
      <c r="E59" s="124">
        <v>1.56</v>
      </c>
      <c r="F59" s="125" t="s">
        <v>109</v>
      </c>
      <c r="G59" s="126">
        <v>0.6</v>
      </c>
      <c r="H59" s="124" t="s">
        <v>196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194</v>
      </c>
      <c r="C60" s="124">
        <v>0.30599999999999999</v>
      </c>
      <c r="D60" s="124" t="s">
        <v>195</v>
      </c>
      <c r="E60" s="124">
        <v>1.56</v>
      </c>
      <c r="F60" s="125" t="s">
        <v>109</v>
      </c>
      <c r="G60" s="126">
        <v>0.6</v>
      </c>
      <c r="H60" s="124" t="s">
        <v>196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194</v>
      </c>
      <c r="C61" s="124">
        <v>0.313</v>
      </c>
      <c r="D61" s="124" t="s">
        <v>195</v>
      </c>
      <c r="E61" s="124">
        <v>1.56</v>
      </c>
      <c r="F61" s="125" t="s">
        <v>109</v>
      </c>
      <c r="G61" s="126">
        <v>0.6</v>
      </c>
      <c r="H61" s="124" t="s">
        <v>196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108</v>
      </c>
      <c r="E62" s="124">
        <v>1.56</v>
      </c>
      <c r="F62" s="125" t="s">
        <v>109</v>
      </c>
      <c r="G62" s="126">
        <v>0.6</v>
      </c>
      <c r="H62" s="124" t="s">
        <v>196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108</v>
      </c>
      <c r="E63" s="124">
        <v>1.3</v>
      </c>
      <c r="F63" s="125" t="s">
        <v>109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108</v>
      </c>
      <c r="E64" s="124">
        <v>1.3</v>
      </c>
      <c r="F64" s="125" t="s">
        <v>109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108</v>
      </c>
      <c r="E65" s="124">
        <v>1.3</v>
      </c>
      <c r="F65" s="125" t="s">
        <v>109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108</v>
      </c>
      <c r="E66" s="124">
        <v>1.3</v>
      </c>
      <c r="F66" s="125" t="s">
        <v>109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229</v>
      </c>
      <c r="B67" s="123" t="s">
        <v>230</v>
      </c>
      <c r="C67" s="124">
        <v>0.46</v>
      </c>
      <c r="D67" s="124" t="s">
        <v>108</v>
      </c>
      <c r="E67" s="124">
        <v>1.3</v>
      </c>
      <c r="F67" s="125" t="s">
        <v>109</v>
      </c>
      <c r="G67" s="126">
        <v>0.45</v>
      </c>
      <c r="H67" s="124" t="s">
        <v>135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231</v>
      </c>
      <c r="B68" s="123" t="s">
        <v>232</v>
      </c>
      <c r="C68" s="124">
        <v>0.44</v>
      </c>
      <c r="D68" s="124" t="s">
        <v>108</v>
      </c>
      <c r="E68" s="124">
        <v>1.3</v>
      </c>
      <c r="F68" s="125" t="s">
        <v>109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233</v>
      </c>
      <c r="B69" s="123" t="s">
        <v>234</v>
      </c>
      <c r="C69" s="124">
        <v>0.46</v>
      </c>
      <c r="D69" s="124" t="s">
        <v>108</v>
      </c>
      <c r="E69" s="124">
        <v>1.3</v>
      </c>
      <c r="F69" s="125" t="s">
        <v>109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235</v>
      </c>
      <c r="B70" s="123" t="s">
        <v>236</v>
      </c>
      <c r="C70" s="124">
        <v>0.48</v>
      </c>
      <c r="D70" s="124" t="s">
        <v>108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109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241</v>
      </c>
      <c r="B72" s="123" t="s">
        <v>242</v>
      </c>
      <c r="C72" s="124">
        <v>0.44</v>
      </c>
      <c r="D72" s="124" t="s">
        <v>108</v>
      </c>
      <c r="E72" s="124">
        <v>1.3</v>
      </c>
      <c r="F72" s="125" t="s">
        <v>109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109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246</v>
      </c>
      <c r="B74" s="123" t="s">
        <v>247</v>
      </c>
      <c r="C74" s="124">
        <v>0.34</v>
      </c>
      <c r="D74" s="124" t="s">
        <v>108</v>
      </c>
      <c r="E74" s="124">
        <v>1.3</v>
      </c>
      <c r="F74" s="125" t="s">
        <v>109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248</v>
      </c>
      <c r="B75" s="123" t="s">
        <v>249</v>
      </c>
      <c r="C75" s="124">
        <v>0.5</v>
      </c>
      <c r="D75" s="124" t="s">
        <v>108</v>
      </c>
      <c r="E75" s="124">
        <v>1.56</v>
      </c>
      <c r="F75" s="125" t="s">
        <v>109</v>
      </c>
      <c r="G75" s="126">
        <v>0.53</v>
      </c>
      <c r="H75" s="124" t="s">
        <v>166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250</v>
      </c>
      <c r="B76" s="123" t="s">
        <v>251</v>
      </c>
      <c r="C76" s="124">
        <v>0.57999999999999996</v>
      </c>
      <c r="D76" s="124" t="s">
        <v>108</v>
      </c>
      <c r="E76" s="124">
        <v>1.56</v>
      </c>
      <c r="F76" s="125" t="s">
        <v>109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253</v>
      </c>
      <c r="B77" s="123" t="s">
        <v>254</v>
      </c>
      <c r="C77" s="124">
        <v>0.37</v>
      </c>
      <c r="D77" s="124" t="s">
        <v>108</v>
      </c>
      <c r="E77" s="124">
        <v>1.3</v>
      </c>
      <c r="F77" s="125" t="s">
        <v>109</v>
      </c>
      <c r="G77" s="126">
        <v>0.55000000000000004</v>
      </c>
      <c r="H77" s="124" t="s">
        <v>135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255</v>
      </c>
      <c r="B78" s="123" t="s">
        <v>256</v>
      </c>
      <c r="C78" s="124">
        <v>0.37</v>
      </c>
      <c r="D78" s="124" t="s">
        <v>108</v>
      </c>
      <c r="E78" s="124">
        <v>1.3</v>
      </c>
      <c r="F78" s="125" t="s">
        <v>109</v>
      </c>
      <c r="G78" s="126">
        <v>0.55000000000000004</v>
      </c>
      <c r="H78" s="124" t="s">
        <v>135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108</v>
      </c>
      <c r="E79" s="124">
        <v>1.3</v>
      </c>
      <c r="F79" s="125" t="s">
        <v>109</v>
      </c>
      <c r="G79" s="126">
        <v>0.55000000000000004</v>
      </c>
      <c r="H79" s="124" t="s">
        <v>125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108</v>
      </c>
      <c r="E80" s="124">
        <v>1.3</v>
      </c>
      <c r="F80" s="125" t="s">
        <v>109</v>
      </c>
      <c r="G80" s="126">
        <v>0.55000000000000004</v>
      </c>
      <c r="H80" s="124" t="s">
        <v>125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108</v>
      </c>
      <c r="E81" s="124">
        <v>1.56</v>
      </c>
      <c r="F81" s="125" t="s">
        <v>109</v>
      </c>
      <c r="G81" s="126">
        <v>0.43</v>
      </c>
      <c r="H81" s="124" t="s">
        <v>110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109</v>
      </c>
      <c r="G82" s="126">
        <v>0.55000000000000004</v>
      </c>
      <c r="H82" s="124" t="s">
        <v>125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108</v>
      </c>
      <c r="E83" s="124">
        <v>1.3</v>
      </c>
      <c r="F83" s="125" t="s">
        <v>109</v>
      </c>
      <c r="G83" s="126">
        <v>0.55000000000000004</v>
      </c>
      <c r="H83" s="124" t="s">
        <v>125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108</v>
      </c>
      <c r="E84" s="124">
        <v>1.3</v>
      </c>
      <c r="F84" s="125" t="s">
        <v>109</v>
      </c>
      <c r="G84" s="126">
        <v>0.55000000000000004</v>
      </c>
      <c r="H84" s="124" t="s">
        <v>125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108</v>
      </c>
      <c r="E85" s="124">
        <v>1.56</v>
      </c>
      <c r="F85" s="125" t="s">
        <v>109</v>
      </c>
      <c r="G85" s="126">
        <v>0.53</v>
      </c>
      <c r="H85" s="124" t="s">
        <v>166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108</v>
      </c>
      <c r="E86" s="124">
        <v>1.56</v>
      </c>
      <c r="F86" s="125" t="s">
        <v>109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109</v>
      </c>
      <c r="G87" s="255">
        <v>0.43</v>
      </c>
      <c r="H87" s="253" t="s">
        <v>110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68</v>
      </c>
      <c r="B88" s="130"/>
      <c r="C88" s="124">
        <v>0.42</v>
      </c>
      <c r="D88" s="124" t="s">
        <v>108</v>
      </c>
      <c r="E88" s="124">
        <v>1.3</v>
      </c>
      <c r="F88" s="125" t="s">
        <v>109</v>
      </c>
      <c r="G88" s="131"/>
      <c r="H88" s="130"/>
      <c r="I88" s="132"/>
    </row>
    <row r="89" spans="1:14" ht="15" thickBot="1" x14ac:dyDescent="0.4">
      <c r="A89" s="133" t="s">
        <v>278</v>
      </c>
      <c r="B89" s="134"/>
      <c r="C89" s="135">
        <v>0.56999999999999995</v>
      </c>
      <c r="D89" s="136" t="s">
        <v>108</v>
      </c>
      <c r="E89" s="135">
        <v>1.56</v>
      </c>
      <c r="F89" s="135" t="s">
        <v>109</v>
      </c>
      <c r="G89" s="134"/>
      <c r="H89" s="134"/>
      <c r="I89" s="137"/>
    </row>
    <row r="93" spans="1:14" x14ac:dyDescent="0.35">
      <c r="A93" s="122" t="s">
        <v>69</v>
      </c>
    </row>
    <row r="94" spans="1:14" x14ac:dyDescent="0.35">
      <c r="A94" s="122" t="s">
        <v>70</v>
      </c>
    </row>
    <row r="95" spans="1:14" x14ac:dyDescent="0.35">
      <c r="A95" s="122" t="s">
        <v>71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N6" sqref="N6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taeda</v>
      </c>
      <c r="B6" s="146">
        <f>'Données projet'!D9</f>
        <v>2.38</v>
      </c>
      <c r="C6" s="147">
        <f ca="1">IF(OR('Données projet'!B9="",'Données projet'!C9="",'Données projet'!C9=0%),0,Calculateur!S3)</f>
        <v>323.20040177531774</v>
      </c>
      <c r="D6" s="147">
        <f>IF(OR('Données projet'!B9="",'Données projet'!C9="",'Données projet'!C9=0%),0,Calculateur!T3)</f>
        <v>402.87981443974337</v>
      </c>
      <c r="E6" s="147">
        <f ca="1">MIN(C6,D6)</f>
        <v>323.20040177531774</v>
      </c>
      <c r="F6" s="147">
        <f ca="1">E6*B6</f>
        <v>769.21695622525624</v>
      </c>
      <c r="G6" s="147">
        <f ca="1">F6*(100%-'Données projet'!$C$24)*(100%-'Données projet'!$C$25)*(100%-'Données projet'!$C$26)*(100%-'Données projet'!$C$27)</f>
        <v>692.29526060273065</v>
      </c>
      <c r="H6" s="148">
        <f>IF(OR('Données projet'!B9="",'Données projet'!C9="",'Données projet'!C9=0%),0,AVERAGE(Calculateur!$AC$3:$AC$33)*B6)</f>
        <v>30.985084594057277</v>
      </c>
      <c r="I6" s="149">
        <f>H6*(100%-'Données projet'!$C$24)*(100%-'Données projet'!$C$25)*(100%-'Données projet'!$C$26)*(100%-'Données projet'!$C$27)</f>
        <v>27.886576134651548</v>
      </c>
      <c r="J6" s="150">
        <f>IF(OR('Données projet'!B9="",'Données projet'!C9="",'Données projet'!C9=0%),0,SUM(Calculateur!$V$3:$V$33)*VLOOKUP('Données projet'!$B$9,Paramètres!$A$1:$I$89,9,0)*B6)</f>
        <v>148.89682769230768</v>
      </c>
      <c r="K6" s="151">
        <f>J6*(100%-'Données projet'!$C$24)*(100%-'Données projet'!$C$25)*(100%-'Données projet'!$C$26)*(100%-'Données projet'!$C$27)</f>
        <v>134.00714492307691</v>
      </c>
      <c r="L6" s="152">
        <f ca="1">G6+I6+K6</f>
        <v>854.18898166045915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769.21695622525624</v>
      </c>
      <c r="G16" s="166">
        <f t="shared" ca="1" si="3"/>
        <v>692.29526060273065</v>
      </c>
      <c r="H16" s="167">
        <f t="shared" si="3"/>
        <v>30.985084594057277</v>
      </c>
      <c r="I16" s="167">
        <f t="shared" si="3"/>
        <v>27.886576134651548</v>
      </c>
      <c r="J16" s="168">
        <f t="shared" si="3"/>
        <v>148.89682769230768</v>
      </c>
      <c r="K16" s="168">
        <f t="shared" si="3"/>
        <v>134.00714492307691</v>
      </c>
      <c r="L16" s="169">
        <f t="shared" ca="1" si="3"/>
        <v>854.18898166045915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taeda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5" zoomScale="60" zoomScaleNormal="80" workbookViewId="0">
      <selection activeCell="I39" sqref="I39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292</v>
      </c>
      <c r="I4" s="262"/>
      <c r="K4" s="286" t="s">
        <v>293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54</v>
      </c>
      <c r="O7" s="247"/>
      <c r="P7" s="248"/>
      <c r="Q7" s="249"/>
      <c r="R7" s="296" t="s">
        <v>294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Pin taeda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3662.9136815546817</v>
      </c>
      <c r="U10" s="178">
        <f>'Données projet'!D9</f>
        <v>2.38</v>
      </c>
      <c r="V10" s="177">
        <f>U10*T10</f>
        <v>8717.7345621001423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Pin taeda</v>
      </c>
      <c r="C14" s="4"/>
      <c r="D14" s="4"/>
      <c r="E14" s="4"/>
      <c r="F14" s="230"/>
      <c r="G14" s="23"/>
      <c r="H14" s="36" t="s">
        <v>73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45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89"/>
      <c r="H16" s="190"/>
      <c r="I16" s="191"/>
      <c r="J16" s="202"/>
      <c r="K16" s="208"/>
      <c r="L16" s="286" t="s">
        <v>311</v>
      </c>
      <c r="M16" s="287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194</v>
      </c>
      <c r="C17" s="198" t="s">
        <v>194</v>
      </c>
      <c r="D17" s="197" t="s">
        <v>194</v>
      </c>
      <c r="E17" s="193"/>
      <c r="F17" s="230"/>
      <c r="G17" s="289"/>
      <c r="J17" s="202"/>
      <c r="K17" s="208"/>
      <c r="L17" s="259" t="s">
        <v>312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194</v>
      </c>
      <c r="C18" s="198" t="s">
        <v>194</v>
      </c>
      <c r="D18" s="197" t="s">
        <v>194</v>
      </c>
      <c r="E18" s="193"/>
      <c r="F18" s="230"/>
      <c r="G18" s="289"/>
      <c r="J18" s="202"/>
      <c r="K18" s="208"/>
      <c r="L18" s="259" t="s">
        <v>308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194</v>
      </c>
      <c r="C19" s="198" t="s">
        <v>194</v>
      </c>
      <c r="D19" s="197" t="s">
        <v>194</v>
      </c>
      <c r="E19" s="193"/>
      <c r="F19" s="230"/>
      <c r="G19" s="289"/>
      <c r="H19" s="212" t="s">
        <v>73</v>
      </c>
      <c r="I19" s="212" t="s">
        <v>313</v>
      </c>
      <c r="J19" s="93"/>
      <c r="K19" s="173"/>
      <c r="L19" s="286" t="s">
        <v>314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194</v>
      </c>
      <c r="C20" s="198" t="s">
        <v>194</v>
      </c>
      <c r="D20" s="197" t="s">
        <v>194</v>
      </c>
      <c r="E20" s="193"/>
      <c r="F20" s="230"/>
      <c r="G20" s="289"/>
      <c r="H20" s="190">
        <v>1</v>
      </c>
      <c r="I20" s="191">
        <v>852.6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194</v>
      </c>
      <c r="C21" s="198" t="s">
        <v>194</v>
      </c>
      <c r="D21" s="197" t="s">
        <v>194</v>
      </c>
      <c r="E21" s="193"/>
      <c r="F21" s="230"/>
      <c r="H21" s="190">
        <v>2</v>
      </c>
      <c r="I21" s="191">
        <v>852.6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194</v>
      </c>
      <c r="C22" s="198" t="s">
        <v>194</v>
      </c>
      <c r="D22" s="197" t="s">
        <v>194</v>
      </c>
      <c r="E22" s="193"/>
      <c r="F22" s="230"/>
      <c r="H22" s="190">
        <v>3</v>
      </c>
      <c r="I22" s="191">
        <v>852.6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15</v>
      </c>
      <c r="B23" s="181">
        <f>'Données projet'!D36</f>
        <v>49.784615384615385</v>
      </c>
      <c r="C23" s="193">
        <v>10</v>
      </c>
      <c r="D23" s="182">
        <f>B23*C23</f>
        <v>497.84615384615387</v>
      </c>
      <c r="E23" s="193">
        <v>150</v>
      </c>
      <c r="F23" s="230"/>
      <c r="H23" s="190">
        <v>4</v>
      </c>
      <c r="I23" s="191">
        <v>852.6</v>
      </c>
      <c r="K23" s="208"/>
      <c r="L23" s="288" t="s">
        <v>315</v>
      </c>
      <c r="M23" s="288"/>
      <c r="N23" s="288"/>
      <c r="O23" s="23"/>
      <c r="P23" s="23"/>
      <c r="Q23" s="234"/>
      <c r="R23" s="23"/>
      <c r="S23" s="36" t="s">
        <v>316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-190.35356797476015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20</v>
      </c>
      <c r="B24" s="181">
        <f>'Données projet'!D37</f>
        <v>48.723076923076924</v>
      </c>
      <c r="C24" s="193">
        <v>15</v>
      </c>
      <c r="D24" s="182">
        <f t="shared" ref="D24:D42" si="2">B24*C24</f>
        <v>730.84615384615381</v>
      </c>
      <c r="E24" s="193">
        <v>250</v>
      </c>
      <c r="F24" s="233"/>
      <c r="H24" s="190">
        <v>5</v>
      </c>
      <c r="I24" s="191">
        <v>852.6</v>
      </c>
      <c r="K24" s="208"/>
      <c r="O24" s="23"/>
      <c r="P24" s="23"/>
      <c r="Q24" s="234"/>
      <c r="R24" s="23"/>
      <c r="S24" s="36" t="s">
        <v>317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26</v>
      </c>
      <c r="B25" s="181">
        <f>'Données projet'!D38</f>
        <v>46.984615384615381</v>
      </c>
      <c r="C25" s="193">
        <v>25</v>
      </c>
      <c r="D25" s="182">
        <f t="shared" si="2"/>
        <v>1174.6153846153845</v>
      </c>
      <c r="E25" s="193">
        <v>250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303">
        <f ca="1">T23-T24</f>
        <v>-190.35356797476015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320</v>
      </c>
      <c r="M26" s="291"/>
      <c r="N26" s="291"/>
      <c r="O26" s="291"/>
      <c r="P26" s="292"/>
      <c r="Q26" s="234"/>
      <c r="R26" s="23"/>
      <c r="S26" s="186" t="s">
        <v>321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32</v>
      </c>
      <c r="B27" s="181">
        <f>'Données projet'!D40</f>
        <v>64.523076923076914</v>
      </c>
      <c r="C27" s="193">
        <v>30</v>
      </c>
      <c r="D27" s="182">
        <f t="shared" si="2"/>
        <v>1935.6923076923074</v>
      </c>
      <c r="E27" s="193">
        <v>250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322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40</v>
      </c>
      <c r="B28" s="181">
        <f>'Données projet'!D41</f>
        <v>92.661538461538456</v>
      </c>
      <c r="C28" s="193">
        <v>35</v>
      </c>
      <c r="D28" s="182">
        <f t="shared" si="2"/>
        <v>3243.1538461538457</v>
      </c>
      <c r="E28" s="193">
        <v>250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48</v>
      </c>
      <c r="B29" s="181">
        <f>'Données projet'!D42</f>
        <v>83.969230769230762</v>
      </c>
      <c r="C29" s="193">
        <v>40</v>
      </c>
      <c r="D29" s="182">
        <f t="shared" si="2"/>
        <v>3358.7692307692305</v>
      </c>
      <c r="E29" s="193">
        <v>250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56</v>
      </c>
      <c r="B30" s="181">
        <f>'Données projet'!D43</f>
        <v>446.47692307692301</v>
      </c>
      <c r="C30" s="193">
        <v>45</v>
      </c>
      <c r="D30" s="182">
        <f t="shared" si="2"/>
        <v>20091.461538461535</v>
      </c>
      <c r="E30" s="193">
        <v>250</v>
      </c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>B32*C32</f>
        <v>0</v>
      </c>
      <c r="E32" s="193"/>
      <c r="F32" s="233"/>
      <c r="G32" s="203"/>
      <c r="H32" s="190"/>
      <c r="I32" s="191"/>
      <c r="K32" s="173"/>
      <c r="N32" s="4"/>
      <c r="O32" s="85" t="s">
        <v>73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>B34*C34</f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45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194</v>
      </c>
      <c r="C48" s="198" t="s">
        <v>194</v>
      </c>
      <c r="D48" s="197" t="s">
        <v>194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194</v>
      </c>
      <c r="C49" s="198" t="s">
        <v>194</v>
      </c>
      <c r="D49" s="197" t="s">
        <v>194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194</v>
      </c>
      <c r="C50" s="198" t="s">
        <v>194</v>
      </c>
      <c r="D50" s="197" t="s">
        <v>194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194</v>
      </c>
      <c r="C51" s="198" t="s">
        <v>194</v>
      </c>
      <c r="D51" s="197" t="s">
        <v>194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194</v>
      </c>
      <c r="C52" s="198" t="s">
        <v>194</v>
      </c>
      <c r="D52" s="197" t="s">
        <v>194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194</v>
      </c>
      <c r="C53" s="198" t="s">
        <v>194</v>
      </c>
      <c r="D53" s="197" t="s">
        <v>194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19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45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194</v>
      </c>
      <c r="C79" s="198" t="s">
        <v>194</v>
      </c>
      <c r="D79" s="197" t="s">
        <v>194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194</v>
      </c>
      <c r="C80" s="198" t="s">
        <v>194</v>
      </c>
      <c r="D80" s="197" t="s">
        <v>194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194</v>
      </c>
      <c r="C81" s="198" t="s">
        <v>194</v>
      </c>
      <c r="D81" s="197" t="s">
        <v>194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194</v>
      </c>
      <c r="C82" s="198" t="s">
        <v>194</v>
      </c>
      <c r="D82" s="197" t="s">
        <v>194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194</v>
      </c>
      <c r="C83" s="198" t="s">
        <v>194</v>
      </c>
      <c r="D83" s="197" t="s">
        <v>194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194</v>
      </c>
      <c r="C84" s="198" t="s">
        <v>194</v>
      </c>
      <c r="D84" s="197" t="s">
        <v>194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20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45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194</v>
      </c>
      <c r="C110" s="198" t="s">
        <v>194</v>
      </c>
      <c r="D110" s="197" t="s">
        <v>194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194</v>
      </c>
      <c r="C111" s="198" t="s">
        <v>194</v>
      </c>
      <c r="D111" s="197" t="s">
        <v>194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194</v>
      </c>
      <c r="C112" s="198" t="s">
        <v>194</v>
      </c>
      <c r="D112" s="197" t="s">
        <v>194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194</v>
      </c>
      <c r="C113" s="198" t="s">
        <v>194</v>
      </c>
      <c r="D113" s="197" t="s">
        <v>194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194</v>
      </c>
      <c r="C114" s="198" t="s">
        <v>194</v>
      </c>
      <c r="D114" s="197" t="s">
        <v>194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194</v>
      </c>
      <c r="C115" s="198" t="s">
        <v>194</v>
      </c>
      <c r="D115" s="197" t="s">
        <v>194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21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45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194</v>
      </c>
      <c r="C141" s="198" t="s">
        <v>194</v>
      </c>
      <c r="D141" s="197" t="s">
        <v>194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194</v>
      </c>
      <c r="C142" s="198" t="s">
        <v>194</v>
      </c>
      <c r="D142" s="197" t="s">
        <v>194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194</v>
      </c>
      <c r="C143" s="198" t="s">
        <v>194</v>
      </c>
      <c r="D143" s="197" t="s">
        <v>194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194</v>
      </c>
      <c r="C144" s="198" t="s">
        <v>194</v>
      </c>
      <c r="D144" s="197" t="s">
        <v>194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194</v>
      </c>
      <c r="C145" s="198" t="s">
        <v>194</v>
      </c>
      <c r="D145" s="197" t="s">
        <v>194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194</v>
      </c>
      <c r="C146" s="198" t="s">
        <v>194</v>
      </c>
      <c r="D146" s="197" t="s">
        <v>194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22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45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194</v>
      </c>
      <c r="C172" s="198" t="s">
        <v>194</v>
      </c>
      <c r="D172" s="197" t="s">
        <v>194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194</v>
      </c>
      <c r="C173" s="198" t="s">
        <v>194</v>
      </c>
      <c r="D173" s="197" t="s">
        <v>194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194</v>
      </c>
      <c r="C174" s="198" t="s">
        <v>194</v>
      </c>
      <c r="D174" s="197" t="s">
        <v>194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194</v>
      </c>
      <c r="C175" s="198" t="s">
        <v>194</v>
      </c>
      <c r="D175" s="197" t="s">
        <v>194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194</v>
      </c>
      <c r="C176" s="198" t="s">
        <v>194</v>
      </c>
      <c r="D176" s="197" t="s">
        <v>194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194</v>
      </c>
      <c r="C177" s="198" t="s">
        <v>194</v>
      </c>
      <c r="D177" s="197" t="s">
        <v>194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23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45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194</v>
      </c>
      <c r="C203" s="198" t="s">
        <v>194</v>
      </c>
      <c r="D203" s="197" t="s">
        <v>194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194</v>
      </c>
      <c r="C204" s="198" t="s">
        <v>194</v>
      </c>
      <c r="D204" s="197" t="s">
        <v>194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194</v>
      </c>
      <c r="C205" s="198" t="s">
        <v>194</v>
      </c>
      <c r="D205" s="197" t="s">
        <v>194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194</v>
      </c>
      <c r="C206" s="198" t="s">
        <v>194</v>
      </c>
      <c r="D206" s="197" t="s">
        <v>194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194</v>
      </c>
      <c r="C207" s="198" t="s">
        <v>194</v>
      </c>
      <c r="D207" s="197" t="s">
        <v>194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194</v>
      </c>
      <c r="C208" s="198" t="s">
        <v>194</v>
      </c>
      <c r="D208" s="197" t="s">
        <v>194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24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45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194</v>
      </c>
      <c r="C234" s="198" t="s">
        <v>194</v>
      </c>
      <c r="D234" s="197" t="s">
        <v>194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194</v>
      </c>
      <c r="C235" s="198" t="s">
        <v>194</v>
      </c>
      <c r="D235" s="197" t="s">
        <v>194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194</v>
      </c>
      <c r="C236" s="198" t="s">
        <v>194</v>
      </c>
      <c r="D236" s="197" t="s">
        <v>194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194</v>
      </c>
      <c r="C237" s="198" t="s">
        <v>194</v>
      </c>
      <c r="D237" s="197" t="s">
        <v>194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194</v>
      </c>
      <c r="C238" s="198" t="s">
        <v>194</v>
      </c>
      <c r="D238" s="197" t="s">
        <v>194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194</v>
      </c>
      <c r="C239" s="198" t="s">
        <v>194</v>
      </c>
      <c r="D239" s="197" t="s">
        <v>194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25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45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194</v>
      </c>
      <c r="C265" s="198" t="s">
        <v>194</v>
      </c>
      <c r="D265" s="197" t="s">
        <v>194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194</v>
      </c>
      <c r="C266" s="198" t="s">
        <v>194</v>
      </c>
      <c r="D266" s="197" t="s">
        <v>194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194</v>
      </c>
      <c r="C267" s="198" t="s">
        <v>194</v>
      </c>
      <c r="D267" s="197" t="s">
        <v>194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194</v>
      </c>
      <c r="C268" s="198" t="s">
        <v>194</v>
      </c>
      <c r="D268" s="197" t="s">
        <v>194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194</v>
      </c>
      <c r="C269" s="198" t="s">
        <v>194</v>
      </c>
      <c r="D269" s="197" t="s">
        <v>194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194</v>
      </c>
      <c r="C270" s="198" t="s">
        <v>194</v>
      </c>
      <c r="D270" s="197" t="s">
        <v>194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26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45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194</v>
      </c>
      <c r="C296" s="198" t="s">
        <v>194</v>
      </c>
      <c r="D296" s="197" t="s">
        <v>194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194</v>
      </c>
      <c r="C297" s="198" t="s">
        <v>194</v>
      </c>
      <c r="D297" s="197" t="s">
        <v>194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194</v>
      </c>
      <c r="C298" s="198" t="s">
        <v>194</v>
      </c>
      <c r="D298" s="197" t="s">
        <v>194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194</v>
      </c>
      <c r="C299" s="198" t="s">
        <v>194</v>
      </c>
      <c r="D299" s="197" t="s">
        <v>194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194</v>
      </c>
      <c r="C300" s="198" t="s">
        <v>194</v>
      </c>
      <c r="D300" s="197" t="s">
        <v>194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194</v>
      </c>
      <c r="C301" s="198" t="s">
        <v>194</v>
      </c>
      <c r="D301" s="197" t="s">
        <v>194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honeticPr fontId="3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7" ma:contentTypeDescription="Create a new document." ma:contentTypeScope="" ma:versionID="b9006c8d36dc89b774cd2e169e3c0d6b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b21b1cac5a80b710dc0a199b0dfd872d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3553E7EF-84F9-44F3-9893-937D2146BD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34D239-4512-44ED-8E4D-1E26B36E9B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1ECDD4-F7B8-45C1-9709-E966AB77B522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Lou Gabrigs</cp:lastModifiedBy>
  <cp:revision/>
  <dcterms:created xsi:type="dcterms:W3CDTF">2021-02-01T08:22:39Z</dcterms:created>
  <dcterms:modified xsi:type="dcterms:W3CDTF">2025-09-11T13:46:39Z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