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_Dossiers prêts\8_EARL du Vallon - Axel Crestian (Unicoque)\Dossier d_instruction\"/>
    </mc:Choice>
  </mc:AlternateContent>
  <xr:revisionPtr revIDLastSave="0" documentId="13_ncr:1_{C4F47C9A-E447-4103-A6E7-CFF6719C7895}" xr6:coauthVersionLast="47" xr6:coauthVersionMax="47" xr10:uidLastSave="{00000000-0000-0000-0000-000000000000}"/>
  <bookViews>
    <workbookView xWindow="28680" yWindow="-120" windowWidth="29040" windowHeight="15840" tabRatio="71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B20" i="2"/>
  <c r="L22" i="2" s="1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F25" i="9" l="1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E25" i="9" s="1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<sst xmlns="http://schemas.openxmlformats.org/spreadsheetml/2006/main" count="909" uniqueCount="353">
  <si>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</si>
  <si>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</si>
  <si>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</si>
  <si>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</si>
  <si>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</si>
  <si>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</si>
  <si>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</si>
  <si>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</si>
  <si>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</si>
  <si>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</si>
  <si>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</si>
  <si>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</si>
  <si>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</si>
  <si>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</si>
  <si>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</si>
  <si>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</si>
  <si>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</si>
  <si>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</si>
  <si>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</si>
  <si>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</si>
  <si>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</si>
  <si>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</si>
  <si>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</si>
  <si>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</si>
  <si>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</si>
  <si>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</si>
  <si>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</si>
  <si>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</si>
  <si>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</si>
  <si>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</si>
  <si>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</si>
  <si>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</si>
  <si>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</si>
  <si>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</si>
  <si>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</si>
  <si>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</si>
  <si>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</si>
  <si>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</si>
  <si>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</si>
  <si>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</si>
  <si>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</si>
  <si>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</si>
  <si>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</si>
  <si>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</si>
  <si>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</si>
  <si>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</si>
  <si>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</si>
  <si>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</si>
  <si>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</si>
  <si>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</si>
  <si>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</si>
  <si>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</si>
  <si>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</si>
  <si>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</si>
  <si>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</si>
  <si>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</si>
  <si>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</si>
  <si>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</si>
  <si>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</si>
  <si>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</si>
  <si>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</si>
  <si>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</si>
  <si>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</si>
  <si>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</si>
  <si>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</si>
  <si>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</si>
  <si>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</si>
  <si>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</si>
  <si>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</si>
  <si>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</si>
  <si>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</si>
  <si>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</si>
  <si>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</si>
  <si>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</si>
  <si>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</si>
  <si>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</si>
  <si>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</si>
  <si>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</si>
  <si>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</si>
  <si>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</si>
  <si>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</si>
  <si>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</si>
  <si>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</si>
  <si>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</si>
  <si>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</si>
  <si>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</si>
  <si>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</si>
  <si>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</si>
  <si>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</si>
  <si>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</si>
  <si>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</si>
  <si>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</si>
  <si>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</si>
  <si>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</si>
  <si>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</si>
  <si>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</si>
  <si>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</si>
  <si>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</si>
  <si>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</si>
  <si>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</si>
  <si>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</si>
  <si>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</si>
  <si>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</si>
  <si>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</si>
  <si>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</si>
  <si>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</si>
  <si>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</si>
  <si>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</si>
  <si>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</si>
  <si>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</si>
  <si>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</si>
  <si>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</si>
  <si>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</si>
  <si>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</si>
  <si>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</si>
  <si>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</si>
  <si>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</si>
  <si>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</si>
  <si>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</si>
  <si>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</si>
  <si>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</si>
  <si>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</si>
  <si>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</si>
  <si>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</si>
  <si>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</si>
  <si>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</si>
  <si>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</si>
  <si>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</si>
  <si>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</si>
  <si>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</si>
  <si>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</si>
  <si>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</si>
  <si>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</si>
  <si>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</si>
  <si>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</si>
  <si>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</si>
  <si>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</si>
  <si>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</si>
  <si>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</si>
  <si>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</si>
  <si>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</si>
  <si>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</si>
  <si>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</si>
  <si>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</si>
  <si>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</si>
  <si>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</si>
  <si>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</si>
  <si>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</si>
  <si>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</si>
  <si>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</si>
  <si>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</si>
  <si>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</si>
  <si>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</si>
  <si>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</si>
  <si>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</si>
  <si>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</si>
  <si>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</si>
  <si>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</si>
  <si>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</si>
  <si>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</si>
  <si>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</si>
  <si>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</si>
  <si>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</si>
  <si>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</si>
  <si>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</si>
  <si>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</si>
  <si>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</si>
  <si>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</si>
  <si>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</si>
  <si>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</si>
  <si>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</si>
  <si>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</si>
  <si>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</si>
  <si>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</si>
  <si>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</si>
  <si>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</si>
  <si>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</si>
  <si>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</si>
  <si>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</si>
  <si>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</si>
  <si>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</si>
  <si>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</si>
  <si>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</si>
  <si>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</si>
  <si>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</si>
  <si>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</si>
  <si>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</si>
  <si>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</si>
  <si>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</si>
  <si>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</si>
  <si>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</si>
  <si>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</si>
  <si>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</si>
  <si>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</si>
  <si>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</si>
  <si>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</si>
  <si>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</si>
  <si>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</si>
  <si>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</si>
  <si>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</si>
  <si>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</si>
  <si>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</si>
  <si>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</si>
  <si>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</si>
  <si>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</si>
  <si>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</si>
  <si>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</si>
  <si>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</si>
  <si>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</si>
  <si>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</si>
  <si>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</si>
  <si>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</si>
  <si>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</si>
  <si>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</si>
  <si>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</si>
  <si>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</si>
  <si>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</si>
  <si>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</si>
  <si>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</si>
  <si>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</si>
  <si>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</si>
  <si>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</si>
  <si>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</si>
  <si>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</si>
  <si>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</si>
  <si>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</si>
  <si>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</si>
  <si>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</si>
  <si>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</si>
  <si>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</si>
  <si>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</si>
  <si>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</si>
  <si>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</si>
  <si>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</si>
  <si>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</si>
  <si>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</si>
  <si>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</si>
  <si>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</si>
  <si>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</si>
  <si>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</si>
  <si>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</si>
  <si>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</si>
  <si>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</si>
  <si>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</si>
  <si>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</si>
  <si>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</si>
  <si>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</si>
  <si>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</si>
  <si>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</si>
  <si>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</si>
  <si>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</si>
  <si>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</si>
  <si>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</si>
  <si>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</si>
  <si>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</si>
  <si>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</si>
  <si>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</si>
  <si>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</si>
  <si>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</si>
  <si>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</si>
  <si>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</si>
  <si>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</si>
  <si>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</si>
  <si>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</si>
  <si>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</si>
  <si>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</si>
  <si>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</si>
  <si>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</si>
  <si>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</si>
  <si>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</si>
  <si>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</si>
  <si>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</si>
  <si>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</si>
  <si>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</si>
  <si>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</si>
  <si>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</si>
  <si>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</si>
  <si>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</si>
  <si>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</si>
  <si>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</si>
  <si>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</si>
  <si>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</si>
  <si>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</si>
  <si>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</si>
  <si>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</si>
  <si>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</si>
  <si>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</si>
  <si>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</si>
  <si>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</si>
  <si>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</si>
  <si>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</si>
  <si>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</si>
  <si>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</si>
  <si>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</si>
  <si>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</si>
  <si>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</si>
  <si>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</si>
  <si>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</si>
  <si>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</si>
  <si>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</si>
  <si>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</si>
  <si>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</si>
  <si>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</si>
  <si>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</si>
  <si>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</si>
  <si>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</si>
  <si>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</si>
  <si>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</si>
  <si>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</si>
  <si>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</si>
  <si>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</si>
  <si>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</si>
  <si>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</si>
  <si>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</si>
  <si>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</si>
  <si>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</si>
  <si>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</si>
  <si>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</si>
  <si>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</si>
  <si>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</si>
  <si>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</si>
  <si>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</si>
  <si>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</si>
  <si>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</si>
  <si>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</si>
  <si>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</si>
  <si>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</si>
  <si>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</si>
  <si>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</si>
  <si>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</si>
  <si>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</si>
  <si>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</si>
  <si>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</si>
  <si>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</si>
  <si>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</si>
  <si>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</si>
  <si>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</si>
  <si>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</si>
  <si>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</si>
  <si>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</si>
  <si>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</si>
  <si>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</si>
  <si>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</si>
  <si>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</si>
  <si>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</si>
  <si>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</si>
  <si>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</si>
  <si>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</si>
  <si>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</si>
  <si>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</si>
  <si>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</si>
  <si>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Varès 47400</t>
  </si>
  <si>
    <t>Pour les parcelles 1 et 2 blé tendre équivalent méteil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</si>
</sst>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80" zoomScaleNormal="80" workbookViewId="0">
      <selection activeCell="E15" sqref="E15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">
        <v>351</v>
      </c>
      <c r="D7" s="1" t="s">
        <v>351</v>
      </c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6.14</v>
      </c>
      <c r="C8" s="25">
        <v>2.31</v>
      </c>
      <c r="D8" s="25">
        <v>1.05</v>
      </c>
      <c r="E8" s="25"/>
      <c r="F8" s="25"/>
      <c r="G8" s="25"/>
      <c r="H8" s="25"/>
      <c r="I8" s="25"/>
      <c r="J8" s="25"/>
      <c r="K8" s="25"/>
      <c r="L8" s="88">
        <f>SUM(B8:K8)</f>
        <v>9.5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 t="s">
        <v>44</v>
      </c>
      <c r="D9" s="1" t="s">
        <v>34</v>
      </c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 t="s">
        <v>35</v>
      </c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700</v>
      </c>
      <c r="C12" s="1">
        <v>700</v>
      </c>
      <c r="D12" s="1">
        <v>960</v>
      </c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 t="s">
        <v>5</v>
      </c>
      <c r="D13" s="26" t="s">
        <v>5</v>
      </c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0.76</v>
      </c>
      <c r="C15" s="28">
        <v>0.76</v>
      </c>
      <c r="D15" s="28">
        <v>0.76</v>
      </c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78</v>
      </c>
      <c r="C17" s="1" t="s">
        <v>78</v>
      </c>
      <c r="D17" s="1" t="s">
        <v>96</v>
      </c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124</v>
      </c>
      <c r="C18" s="1" t="s">
        <v>72</v>
      </c>
      <c r="D18" s="1" t="s">
        <v>124</v>
      </c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78</v>
      </c>
      <c r="C19" s="1" t="s">
        <v>78</v>
      </c>
      <c r="D19" s="1" t="s">
        <v>78</v>
      </c>
      <c r="E19" s="1"/>
      <c r="F19" s="1"/>
      <c r="G19" s="1"/>
      <c r="H19" s="1"/>
      <c r="I19" s="1"/>
      <c r="J19" s="1"/>
      <c r="K19" s="1"/>
      <c r="L19" s="16" t="s">
        <v>352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(44.78+44.78+44.78)/3</f>
        <v>44.78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44.78+8.45+1.05</f>
        <v>54.28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>Cerisier de table - Axe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>
        <f>IF(D12="","",VLOOKUP(D26,'(ne pas modifier) BDD_REF'!$C$21:$D$42,2,FALSE))</f>
        <v>600</v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>OUI</v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>Climat Sec Mediterranéen - Grandes cultures</v>
      </c>
      <c r="D34" s="43" t="str">
        <f>CONCATENATE(Eligibilité_projet!D13," - ",Eligibilité_projet!D16)</f>
        <v>Climat Sec Mediterranéen - Grandes cultures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>20 - Grandes cultures-Climat Sec Mediterranéen</v>
      </c>
      <c r="D35" s="43" t="str">
        <f>CONCATENATE(Eligibilité_projet!D14," - ",Eligibilité_projet!D16,"-",Eligibilité_projet!D13)</f>
        <v>20 - Grandes cultures-Climat Sec Mediterranéen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131.6579733333333</v>
      </c>
      <c r="C36" s="44">
        <f>RECant_sol!D9</f>
        <v>49.532559999999989</v>
      </c>
      <c r="D36" s="44">
        <f>RECant_sol!E9</f>
        <v>22.514799999999994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203.70533333333327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225.36918730158729</v>
      </c>
      <c r="C37" s="45">
        <f>RECant_biom!D28</f>
        <v>84.788733333333326</v>
      </c>
      <c r="D37" s="44">
        <f>RECant_biom!E28</f>
        <v>38.540333333333329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348.69825396825394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357.02716063492062</v>
      </c>
      <c r="C38" s="45">
        <f t="shared" si="3"/>
        <v>134.3212933333333</v>
      </c>
      <c r="D38" s="44">
        <f t="shared" si="3"/>
        <v>61.055133333333323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552.40358730158721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>OUI</v>
      </c>
      <c r="D46" s="12" t="str">
        <f t="shared" si="6"/>
        <v>OUI</v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2.5166402790833331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3.0867934730173334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1.8880807936943464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7.4915145457950132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-77.260856567858326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-35.652464613350205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-9.9124241668953204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-122.82574534810385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43" zoomScale="70" zoomScaleNormal="70" workbookViewId="0">
      <selection activeCell="E136" sqref="E13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2.5166402790833331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3.0867934730173334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1.8880807936943464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7.4915145457950132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20</v>
      </c>
      <c r="D7" s="80">
        <v>20</v>
      </c>
      <c r="E7" s="80">
        <v>20</v>
      </c>
      <c r="F7" s="80"/>
      <c r="G7" s="80"/>
      <c r="H7" s="80"/>
      <c r="I7" s="80"/>
      <c r="J7" s="80"/>
      <c r="K7" s="80"/>
      <c r="L7" s="80"/>
      <c r="M7" s="39">
        <f t="shared" ref="M7:M38" si="0">SUM(C7:L7)</f>
        <v>60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0.32</v>
      </c>
      <c r="D10" s="39">
        <f>D7*'(ne pas modifier) BDD_REF'!$B$207 + (D8+D9)*'(ne pas modifier) BDD_REF'!$B$208</f>
        <v>0.32</v>
      </c>
      <c r="E10" s="39">
        <f>E7*'(ne pas modifier) BDD_REF'!$B$207 + (E8+E9)*'(ne pas modifier) BDD_REF'!$B$208</f>
        <v>0.32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0.96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2.2000000000000002E-2</v>
      </c>
      <c r="D11" s="39">
        <f>((D7*'(ne pas modifier) BDD_REF'!$B$220)+('RECeff + REIamont (2)'!D8+'RECeff + REIamont (2)'!D9)*'(ne pas modifier) BDD_REF'!$B$221)*'(ne pas modifier) BDD_REF'!$B$209</f>
        <v>2.2000000000000002E-2</v>
      </c>
      <c r="E11" s="39">
        <f>((E7*'(ne pas modifier) BDD_REF'!$B$220)+('RECeff + REIamont (2)'!E8+'RECeff + REIamont (2)'!E9)*'(ne pas modifier) BDD_REF'!$B$221)*'(ne pas modifier) BDD_REF'!$B$209</f>
        <v>2.2000000000000002E-2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6.6000000000000003E-2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5.2799999999999993E-2</v>
      </c>
      <c r="E12" s="39">
        <f>(E7+E8+E9)*'(ne pas modifier) BDD_REF'!$B$222*'(ne pas modifier) BDD_REF'!$B$210</f>
        <v>5.2799999999999993E-2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0.15839999999999999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>
        <v>63</v>
      </c>
      <c r="E14" s="80">
        <v>63</v>
      </c>
      <c r="F14" s="80"/>
      <c r="G14" s="80"/>
      <c r="H14" s="80"/>
      <c r="I14" s="80"/>
      <c r="J14" s="80"/>
      <c r="K14" s="80"/>
      <c r="L14" s="80"/>
      <c r="M14" s="39">
        <f t="shared" si="0"/>
        <v>189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0.19347299999999998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0.19347299999999998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0.58041899999999991</v>
      </c>
    </row>
    <row r="20" spans="1:108" x14ac:dyDescent="0.3">
      <c r="B20" s="7" t="s">
        <v>321</v>
      </c>
      <c r="C20" s="80">
        <v>75</v>
      </c>
      <c r="D20" s="80">
        <v>75</v>
      </c>
      <c r="E20" s="80">
        <v>75</v>
      </c>
      <c r="F20" s="80"/>
      <c r="G20" s="80"/>
      <c r="H20" s="80"/>
      <c r="I20" s="80"/>
      <c r="J20" s="80"/>
      <c r="K20" s="80"/>
      <c r="L20" s="80"/>
      <c r="M20" s="39">
        <f t="shared" si="0"/>
        <v>225</v>
      </c>
    </row>
    <row r="21" spans="1:108" x14ac:dyDescent="0.3">
      <c r="B21" s="3" t="s">
        <v>184</v>
      </c>
      <c r="C21" s="39">
        <f>(C20*'(ne pas modifier) BDD_REF'!$B$211)/1000</f>
        <v>4.2750000000000002E-3</v>
      </c>
      <c r="D21" s="39">
        <f>(D20*'(ne pas modifier) BDD_REF'!$B$211)/1000</f>
        <v>4.2750000000000002E-3</v>
      </c>
      <c r="E21" s="39">
        <f>(E20*'(ne pas modifier) BDD_REF'!$B$211)/1000</f>
        <v>4.2750000000000002E-3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1.2825E-2</v>
      </c>
    </row>
    <row r="22" spans="1:108" s="16" customFormat="1" x14ac:dyDescent="0.3">
      <c r="A22" s="18"/>
      <c r="B22" s="19" t="s">
        <v>185</v>
      </c>
      <c r="C22" s="81">
        <f>C19+C21</f>
        <v>0.19774799999999998</v>
      </c>
      <c r="D22" s="81">
        <f t="shared" ref="D22:L22" si="1">D19+D21</f>
        <v>0.19774799999999998</v>
      </c>
      <c r="E22" s="81">
        <f t="shared" si="1"/>
        <v>0.19774799999999998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0.59324399999999988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23</v>
      </c>
      <c r="D23" s="80">
        <v>23</v>
      </c>
      <c r="E23" s="80">
        <v>23</v>
      </c>
      <c r="F23" s="80"/>
      <c r="G23" s="80"/>
      <c r="H23" s="80"/>
      <c r="I23" s="80"/>
      <c r="J23" s="80"/>
      <c r="K23" s="80"/>
      <c r="L23" s="80"/>
      <c r="M23" s="39">
        <f t="shared" si="0"/>
        <v>69</v>
      </c>
    </row>
    <row r="24" spans="1:108" x14ac:dyDescent="0.3">
      <c r="B24" s="7" t="s">
        <v>323</v>
      </c>
      <c r="C24" s="80">
        <v>0</v>
      </c>
      <c r="D24" s="80">
        <v>0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0.12354999999999998</v>
      </c>
      <c r="D25" s="39">
        <f>(D7*'(ne pas modifier) BDD_REF'!$B$212+'RECeff + REIamont (2)'!D23*'(ne pas modifier) BDD_REF'!$B$213+'RECeff + REIamont (2)'!D24*'(ne pas modifier) BDD_REF'!$B$214)/1000</f>
        <v>0.12354999999999998</v>
      </c>
      <c r="E25" s="39">
        <f>(E7*'(ne pas modifier) BDD_REF'!$B$212+'RECeff + REIamont (2)'!E23*'(ne pas modifier) BDD_REF'!$B$213+'RECeff + REIamont (2)'!E24*'(ne pas modifier) BDD_REF'!$B$214)/1000</f>
        <v>0.12354999999999998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0.37064999999999992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</v>
      </c>
      <c r="D27" s="80">
        <v>0</v>
      </c>
      <c r="E27" s="80">
        <v>10</v>
      </c>
      <c r="F27" s="80"/>
      <c r="G27" s="80"/>
      <c r="H27" s="80"/>
      <c r="I27" s="80"/>
      <c r="J27" s="80"/>
      <c r="K27" s="80"/>
      <c r="L27" s="80"/>
      <c r="M27" s="39">
        <f t="shared" si="0"/>
        <v>10</v>
      </c>
    </row>
    <row r="28" spans="1:108" x14ac:dyDescent="0.3">
      <c r="B28" s="7" t="s">
        <v>325</v>
      </c>
      <c r="C28" s="80">
        <v>1.75</v>
      </c>
      <c r="D28" s="80">
        <v>1.75</v>
      </c>
      <c r="E28" s="80">
        <v>1.75</v>
      </c>
      <c r="F28" s="80"/>
      <c r="G28" s="80"/>
      <c r="H28" s="80"/>
      <c r="I28" s="80"/>
      <c r="J28" s="80"/>
      <c r="K28" s="80"/>
      <c r="L28" s="80"/>
      <c r="M28" s="39">
        <f t="shared" si="0"/>
        <v>5.25</v>
      </c>
    </row>
    <row r="29" spans="1:108" x14ac:dyDescent="0.3">
      <c r="B29" s="7" t="s">
        <v>326</v>
      </c>
      <c r="C29" s="80">
        <v>0.15</v>
      </c>
      <c r="D29" s="80">
        <v>0.15</v>
      </c>
      <c r="E29" s="80">
        <v>1.6</v>
      </c>
      <c r="F29" s="80"/>
      <c r="G29" s="80"/>
      <c r="H29" s="80"/>
      <c r="I29" s="80"/>
      <c r="J29" s="80"/>
      <c r="K29" s="80"/>
      <c r="L29" s="80"/>
      <c r="M29" s="39">
        <f t="shared" si="0"/>
        <v>1.9000000000000001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1.949385E-2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1.949385E-2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0.11602815000000001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0.15501585000000001</v>
      </c>
    </row>
    <row r="32" spans="1:108" s="16" customFormat="1" x14ac:dyDescent="0.3">
      <c r="A32" s="18"/>
      <c r="B32" s="19" t="s">
        <v>186</v>
      </c>
      <c r="C32" s="81">
        <f>C25+C26+C31</f>
        <v>0.14304384999999997</v>
      </c>
      <c r="D32" s="81">
        <f t="shared" ref="D32:L32" si="2">D25+D26+D31</f>
        <v>0.14304384999999997</v>
      </c>
      <c r="E32" s="81">
        <f t="shared" si="2"/>
        <v>0.23957814999999999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0.52566584999999999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0.50519784999999995</v>
      </c>
      <c r="D33" s="20">
        <f>((D10+D11+D12)/1000*44/28*'(ne pas modifier) BDD_REF'!$B$232)+'RECeff + REIamont (2)'!D22+'RECeff + REIamont (2)'!D32</f>
        <v>0.50519784999999995</v>
      </c>
      <c r="E33" s="20">
        <f>((E10+E11+E12)/1000*44/28*'(ne pas modifier) BDD_REF'!$B$232)+'RECeff + REIamont (2)'!E22+'RECeff + REIamont (2)'!E32</f>
        <v>0.60173214999999991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1.6121278499999998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30</v>
      </c>
      <c r="D34" s="80">
        <v>30</v>
      </c>
      <c r="E34" s="80">
        <v>30</v>
      </c>
      <c r="F34" s="80"/>
      <c r="G34" s="80"/>
      <c r="H34" s="80"/>
      <c r="I34" s="80"/>
      <c r="J34" s="80"/>
      <c r="K34" s="80"/>
      <c r="L34" s="80"/>
      <c r="M34" s="39">
        <f t="shared" si="0"/>
        <v>90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0.48</v>
      </c>
      <c r="D37" s="39">
        <f>D34*'(ne pas modifier) BDD_REF'!$B$207 + (D35+D36)*'(ne pas modifier) BDD_REF'!$B$208</f>
        <v>0.48</v>
      </c>
      <c r="E37" s="39">
        <f>E34*'(ne pas modifier) BDD_REF'!$B$207 + (E35+E36)*'(ne pas modifier) BDD_REF'!$B$208</f>
        <v>0.48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1.44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3.3000000000000002E-2</v>
      </c>
      <c r="D38" s="39">
        <f>((D34*'(ne pas modifier) BDD_REF'!$B$220)+('RECeff + REIamont (2)'!D35+'RECeff + REIamont (2)'!D36)*'(ne pas modifier) BDD_REF'!$B$221)*'(ne pas modifier) BDD_REF'!$B$209</f>
        <v>3.3000000000000002E-2</v>
      </c>
      <c r="E38" s="39">
        <f>((E34*'(ne pas modifier) BDD_REF'!$B$220)+('RECeff + REIamont (2)'!E35+'RECeff + REIamont (2)'!E36)*'(ne pas modifier) BDD_REF'!$B$221)*'(ne pas modifier) BDD_REF'!$B$209</f>
        <v>3.3000000000000002E-2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9.9000000000000005E-2</v>
      </c>
    </row>
    <row r="39" spans="1:108" x14ac:dyDescent="0.3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7.9199999999999993E-2</v>
      </c>
      <c r="E39" s="39">
        <f>(E34+E35+E36)*'(ne pas modifier) BDD_REF'!$B$222*'(ne pas modifier) BDD_REF'!$B$210</f>
        <v>7.9199999999999993E-2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0.23759999999999998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>
        <v>63</v>
      </c>
      <c r="E41" s="80">
        <v>63</v>
      </c>
      <c r="F41" s="80"/>
      <c r="G41" s="80"/>
      <c r="H41" s="80"/>
      <c r="I41" s="80"/>
      <c r="J41" s="80"/>
      <c r="K41" s="80"/>
      <c r="L41" s="80"/>
      <c r="M41" s="39">
        <f t="shared" si="3"/>
        <v>189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0.19347299999999998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0.19347299999999998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0.58041899999999991</v>
      </c>
    </row>
    <row r="47" spans="1:108" x14ac:dyDescent="0.3">
      <c r="B47" s="7" t="s">
        <v>321</v>
      </c>
      <c r="C47" s="80">
        <v>90</v>
      </c>
      <c r="D47" s="80">
        <v>90</v>
      </c>
      <c r="E47" s="80">
        <v>90</v>
      </c>
      <c r="F47" s="80"/>
      <c r="G47" s="80"/>
      <c r="H47" s="80"/>
      <c r="I47" s="80"/>
      <c r="J47" s="80"/>
      <c r="K47" s="80"/>
      <c r="L47" s="80"/>
      <c r="M47" s="39">
        <f t="shared" si="3"/>
        <v>270</v>
      </c>
    </row>
    <row r="48" spans="1:108" x14ac:dyDescent="0.3">
      <c r="B48" s="3" t="s">
        <v>184</v>
      </c>
      <c r="C48" s="39">
        <f>(C47*'(ne pas modifier) BDD_REF'!$B$211)/1000</f>
        <v>5.13E-3</v>
      </c>
      <c r="D48" s="39">
        <f>(D47*'(ne pas modifier) BDD_REF'!$B$211)/1000</f>
        <v>5.13E-3</v>
      </c>
      <c r="E48" s="39">
        <f>(E47*'(ne pas modifier) BDD_REF'!$B$211)/1000</f>
        <v>5.13E-3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1.5390000000000001E-2</v>
      </c>
    </row>
    <row r="49" spans="1:108" s="16" customFormat="1" x14ac:dyDescent="0.3">
      <c r="A49" s="18"/>
      <c r="B49" s="19" t="s">
        <v>185</v>
      </c>
      <c r="C49" s="81">
        <f>C46+C48</f>
        <v>0.19860299999999997</v>
      </c>
      <c r="D49" s="81">
        <f t="shared" ref="D49:L49" si="4">D46+D48</f>
        <v>0.19860299999999997</v>
      </c>
      <c r="E49" s="81">
        <f t="shared" si="4"/>
        <v>0.19860299999999997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0.59580899999999992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34</v>
      </c>
      <c r="D50" s="80">
        <v>34</v>
      </c>
      <c r="E50" s="80">
        <v>34</v>
      </c>
      <c r="F50" s="80"/>
      <c r="G50" s="80"/>
      <c r="H50" s="80"/>
      <c r="I50" s="80"/>
      <c r="J50" s="80"/>
      <c r="K50" s="80"/>
      <c r="L50" s="80"/>
      <c r="M50" s="39">
        <f t="shared" si="3"/>
        <v>102</v>
      </c>
    </row>
    <row r="51" spans="1:108" x14ac:dyDescent="0.3">
      <c r="B51" s="7" t="s">
        <v>323</v>
      </c>
      <c r="C51" s="80">
        <v>0</v>
      </c>
      <c r="D51" s="80">
        <v>0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0.18459999999999996</v>
      </c>
      <c r="D52" s="39">
        <f>(D34*'(ne pas modifier) BDD_REF'!$B$212+'RECeff + REIamont (2)'!D50*'(ne pas modifier) BDD_REF'!$B$213+'RECeff + REIamont (2)'!D51*'(ne pas modifier) BDD_REF'!$B$214)/1000</f>
        <v>0.18459999999999996</v>
      </c>
      <c r="E52" s="39">
        <f>(E34*'(ne pas modifier) BDD_REF'!$B$212+'RECeff + REIamont (2)'!E50*'(ne pas modifier) BDD_REF'!$B$213+'RECeff + REIamont (2)'!E51*'(ne pas modifier) BDD_REF'!$B$214)/1000</f>
        <v>0.18459999999999996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0.55379999999999985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</v>
      </c>
      <c r="D54" s="80">
        <v>0</v>
      </c>
      <c r="E54" s="80">
        <v>10</v>
      </c>
      <c r="F54" s="80"/>
      <c r="G54" s="80"/>
      <c r="H54" s="80"/>
      <c r="I54" s="80"/>
      <c r="J54" s="80"/>
      <c r="K54" s="80"/>
      <c r="L54" s="80"/>
      <c r="M54" s="39">
        <f t="shared" si="3"/>
        <v>10</v>
      </c>
    </row>
    <row r="55" spans="1:108" x14ac:dyDescent="0.3">
      <c r="B55" s="7" t="s">
        <v>325</v>
      </c>
      <c r="C55" s="80">
        <v>1.75</v>
      </c>
      <c r="D55" s="80">
        <v>1.75</v>
      </c>
      <c r="E55" s="80">
        <v>1.75</v>
      </c>
      <c r="F55" s="80"/>
      <c r="G55" s="80"/>
      <c r="H55" s="80"/>
      <c r="I55" s="80"/>
      <c r="J55" s="80"/>
      <c r="K55" s="80"/>
      <c r="L55" s="80"/>
      <c r="M55" s="39">
        <f t="shared" si="3"/>
        <v>5.25</v>
      </c>
    </row>
    <row r="56" spans="1:108" x14ac:dyDescent="0.3">
      <c r="B56" s="7" t="s">
        <v>326</v>
      </c>
      <c r="C56" s="80">
        <v>0.15</v>
      </c>
      <c r="D56" s="80">
        <v>0.15</v>
      </c>
      <c r="E56" s="80">
        <v>1.6</v>
      </c>
      <c r="F56" s="80"/>
      <c r="G56" s="80"/>
      <c r="H56" s="80"/>
      <c r="I56" s="80"/>
      <c r="J56" s="80"/>
      <c r="K56" s="80"/>
      <c r="L56" s="80"/>
      <c r="M56" s="39">
        <f t="shared" si="3"/>
        <v>1.9000000000000001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1.949385E-2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1.949385E-2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0.11602815000000001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0.15501585000000001</v>
      </c>
    </row>
    <row r="59" spans="1:108" s="16" customFormat="1" x14ac:dyDescent="0.3">
      <c r="A59" s="18"/>
      <c r="B59" s="19" t="s">
        <v>186</v>
      </c>
      <c r="C59" s="81">
        <f>C52+C53+C58</f>
        <v>0.20409384999999997</v>
      </c>
      <c r="D59" s="81">
        <f t="shared" ref="D59:L59" si="5">D52+D53+D58</f>
        <v>0.20409384999999997</v>
      </c>
      <c r="E59" s="81">
        <f t="shared" si="5"/>
        <v>0.30062814999999998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0.70881584999999991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0.64930584999999996</v>
      </c>
      <c r="D60" s="20">
        <f>((D37+D38+D39)/1000*44/28*'(ne pas modifier) BDD_REF'!$B$232)+'RECeff + REIamont (2)'!D49+'RECeff + REIamont (2)'!D59</f>
        <v>0.64930584999999996</v>
      </c>
      <c r="E60" s="20">
        <f>((E37+E38+E39)/1000*44/28*'(ne pas modifier) BDD_REF'!$B$232)+'RECeff + REIamont (2)'!E49+'RECeff + REIamont (2)'!E59</f>
        <v>0.74584015000000004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2.0444518499999997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40</v>
      </c>
      <c r="D61" s="80">
        <v>40</v>
      </c>
      <c r="E61" s="80">
        <v>40</v>
      </c>
      <c r="F61" s="80"/>
      <c r="G61" s="80"/>
      <c r="H61" s="80"/>
      <c r="I61" s="80"/>
      <c r="J61" s="80"/>
      <c r="K61" s="80"/>
      <c r="L61" s="80"/>
      <c r="M61" s="39">
        <f t="shared" si="3"/>
        <v>120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0.64</v>
      </c>
      <c r="E64" s="39">
        <f>E61*'(ne pas modifier) BDD_REF'!$B$207 + (E62+E63)*'(ne pas modifier) BDD_REF'!$B$208</f>
        <v>0.64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1.92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4.4000000000000004E-2</v>
      </c>
      <c r="E65" s="39">
        <f>((E61*'(ne pas modifier) BDD_REF'!$B$220)+('RECeff + REIamont (2)'!E62+'RECeff + REIamont (2)'!E63)*'(ne pas modifier) BDD_REF'!$B$221)*'(ne pas modifier) BDD_REF'!$B$209</f>
        <v>4.4000000000000004E-2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0.13200000000000001</v>
      </c>
    </row>
    <row r="66" spans="1:108" x14ac:dyDescent="0.3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0.10559999999999999</v>
      </c>
      <c r="E66" s="39">
        <f>(E61+E62+E63)*'(ne pas modifier) BDD_REF'!$B$222*'(ne pas modifier) BDD_REF'!$B$210</f>
        <v>0.10559999999999999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0.31679999999999997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>
        <v>90</v>
      </c>
      <c r="E68" s="80">
        <v>90</v>
      </c>
      <c r="F68" s="80"/>
      <c r="G68" s="80"/>
      <c r="H68" s="80"/>
      <c r="I68" s="80"/>
      <c r="J68" s="80"/>
      <c r="K68" s="80"/>
      <c r="L68" s="80"/>
      <c r="M68" s="39">
        <f t="shared" si="3"/>
        <v>270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0.27638999999999997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0.27638999999999997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0.82916999999999996</v>
      </c>
    </row>
    <row r="74" spans="1:108" x14ac:dyDescent="0.3">
      <c r="B74" s="7" t="s">
        <v>321</v>
      </c>
      <c r="C74" s="80">
        <v>120</v>
      </c>
      <c r="D74" s="80">
        <v>120</v>
      </c>
      <c r="E74" s="80">
        <v>120</v>
      </c>
      <c r="F74" s="80"/>
      <c r="G74" s="80"/>
      <c r="H74" s="80"/>
      <c r="I74" s="80"/>
      <c r="J74" s="80"/>
      <c r="K74" s="80"/>
      <c r="L74" s="80"/>
      <c r="M74" s="39">
        <f t="shared" si="6"/>
        <v>360</v>
      </c>
    </row>
    <row r="75" spans="1:108" x14ac:dyDescent="0.3">
      <c r="B75" s="3" t="s">
        <v>184</v>
      </c>
      <c r="C75" s="39">
        <f>(C74*'(ne pas modifier) BDD_REF'!$B$211)/1000</f>
        <v>6.8399999999999997E-3</v>
      </c>
      <c r="D75" s="39">
        <f>(D74*'(ne pas modifier) BDD_REF'!$B$211)/1000</f>
        <v>6.8399999999999997E-3</v>
      </c>
      <c r="E75" s="39">
        <f>(E74*'(ne pas modifier) BDD_REF'!$B$211)/1000</f>
        <v>6.8399999999999997E-3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2.052E-2</v>
      </c>
    </row>
    <row r="76" spans="1:108" s="16" customFormat="1" x14ac:dyDescent="0.3">
      <c r="A76" s="18"/>
      <c r="B76" s="19" t="s">
        <v>185</v>
      </c>
      <c r="C76" s="81">
        <f>C73+C75</f>
        <v>0.28322999999999998</v>
      </c>
      <c r="D76" s="81">
        <f t="shared" ref="D76:L76" si="7">D73+D75</f>
        <v>0.28322999999999998</v>
      </c>
      <c r="E76" s="81">
        <f t="shared" si="7"/>
        <v>0.28322999999999998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0.84968999999999995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34</v>
      </c>
      <c r="D77" s="80">
        <v>34</v>
      </c>
      <c r="E77" s="80">
        <v>34</v>
      </c>
      <c r="F77" s="80"/>
      <c r="G77" s="80"/>
      <c r="H77" s="80"/>
      <c r="I77" s="80"/>
      <c r="J77" s="80"/>
      <c r="K77" s="80"/>
      <c r="L77" s="80"/>
      <c r="M77" s="39">
        <f t="shared" si="6"/>
        <v>102</v>
      </c>
    </row>
    <row r="78" spans="1:108" x14ac:dyDescent="0.3">
      <c r="B78" s="7" t="s">
        <v>323</v>
      </c>
      <c r="C78" s="80">
        <v>0</v>
      </c>
      <c r="D78" s="80">
        <v>0</v>
      </c>
      <c r="E78" s="80">
        <v>0</v>
      </c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0.22969999999999999</v>
      </c>
      <c r="D79" s="39">
        <f>(D61*'(ne pas modifier) BDD_REF'!$B$212+'RECeff + REIamont (2)'!D77*'(ne pas modifier) BDD_REF'!$B$213+'RECeff + REIamont (2)'!D78*'(ne pas modifier) BDD_REF'!$B$214)/1000</f>
        <v>0.22969999999999999</v>
      </c>
      <c r="E79" s="39">
        <f>(E61*'(ne pas modifier) BDD_REF'!$B$212+'RECeff + REIamont (2)'!E77*'(ne pas modifier) BDD_REF'!$B$213+'RECeff + REIamont (2)'!E78*'(ne pas modifier) BDD_REF'!$B$214)/1000</f>
        <v>0.22969999999999999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0.68909999999999993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0.1875</v>
      </c>
      <c r="D81" s="80">
        <v>0.1875</v>
      </c>
      <c r="E81" s="80">
        <v>10</v>
      </c>
      <c r="F81" s="80"/>
      <c r="G81" s="80"/>
      <c r="H81" s="80"/>
      <c r="I81" s="80"/>
      <c r="J81" s="80"/>
      <c r="K81" s="80"/>
      <c r="L81" s="80"/>
      <c r="M81" s="39">
        <f t="shared" si="6"/>
        <v>10.375</v>
      </c>
    </row>
    <row r="82" spans="1:108" x14ac:dyDescent="0.3">
      <c r="B82" s="7" t="s">
        <v>325</v>
      </c>
      <c r="C82" s="80">
        <v>1.75</v>
      </c>
      <c r="D82" s="80">
        <v>1.75</v>
      </c>
      <c r="E82" s="80">
        <v>1.75</v>
      </c>
      <c r="F82" s="80"/>
      <c r="G82" s="80"/>
      <c r="H82" s="80"/>
      <c r="I82" s="80"/>
      <c r="J82" s="80"/>
      <c r="K82" s="80"/>
      <c r="L82" s="80"/>
      <c r="M82" s="39">
        <f t="shared" si="6"/>
        <v>5.25</v>
      </c>
    </row>
    <row r="83" spans="1:108" x14ac:dyDescent="0.3">
      <c r="B83" s="7" t="s">
        <v>326</v>
      </c>
      <c r="C83" s="80">
        <v>0.15</v>
      </c>
      <c r="D83" s="80">
        <v>0.15</v>
      </c>
      <c r="E83" s="80">
        <v>1.6</v>
      </c>
      <c r="F83" s="80"/>
      <c r="G83" s="80"/>
      <c r="H83" s="80"/>
      <c r="I83" s="80"/>
      <c r="J83" s="80"/>
      <c r="K83" s="80"/>
      <c r="L83" s="80"/>
      <c r="M83" s="39">
        <f t="shared" si="6"/>
        <v>1.9000000000000001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2.0620537499999998E-2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2.0620537499999998E-2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0.11602815000000001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0.15726922500000001</v>
      </c>
    </row>
    <row r="86" spans="1:108" s="16" customFormat="1" x14ac:dyDescent="0.3">
      <c r="A86" s="18"/>
      <c r="B86" s="19" t="s">
        <v>186</v>
      </c>
      <c r="C86" s="81">
        <f>C79+C80+C85</f>
        <v>0.2503205375</v>
      </c>
      <c r="D86" s="81">
        <f t="shared" ref="D86:L86" si="8">D79+D80+D85</f>
        <v>0.2503205375</v>
      </c>
      <c r="E86" s="81">
        <f t="shared" si="8"/>
        <v>0.34572815000000001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0.846369225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0.86236253749999991</v>
      </c>
      <c r="D87" s="20">
        <f>((D64+D65+D66)/1000*44/28*'(ne pas modifier) BDD_REF'!$B$232)+'RECeff + REIamont (2)'!D76+'RECeff + REIamont (2)'!D86</f>
        <v>0.86236253749999991</v>
      </c>
      <c r="E87" s="20">
        <f>((E64+E65+E66)/1000*44/28*'(ne pas modifier) BDD_REF'!$B$232)+'RECeff + REIamont (2)'!E76+'RECeff + REIamont (2)'!E86</f>
        <v>0.95777014999999999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2.6824952249999998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50</v>
      </c>
      <c r="D88" s="80">
        <v>50</v>
      </c>
      <c r="E88" s="80">
        <v>50</v>
      </c>
      <c r="F88" s="80"/>
      <c r="G88" s="80"/>
      <c r="H88" s="80"/>
      <c r="I88" s="80"/>
      <c r="J88" s="80"/>
      <c r="K88" s="80"/>
      <c r="L88" s="80"/>
      <c r="M88" s="39">
        <f t="shared" si="6"/>
        <v>150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0.8</v>
      </c>
      <c r="E91" s="39">
        <f>E88*'(ne pas modifier) BDD_REF'!$B$207 + (E89+E90)*'(ne pas modifier) BDD_REF'!$B$208</f>
        <v>0.8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2.4000000000000004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5.5E-2</v>
      </c>
      <c r="E92" s="39">
        <f>((E88*'(ne pas modifier) BDD_REF'!$B$220)+('RECeff + REIamont (2)'!E89+'RECeff + REIamont (2)'!E90)*'(ne pas modifier) BDD_REF'!$B$221)*'(ne pas modifier) BDD_REF'!$B$209</f>
        <v>5.5E-2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0.16500000000000001</v>
      </c>
    </row>
    <row r="93" spans="1:108" x14ac:dyDescent="0.3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0.13200000000000001</v>
      </c>
      <c r="E93" s="39">
        <f>(E88+E89+E90)*'(ne pas modifier) BDD_REF'!$B$222*'(ne pas modifier) BDD_REF'!$B$210</f>
        <v>0.13200000000000001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0.39600000000000002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141</v>
      </c>
      <c r="D95" s="80">
        <v>141</v>
      </c>
      <c r="E95" s="80">
        <v>141</v>
      </c>
      <c r="F95" s="80"/>
      <c r="G95" s="80"/>
      <c r="H95" s="80"/>
      <c r="I95" s="80"/>
      <c r="J95" s="80"/>
      <c r="K95" s="80"/>
      <c r="L95" s="80"/>
      <c r="M95" s="39">
        <f t="shared" si="6"/>
        <v>423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0.43301099999999998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0.43301099999999998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1.2990329999999999</v>
      </c>
    </row>
    <row r="101" spans="1:108" x14ac:dyDescent="0.3">
      <c r="B101" s="7" t="s">
        <v>321</v>
      </c>
      <c r="C101" s="80">
        <v>150</v>
      </c>
      <c r="D101" s="80">
        <v>150</v>
      </c>
      <c r="E101" s="80">
        <v>150</v>
      </c>
      <c r="F101" s="80"/>
      <c r="G101" s="80"/>
      <c r="H101" s="80"/>
      <c r="I101" s="80"/>
      <c r="J101" s="80"/>
      <c r="K101" s="80"/>
      <c r="L101" s="80"/>
      <c r="M101" s="39">
        <f t="shared" si="6"/>
        <v>450</v>
      </c>
    </row>
    <row r="102" spans="1:108" x14ac:dyDescent="0.3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8.5500000000000003E-3</v>
      </c>
      <c r="E102" s="39">
        <f>(E101*'(ne pas modifier) BDD_REF'!$B$211)/1000</f>
        <v>8.5500000000000003E-3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2.5649999999999999E-2</v>
      </c>
    </row>
    <row r="103" spans="1:108" s="16" customFormat="1" x14ac:dyDescent="0.3">
      <c r="A103" s="18"/>
      <c r="B103" s="19" t="s">
        <v>185</v>
      </c>
      <c r="C103" s="81">
        <f>C100+C102</f>
        <v>0.44156099999999998</v>
      </c>
      <c r="D103" s="81">
        <f t="shared" ref="D103:L103" si="9">D100+D102</f>
        <v>0.44156099999999998</v>
      </c>
      <c r="E103" s="81">
        <f t="shared" si="9"/>
        <v>0.44156099999999998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1.3246829999999998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18</v>
      </c>
      <c r="D104" s="80">
        <v>18</v>
      </c>
      <c r="E104" s="80">
        <v>18</v>
      </c>
      <c r="F104" s="80"/>
      <c r="G104" s="80"/>
      <c r="H104" s="80"/>
      <c r="I104" s="80"/>
      <c r="J104" s="80"/>
      <c r="K104" s="80"/>
      <c r="L104" s="80"/>
      <c r="M104" s="39">
        <f t="shared" si="10"/>
        <v>54</v>
      </c>
    </row>
    <row r="105" spans="1:108" x14ac:dyDescent="0.3">
      <c r="B105" s="7" t="s">
        <v>323</v>
      </c>
      <c r="C105" s="80">
        <v>10</v>
      </c>
      <c r="D105" s="80">
        <v>10</v>
      </c>
      <c r="E105" s="80">
        <v>10</v>
      </c>
      <c r="F105" s="80"/>
      <c r="G105" s="80"/>
      <c r="H105" s="80"/>
      <c r="I105" s="80"/>
      <c r="J105" s="80"/>
      <c r="K105" s="80"/>
      <c r="L105" s="80"/>
      <c r="M105" s="39">
        <f t="shared" si="10"/>
        <v>30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0.25869999999999999</v>
      </c>
      <c r="D106" s="39">
        <f>(D88*'(ne pas modifier) BDD_REF'!$B$212+'RECeff + REIamont (2)'!D104*'(ne pas modifier) BDD_REF'!$B$213+'RECeff + REIamont (2)'!D105*'(ne pas modifier) BDD_REF'!$B$214)/1000</f>
        <v>0.25869999999999999</v>
      </c>
      <c r="E106" s="39">
        <f>(E88*'(ne pas modifier) BDD_REF'!$B$212+'RECeff + REIamont (2)'!E104*'(ne pas modifier) BDD_REF'!$B$213+'RECeff + REIamont (2)'!E105*'(ne pas modifier) BDD_REF'!$B$214)/1000</f>
        <v>0.25869999999999999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0.77610000000000001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>
        <v>0.1875</v>
      </c>
      <c r="E108" s="80">
        <v>39</v>
      </c>
      <c r="F108" s="80"/>
      <c r="G108" s="80"/>
      <c r="H108" s="80"/>
      <c r="I108" s="80"/>
      <c r="J108" s="80"/>
      <c r="K108" s="80"/>
      <c r="L108" s="80"/>
      <c r="M108" s="39">
        <f t="shared" si="10"/>
        <v>39.375</v>
      </c>
    </row>
    <row r="109" spans="1:108" x14ac:dyDescent="0.3">
      <c r="B109" s="7" t="s">
        <v>325</v>
      </c>
      <c r="C109" s="80">
        <v>3.1</v>
      </c>
      <c r="D109" s="80">
        <v>3.1</v>
      </c>
      <c r="E109" s="80">
        <v>3.1</v>
      </c>
      <c r="F109" s="80"/>
      <c r="G109" s="80"/>
      <c r="H109" s="80"/>
      <c r="I109" s="80"/>
      <c r="J109" s="80"/>
      <c r="K109" s="80"/>
      <c r="L109" s="80"/>
      <c r="M109" s="39">
        <f t="shared" si="10"/>
        <v>9.3000000000000007</v>
      </c>
    </row>
    <row r="110" spans="1:108" x14ac:dyDescent="0.3">
      <c r="B110" s="7" t="s">
        <v>326</v>
      </c>
      <c r="C110" s="80">
        <v>7.68</v>
      </c>
      <c r="D110" s="80">
        <v>7.68</v>
      </c>
      <c r="E110" s="80">
        <v>23.2</v>
      </c>
      <c r="F110" s="80"/>
      <c r="G110" s="80"/>
      <c r="H110" s="80"/>
      <c r="I110" s="80"/>
      <c r="J110" s="80"/>
      <c r="K110" s="80"/>
      <c r="L110" s="80"/>
      <c r="M110" s="39">
        <f t="shared" si="10"/>
        <v>38.56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0.2220093075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0.2220093075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0.84531330000000005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1.289331915</v>
      </c>
    </row>
    <row r="113" spans="1:108" s="16" customFormat="1" x14ac:dyDescent="0.3">
      <c r="A113" s="18"/>
      <c r="B113" s="19" t="s">
        <v>186</v>
      </c>
      <c r="C113" s="81">
        <f>C106+C107+C112</f>
        <v>0.48070930749999996</v>
      </c>
      <c r="D113" s="81">
        <f t="shared" ref="D113:L113" si="11">D106+D107+D112</f>
        <v>0.48070930749999996</v>
      </c>
      <c r="E113" s="81">
        <f t="shared" si="11"/>
        <v>1.1040133000000001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2.065431915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1.3332853075</v>
      </c>
      <c r="D114" s="20">
        <f>((D91+D92+D93)/1000*44/28*'(ne pas modifier) BDD_REF'!$B$232)+'RECeff + REIamont (2)'!D103+'RECeff + REIamont (2)'!D113</f>
        <v>1.3332853075</v>
      </c>
      <c r="E114" s="20">
        <f>((E91+E92+E93)/1000*44/28*'(ne pas modifier) BDD_REF'!$B$232)+'RECeff + REIamont (2)'!E103+'RECeff + REIamont (2)'!E113</f>
        <v>1.9565893000000001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4.6231599150000005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>
        <v>60</v>
      </c>
      <c r="E115" s="80">
        <v>60</v>
      </c>
      <c r="F115" s="80"/>
      <c r="G115" s="80"/>
      <c r="H115" s="80"/>
      <c r="I115" s="80"/>
      <c r="J115" s="80"/>
      <c r="K115" s="80"/>
      <c r="L115" s="80"/>
      <c r="M115" s="39">
        <f t="shared" si="10"/>
        <v>180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0.96</v>
      </c>
      <c r="E118" s="39">
        <f>E115*'(ne pas modifier) BDD_REF'!$B$207 + (E116+E117)*'(ne pas modifier) BDD_REF'!$B$208</f>
        <v>0.96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2.88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6.6000000000000003E-2</v>
      </c>
      <c r="E119" s="39">
        <f>((E115*'(ne pas modifier) BDD_REF'!$B$220)+('RECeff + REIamont (2)'!E116+'RECeff + REIamont (2)'!E117)*'(ne pas modifier) BDD_REF'!$B$221)*'(ne pas modifier) BDD_REF'!$B$209</f>
        <v>6.6000000000000003E-2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0.19800000000000001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0.15839999999999999</v>
      </c>
      <c r="E120" s="39">
        <f>(E115+E116+E117)*'(ne pas modifier) BDD_REF'!$B$222*'(ne pas modifier) BDD_REF'!$B$210</f>
        <v>0.15839999999999999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0.47519999999999996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157</v>
      </c>
      <c r="D122" s="80">
        <v>157</v>
      </c>
      <c r="E122" s="80">
        <v>157</v>
      </c>
      <c r="F122" s="80"/>
      <c r="G122" s="80"/>
      <c r="H122" s="80"/>
      <c r="I122" s="80"/>
      <c r="J122" s="80"/>
      <c r="K122" s="80"/>
      <c r="L122" s="80"/>
      <c r="M122" s="39">
        <f t="shared" si="10"/>
        <v>471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0.48214699999999994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0.48214699999999994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1.4464409999999999</v>
      </c>
    </row>
    <row r="128" spans="1:108" x14ac:dyDescent="0.3">
      <c r="B128" s="7" t="s">
        <v>321</v>
      </c>
      <c r="C128" s="80">
        <v>180</v>
      </c>
      <c r="D128" s="80">
        <v>180</v>
      </c>
      <c r="E128" s="80">
        <v>180</v>
      </c>
      <c r="F128" s="80"/>
      <c r="G128" s="80"/>
      <c r="H128" s="80"/>
      <c r="I128" s="80"/>
      <c r="J128" s="80"/>
      <c r="K128" s="80"/>
      <c r="L128" s="80"/>
      <c r="M128" s="39">
        <f t="shared" si="10"/>
        <v>540</v>
      </c>
    </row>
    <row r="129" spans="1:108" x14ac:dyDescent="0.3">
      <c r="B129" s="3" t="s">
        <v>184</v>
      </c>
      <c r="C129" s="39">
        <f>(C128*'(ne pas modifier) BDD_REF'!$B$211)/1000</f>
        <v>1.026E-2</v>
      </c>
      <c r="D129" s="39">
        <f>(D128*'(ne pas modifier) BDD_REF'!$B$211)/1000</f>
        <v>1.026E-2</v>
      </c>
      <c r="E129" s="39">
        <f>(E128*'(ne pas modifier) BDD_REF'!$B$211)/1000</f>
        <v>1.026E-2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3.0780000000000002E-2</v>
      </c>
    </row>
    <row r="130" spans="1:108" s="16" customFormat="1" x14ac:dyDescent="0.3">
      <c r="A130" s="18"/>
      <c r="B130" s="19" t="s">
        <v>185</v>
      </c>
      <c r="C130" s="81">
        <f>C127+C129</f>
        <v>0.49240699999999993</v>
      </c>
      <c r="D130" s="81">
        <f t="shared" ref="D130:L130" si="12">D127+D129</f>
        <v>0.49240699999999993</v>
      </c>
      <c r="E130" s="81">
        <f t="shared" si="12"/>
        <v>0.49240699999999993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1.4772209999999997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18</v>
      </c>
      <c r="D131" s="80">
        <v>18</v>
      </c>
      <c r="E131" s="80">
        <v>18</v>
      </c>
      <c r="F131" s="80"/>
      <c r="G131" s="80"/>
      <c r="H131" s="80"/>
      <c r="I131" s="80"/>
      <c r="J131" s="80"/>
      <c r="K131" s="80"/>
      <c r="L131" s="80"/>
      <c r="M131" s="39">
        <f t="shared" si="10"/>
        <v>54</v>
      </c>
    </row>
    <row r="132" spans="1:108" x14ac:dyDescent="0.3">
      <c r="B132" s="7" t="s">
        <v>323</v>
      </c>
      <c r="C132" s="80">
        <v>20</v>
      </c>
      <c r="D132" s="80">
        <v>20</v>
      </c>
      <c r="E132" s="80">
        <v>20</v>
      </c>
      <c r="F132" s="80"/>
      <c r="G132" s="80"/>
      <c r="H132" s="80"/>
      <c r="I132" s="80"/>
      <c r="J132" s="80"/>
      <c r="K132" s="80"/>
      <c r="L132" s="80"/>
      <c r="M132" s="39">
        <f t="shared" si="10"/>
        <v>60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0.31089999999999995</v>
      </c>
      <c r="D133" s="39">
        <f>(D115*'(ne pas modifier) BDD_REF'!$B$212+'RECeff + REIamont (2)'!D131*'(ne pas modifier) BDD_REF'!$B$213+'RECeff + REIamont (2)'!D132*'(ne pas modifier) BDD_REF'!$B$214)/1000</f>
        <v>0.31089999999999995</v>
      </c>
      <c r="E133" s="39">
        <f>(E115*'(ne pas modifier) BDD_REF'!$B$212+'RECeff + REIamont (2)'!E131*'(ne pas modifier) BDD_REF'!$B$213+'RECeff + REIamont (2)'!E132*'(ne pas modifier) BDD_REF'!$B$214)/1000</f>
        <v>0.31089999999999995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0.93269999999999986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>
        <v>0.1875</v>
      </c>
      <c r="E135" s="80">
        <v>39</v>
      </c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39.375</v>
      </c>
    </row>
    <row r="136" spans="1:108" x14ac:dyDescent="0.3">
      <c r="B136" s="7" t="s">
        <v>325</v>
      </c>
      <c r="C136" s="80">
        <v>3.55</v>
      </c>
      <c r="D136" s="80">
        <v>3.55</v>
      </c>
      <c r="E136" s="80">
        <v>3.55</v>
      </c>
      <c r="F136" s="80"/>
      <c r="G136" s="80"/>
      <c r="H136" s="80"/>
      <c r="I136" s="80"/>
      <c r="J136" s="80"/>
      <c r="K136" s="80"/>
      <c r="L136" s="80"/>
      <c r="M136" s="39">
        <f t="shared" si="13"/>
        <v>10.649999999999999</v>
      </c>
    </row>
    <row r="137" spans="1:108" x14ac:dyDescent="0.3">
      <c r="B137" s="7" t="s">
        <v>326</v>
      </c>
      <c r="C137" s="80">
        <v>9.9</v>
      </c>
      <c r="D137" s="80">
        <v>9.9</v>
      </c>
      <c r="E137" s="80">
        <v>23.2</v>
      </c>
      <c r="F137" s="80"/>
      <c r="G137" s="80"/>
      <c r="H137" s="80"/>
      <c r="I137" s="80"/>
      <c r="J137" s="80"/>
      <c r="K137" s="80"/>
      <c r="L137" s="80"/>
      <c r="M137" s="39">
        <f t="shared" si="13"/>
        <v>43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0.28185003749999998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0.28185003749999998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0.84935654999999999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1.4130566249999998</v>
      </c>
    </row>
    <row r="140" spans="1:108" s="16" customFormat="1" x14ac:dyDescent="0.3">
      <c r="A140" s="18"/>
      <c r="B140" s="19" t="s">
        <v>186</v>
      </c>
      <c r="C140" s="81">
        <f>C133+C134+C139</f>
        <v>0.59275003749999988</v>
      </c>
      <c r="D140" s="81">
        <f t="shared" ref="D140:L140" si="14">D133+D134+D139</f>
        <v>0.59275003749999988</v>
      </c>
      <c r="E140" s="81">
        <f t="shared" si="14"/>
        <v>1.1602565499999999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2.3457566249999999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1.5783750374999999</v>
      </c>
      <c r="D141" s="20">
        <f>((D118+D119+D120)/1000*44/28*'(ne pas modifier) BDD_REF'!$B$232)+'RECeff + REIamont (2)'!D130+'RECeff + REIamont (2)'!D140</f>
        <v>1.5783750374999999</v>
      </c>
      <c r="E141" s="20">
        <f>((E118+E119+E120)/1000*44/28*'(ne pas modifier) BDD_REF'!$B$232)+'RECeff + REIamont (2)'!E130+'RECeff + REIamont (2)'!E140</f>
        <v>2.1458815499999999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5.3026316250000001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4.9285265824999991</v>
      </c>
      <c r="D142" s="71">
        <f t="shared" ref="D142:L142" si="15">D33+D60+D87+D114+D141</f>
        <v>4.9285265824999991</v>
      </c>
      <c r="E142" s="71">
        <f t="shared" si="15"/>
        <v>6.4078133000000008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16.264866464999997</v>
      </c>
    </row>
    <row r="143" spans="1:108" x14ac:dyDescent="0.3">
      <c r="B143" s="71" t="s">
        <v>222</v>
      </c>
      <c r="C143" s="71">
        <f>(C142-C5*5)</f>
        <v>-7.6546748129166664</v>
      </c>
      <c r="D143" s="71">
        <f t="shared" ref="D143:L143" si="16">(D142-D5*5)</f>
        <v>-10.505440782586668</v>
      </c>
      <c r="E143" s="71">
        <f t="shared" si="16"/>
        <v>-3.0325906684717321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-46.999703351308327</v>
      </c>
      <c r="D144" s="21">
        <f>D143*Eligibilité_projet!C8</f>
        <v>-24.267568207775202</v>
      </c>
      <c r="E144" s="21">
        <f>E143*Eligibilité_projet!D8</f>
        <v>-3.184220201895319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-74.45149176097884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2.4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7.1999999999999993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3.72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11.16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5.04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15.120000000000001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6.36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19.080000000000002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6.6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19.799999999999997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7.7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23.1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8.8000000000000007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26.400000000000002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9.9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29.700000000000003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11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33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12.1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36.299999999999997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12.46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37.380000000000003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12.82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38.46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13.18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39.54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13.54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40.619999999999997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13.9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41.7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13.98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41.94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14.06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42.18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14.14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42.42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14.22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42.660000000000004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14.3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42.900000000000006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210.22</v>
      </c>
      <c r="E25" s="22">
        <f>SUMIF($A5:$A24,"&lt;"&amp;Eligibilité_projet!D14+1,E5:E24)</f>
        <v>210.22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630.66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70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225.36918730158729</v>
      </c>
      <c r="D28" s="24">
        <f>((D25/D27)-D26)*Eligibilité_projet!C8*44/12</f>
        <v>84.788733333333326</v>
      </c>
      <c r="E28" s="24">
        <f>((E25/E27)-E26)*Eligibilité_projet!D8*44/12</f>
        <v>38.540333333333329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348.69825396825394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43.1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43.1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129.30000000000001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41.5</v>
      </c>
      <c r="E6" s="22">
        <f>IF(Eligibilité_projet!D13="Hors climat Mediterranéen",'(ne pas modifier) BDD_REF'!$C$272,IF(Eligibilité_projet!D13="",0,'(ne pas modifier) BDD_REF'!$B$272))</f>
        <v>41.5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124.5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0.76</v>
      </c>
      <c r="D7" s="22">
        <f>Eligibilité_projet!C15</f>
        <v>0.76</v>
      </c>
      <c r="E7" s="22">
        <f>Eligibilité_projet!D15</f>
        <v>0.76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2.2800000000000002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60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131.6579733333333</v>
      </c>
      <c r="D9" s="21">
        <f>((D6-D5)+('(ne pas modifier) BDD_REF'!$B$276*D7*D8))*Eligibilité_projet!C8*44/12</f>
        <v>49.532559999999989</v>
      </c>
      <c r="E9" s="21">
        <f>((E6-E5)+('(ne pas modifier) BDD_REF'!$B$276*E7*E8))*Eligibilité_projet!D8*44/12</f>
        <v>22.514799999999994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203.70533333333327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-74.45149176097884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348.69825396825394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203.70533333333327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626.85507906256612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-74.45149176097884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313.82842857142856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203.70533333333327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465.78038571428567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540.23187747526447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2024-02-08T11:06:06Z</dcterms:modified>
</cp:coreProperties>
</file>