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cooperativecarbone17.sharepoint.com/sites/CooperativeCarbone/Documents partages/CONTRIBUTION CARBONE/PROJETS/LBC - Verger/2024 - Beaumontois en Perigord/a/"/>
    </mc:Choice>
  </mc:AlternateContent>
  <xr:revisionPtr revIDLastSave="0" documentId="11_EB05FB0295B77F5393110E7A3ABDFB3E2ED8175D" xr6:coauthVersionLast="47" xr6:coauthVersionMax="47" xr10:uidLastSave="{00000000-0000-0000-0000-000000000000}"/>
  <bookViews>
    <workbookView xWindow="11424" yWindow="0" windowWidth="11712" windowHeight="12336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G13" i="8" l="1"/>
  <c r="F13" i="8"/>
  <c r="E13" i="8"/>
  <c r="D13" i="8"/>
  <c r="B21" i="2"/>
  <c r="B12" i="2"/>
  <c r="L22" i="2" l="1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I25" i="9" l="1"/>
  <c r="J25" i="9"/>
  <c r="K25" i="9"/>
  <c r="L25" i="9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E140" i="5" s="1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K59" i="5" s="1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F86" i="5" l="1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D25" i="9" s="1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s="1"/>
  <c r="H25" i="9" l="1"/>
  <c r="G25" i="9"/>
  <c r="F25" i="9"/>
  <c r="E25" i="9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D127" i="5" l="1"/>
  <c r="D130" i="5" s="1"/>
  <c r="D141" i="5" s="1"/>
  <c r="E127" i="5"/>
  <c r="E130" i="5" s="1"/>
  <c r="E141" i="5" s="1"/>
  <c r="F127" i="5"/>
  <c r="F130" i="5" s="1"/>
  <c r="F141" i="5" s="1"/>
  <c r="G127" i="5"/>
  <c r="G130" i="5" s="1"/>
  <c r="G141" i="5" s="1"/>
  <c r="H127" i="5"/>
  <c r="H130" i="5" s="1"/>
  <c r="H141" i="5" s="1"/>
  <c r="I127" i="5"/>
  <c r="I130" i="5" s="1"/>
  <c r="I141" i="5" s="1"/>
  <c r="J127" i="5"/>
  <c r="J130" i="5" s="1"/>
  <c r="J141" i="5" s="1"/>
  <c r="K127" i="5"/>
  <c r="K130" i="5" s="1"/>
  <c r="K141" i="5" s="1"/>
  <c r="L127" i="5"/>
  <c r="L130" i="5" s="1"/>
  <c r="L141" i="5" s="1"/>
  <c r="C127" i="5"/>
  <c r="C130" i="5" s="1"/>
  <c r="C141" i="5" s="1"/>
  <c r="D100" i="5"/>
  <c r="D103" i="5" s="1"/>
  <c r="D114" i="5" s="1"/>
  <c r="E100" i="5"/>
  <c r="E103" i="5" s="1"/>
  <c r="E114" i="5" s="1"/>
  <c r="F100" i="5"/>
  <c r="F103" i="5" s="1"/>
  <c r="F114" i="5" s="1"/>
  <c r="G100" i="5"/>
  <c r="G103" i="5" s="1"/>
  <c r="G114" i="5" s="1"/>
  <c r="H100" i="5"/>
  <c r="H103" i="5" s="1"/>
  <c r="H114" i="5" s="1"/>
  <c r="I100" i="5"/>
  <c r="I103" i="5" s="1"/>
  <c r="I114" i="5" s="1"/>
  <c r="J100" i="5"/>
  <c r="J103" i="5" s="1"/>
  <c r="J114" i="5" s="1"/>
  <c r="K100" i="5"/>
  <c r="K103" i="5" s="1"/>
  <c r="K114" i="5" s="1"/>
  <c r="L100" i="5"/>
  <c r="L103" i="5" s="1"/>
  <c r="L114" i="5" s="1"/>
  <c r="C100" i="5"/>
  <c r="C103" i="5" s="1"/>
  <c r="C114" i="5" s="1"/>
  <c r="D73" i="5"/>
  <c r="D76" i="5" s="1"/>
  <c r="D87" i="5" s="1"/>
  <c r="E73" i="5"/>
  <c r="E76" i="5" s="1"/>
  <c r="E87" i="5" s="1"/>
  <c r="F73" i="5"/>
  <c r="F76" i="5" s="1"/>
  <c r="F87" i="5" s="1"/>
  <c r="G73" i="5"/>
  <c r="G76" i="5" s="1"/>
  <c r="G87" i="5" s="1"/>
  <c r="H73" i="5"/>
  <c r="H76" i="5" s="1"/>
  <c r="H87" i="5" s="1"/>
  <c r="I73" i="5"/>
  <c r="I76" i="5" s="1"/>
  <c r="I87" i="5" s="1"/>
  <c r="J73" i="5"/>
  <c r="J76" i="5" s="1"/>
  <c r="J87" i="5" s="1"/>
  <c r="K73" i="5"/>
  <c r="K76" i="5" s="1"/>
  <c r="K87" i="5" s="1"/>
  <c r="L73" i="5"/>
  <c r="L76" i="5" s="1"/>
  <c r="L87" i="5" s="1"/>
  <c r="C73" i="5"/>
  <c r="C76" i="5" s="1"/>
  <c r="C87" i="5" s="1"/>
  <c r="D46" i="5"/>
  <c r="D49" i="5" s="1"/>
  <c r="D60" i="5" s="1"/>
  <c r="E46" i="5"/>
  <c r="E49" i="5" s="1"/>
  <c r="E60" i="5" s="1"/>
  <c r="F46" i="5"/>
  <c r="F49" i="5" s="1"/>
  <c r="F60" i="5" s="1"/>
  <c r="G46" i="5"/>
  <c r="G49" i="5" s="1"/>
  <c r="G60" i="5" s="1"/>
  <c r="H46" i="5"/>
  <c r="H49" i="5" s="1"/>
  <c r="H60" i="5" s="1"/>
  <c r="I46" i="5"/>
  <c r="I49" i="5" s="1"/>
  <c r="I60" i="5" s="1"/>
  <c r="J46" i="5"/>
  <c r="J49" i="5" s="1"/>
  <c r="J60" i="5" s="1"/>
  <c r="K46" i="5"/>
  <c r="K49" i="5" s="1"/>
  <c r="K60" i="5" s="1"/>
  <c r="L46" i="5"/>
  <c r="L49" i="5" s="1"/>
  <c r="L60" i="5" s="1"/>
  <c r="C46" i="5"/>
  <c r="C49" i="5" s="1"/>
  <c r="C60" i="5" s="1"/>
  <c r="D19" i="5"/>
  <c r="D22" i="5" s="1"/>
  <c r="D33" i="5" s="1"/>
  <c r="E19" i="5"/>
  <c r="E22" i="5" s="1"/>
  <c r="E33" i="5" s="1"/>
  <c r="F19" i="5"/>
  <c r="F22" i="5" s="1"/>
  <c r="F33" i="5" s="1"/>
  <c r="G19" i="5"/>
  <c r="G22" i="5" s="1"/>
  <c r="G33" i="5" s="1"/>
  <c r="H19" i="5"/>
  <c r="H22" i="5" s="1"/>
  <c r="H33" i="5" s="1"/>
  <c r="I19" i="5"/>
  <c r="I22" i="5" s="1"/>
  <c r="I33" i="5" s="1"/>
  <c r="J19" i="5"/>
  <c r="J22" i="5" s="1"/>
  <c r="J33" i="5" s="1"/>
  <c r="K19" i="5"/>
  <c r="K22" i="5" s="1"/>
  <c r="K33" i="5" s="1"/>
  <c r="L19" i="5"/>
  <c r="L22" i="5" s="1"/>
  <c r="L33" i="5" s="1"/>
  <c r="C19" i="5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I28" i="9"/>
  <c r="H37" i="2" s="1"/>
  <c r="H39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C22" i="5"/>
  <c r="L37" i="2" l="1"/>
  <c r="B39" i="2"/>
  <c r="G39" i="2"/>
  <c r="E38" i="2"/>
  <c r="E39" i="2" s="1"/>
  <c r="I38" i="2"/>
  <c r="F38" i="2"/>
  <c r="F39" i="2" s="1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C6" i="6" s="1"/>
  <c r="M142" i="5"/>
  <c r="C43" i="2"/>
  <c r="D43" i="2"/>
  <c r="E43" i="2"/>
  <c r="F43" i="2"/>
  <c r="G43" i="2"/>
  <c r="H43" i="2"/>
  <c r="I43" i="2"/>
  <c r="J43" i="2"/>
  <c r="K43" i="2"/>
  <c r="C7" i="6" l="1"/>
  <c r="C11" i="6" s="1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E27" i="2" s="1"/>
  <c r="E28" i="2" s="1"/>
  <c r="F26" i="2"/>
  <c r="F27" i="2" s="1"/>
  <c r="F28" i="2" s="1"/>
  <c r="G26" i="2"/>
  <c r="G27" i="2" s="1"/>
  <c r="G28" i="2" s="1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tc={728575F6-B6F0-45CF-9D66-AAED706B4FCE}</author>
    <author>tc={B2BCA7C0-D593-4BAB-B993-4B84649C6980}</author>
    <author>tc={1B4B292D-B932-4038-82B7-A784A00AB93A}</author>
    <author>tc={2315FCC0-55B4-4E8A-92B7-E05EA654EED7}</author>
    <author>tc={E33BD4AD-E3C7-4880-8839-3576A714CF43}</author>
    <author>tc={5FBF0FAE-3440-442F-B4C3-9D1CF2ACD961}</author>
    <author>tc={5983B097-E840-4FA8-BFDD-3BF49FA404D3}</author>
    <author>tc={5983B097-E840-4FA9-BFDD-3BF49FA404D3}</author>
    <author>tc={CBA0FB12-7BDD-4E62-857F-82E0C357BD95}</author>
    <author>tc={ADE704AE-C5B3-4637-9FB0-EC426D7E16B5}</author>
    <author>tc={A4A4ACC1-E8AA-4196-8905-A314C815621C}</author>
    <author>tc={A4A4ACC1-E8AA-4197-8905-A314C815621C}</author>
    <author>tc={F81E59DF-D099-4FEE-A134-04D9A73FD190}</author>
    <author>tc={61321B9C-B55A-4E0E-BE8D-361DC0ABC749}</author>
    <author>tc={4F0A5251-A8B0-4497-BFB3-348C5BF1FB2E}</author>
    <author>tc={4DFD6A54-ED93-488A-BA39-E7A5DFF179DE}</author>
    <author>tc={4DFD6A54-ED93-488B-BA39-E7A5DFF179DE}</author>
    <author>tc={2760B9FA-8DA7-4241-A0E2-BD2521D37310}</author>
    <author>tc={EB5371BB-4F69-43DD-A7C5-A0D3116E0DDA}</author>
    <author>tc={EDAB83EA-74B9-4831-9DF3-8921E9C50E1B}</author>
  </authors>
  <commentList>
    <comment ref="B6" authorId="0" shapeId="0" xr:uid="{00000000-0006-0000-0100-0000010000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Plantation 2025</t>
      </text>
    </comment>
    <comment ref="C6" authorId="1" shapeId="0" xr:uid="{00000000-0006-0000-0100-0000020000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Plantation 2025</t>
      </text>
    </comment>
    <comment ref="D6" authorId="2" shapeId="0" xr:uid="{00000000-0006-0000-0100-0000030000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Plantation 2026</t>
      </text>
    </comment>
    <comment ref="E6" authorId="3" shapeId="0" xr:uid="{00000000-0006-0000-0100-0000040000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Plantation 2026</t>
      </text>
    </comment>
    <comment ref="F6" authorId="4" shapeId="0" xr:uid="{00000000-0006-0000-0100-0000050000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Plantation 2027</t>
      </text>
    </comment>
    <comment ref="B8" authorId="5" shapeId="0" xr:uid="{00000000-0006-0000-0100-0000060000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plantation 2025</t>
      </text>
    </comment>
    <comment ref="C8" authorId="6" shapeId="0" xr:uid="{00000000-0006-0000-0100-0000070000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Plantation 2025</t>
      </text>
    </comment>
    <comment ref="D8" authorId="7" shapeId="0" xr:uid="{00000000-0006-0000-0100-0000080000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Plantation 2025</t>
      </text>
    </comment>
    <comment ref="E8" authorId="8" shapeId="0" xr:uid="{00000000-0006-0000-0100-0000090000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Plantation 2026</t>
      </text>
    </comment>
    <comment ref="F8" authorId="9" shapeId="0" xr:uid="{00000000-0006-0000-0100-00000A0000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Plantation 2026</t>
      </text>
    </comment>
    <comment ref="B17" authorId="10" shapeId="0" xr:uid="{00000000-0006-0000-0100-00000B0000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Sorgho fourrage</t>
      </text>
    </comment>
    <comment ref="C17" authorId="11" shapeId="0" xr:uid="{00000000-0006-0000-0100-00000C0000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Sorgho fourrage</t>
      </text>
    </comment>
    <comment ref="D17" authorId="12" shapeId="0" xr:uid="{00000000-0006-0000-0100-00000D0000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Trèfle conventionnel</t>
      </text>
    </comment>
    <comment ref="E17" authorId="13" shapeId="0" xr:uid="{00000000-0006-0000-0100-00000E0000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Trèfle conventionnel</t>
      </text>
    </comment>
    <comment ref="F17" authorId="14" shapeId="0" xr:uid="{00000000-0006-0000-0100-00000F0000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Trèfle conventionnel</t>
      </text>
    </comment>
    <comment ref="B18" authorId="15" shapeId="0" xr:uid="{00000000-0006-0000-0100-0000100000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Betterave porte graine</t>
      </text>
    </comment>
    <comment ref="C18" authorId="16" shapeId="0" xr:uid="{00000000-0006-0000-0100-0000110000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Betterave porte graine</t>
      </text>
    </comment>
    <comment ref="D19" authorId="17" shapeId="0" xr:uid="{00000000-0006-0000-0100-0000120000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betterave porte-graine</t>
      </text>
    </comment>
    <comment ref="E19" authorId="18" shapeId="0" xr:uid="{00000000-0006-0000-0100-0000130000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betterave porte-graine</t>
      </text>
    </comment>
    <comment ref="F19" authorId="19" shapeId="0" xr:uid="{00000000-0006-0000-0100-0000140000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betterave porte-graine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tc={1DF0B53E-5580-4372-BA69-250E7E914094}</author>
    <author>tc={696649AF-0EFA-45A2-8525-5EFD8F7540DD}</author>
  </authors>
  <commentList>
    <comment ref="D9" authorId="0" shapeId="0" xr:uid="{00000000-0006-0000-0400-0000010000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6 ou 7 tonnes actuellement mais jusqu'0 50 tonnes à terme</t>
      </text>
    </comment>
    <comment ref="D15" authorId="1" shapeId="0" xr:uid="{00000000-0006-0000-0400-00000200000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Appel Vincent pour PCI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<sst xmlns="http://schemas.openxmlformats.org/spreadsheetml/2006/main" count="932" uniqueCount="353">
  <si>
    <t>V. 27/02/2023</t>
  </si>
  <si>
    <t>Les cellules à remplir sont indiquées en jaune (si vous ne parvenez pas à supprimer une donnée, tappez sur Suppr)</t>
  </si>
  <si>
    <t>Ce calculateur a été élaboré par le Minitère de la Transition Ecologique et permet notamment de calculer les réductions d'émissions associés aux projets suivant la méthode "Plantation de vergers".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</si>
  <si>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</si>
  <si>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</si>
  <si>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</si>
  <si>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t>NON</t>
  </si>
  <si>
    <t>OUI</t>
  </si>
  <si>
    <t>INFORMATIONS (une seule espèce/parcelle)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</si>
  <si>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</si>
  <si>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</si>
  <si>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</si>
  <si>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</si>
  <si>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</si>
  <si>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</si>
  <si>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</si>
  <si>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</si>
  <si>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</si>
  <si>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</si>
  <si>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TOTAL</t>
  </si>
  <si>
    <t xml:space="preserve">Commune </t>
  </si>
  <si>
    <t>Beaumontois-en-Périgord</t>
  </si>
  <si>
    <t>Beaumontois</t>
  </si>
  <si>
    <t>Surface parcelle (ha)</t>
  </si>
  <si>
    <t>Espèce plantée</t>
  </si>
  <si>
    <t>Prunier de table</t>
  </si>
  <si>
    <t>Noyer</t>
  </si>
  <si>
    <t>Espèce selon référentiel Agribalyse (à compléter si vous souhaitez planter des pommiers/pêchers/clémentiniers)</t>
  </si>
  <si>
    <t>Type de plantation</t>
  </si>
  <si>
    <t>Axe</t>
  </si>
  <si>
    <t>Densité objectif de plantation (plants/ha)</t>
  </si>
  <si>
    <t>Climat de la zone de plantation</t>
  </si>
  <si>
    <t>Hors climat Mediterranéen</t>
  </si>
  <si>
    <t>Durée de vie prévue du verger (années)</t>
  </si>
  <si>
    <t>% enherbement prévu</t>
  </si>
  <si>
    <t>Usage de référence</t>
  </si>
  <si>
    <t>Grandes cultures</t>
  </si>
  <si>
    <t>NB : pour le maraichage,
saisir Grandes cultures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</si>
  <si>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</si>
  <si>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Triticale, conventionnelle – Moyenne nationale (France)</t>
  </si>
  <si>
    <t>Féverole, conventionnelle – Moyenne nationale (France)</t>
  </si>
  <si>
    <t>Blé tendre, conventionnel – Moyenne nationale (France)</t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</si>
  <si>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</si>
  <si>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Betterave sucrière, conventionnelle – Moyenne nationale (France)</t>
  </si>
  <si>
    <t>Tournesol, conventionnel, 9% humidité – Moyenne nationale (France)</t>
  </si>
  <si>
    <t>Maïs grain humide, conventionnel, 28% humidité – Moyenne nationale (France)</t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</si>
  <si>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</si>
  <si>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Blé tendre conventionnel, panifiable, 15% humidité</t>
  </si>
  <si>
    <t>Luzerne, conventionnelle, pour la déshydratation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</si>
  <si>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</si>
  <si>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</si>
  <si>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CRITERE D'ELIGIBILITE</t>
  </si>
  <si>
    <t>Critère d'éligibilité 1 - Densité minimale de plants</t>
  </si>
  <si>
    <t>Espèce - Type plantation</t>
  </si>
  <si>
    <t>Densité objectif minimale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</si>
  <si>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</si>
  <si>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Critère d'éligibilité 2 - Augmentation de la surface nette en culture fruitière</t>
  </si>
  <si>
    <t xml:space="preserve">Validation critère </t>
  </si>
  <si>
    <t>Critère d'éligibilité 3 - Augmentation du stock de carbone total</t>
  </si>
  <si>
    <t>Climat-Usage de référence</t>
  </si>
  <si>
    <t>Durée de vie - Usage de référence</t>
  </si>
  <si>
    <t>Estimation REC ANT_SOL (en teqCO2)</t>
  </si>
  <si>
    <t>Estimation REC ANT_BIOM (en teqCO2)</t>
  </si>
  <si>
    <t>Estimation REC ANT_SOL + REC ANT_BIOM (en teq CO2)</t>
  </si>
  <si>
    <t>Critère d'éligibilité 4 - Enherbement du verger sur au moins 50% de sa surface</t>
  </si>
  <si>
    <t>Critère d'éligibilité 5 - Plantation sur prairies selon la zone</t>
  </si>
  <si>
    <t>Rien n'est à compléter</t>
  </si>
  <si>
    <t>Somme des parcelles</t>
  </si>
  <si>
    <t>EGES ref (en teqCO2/ha/an)</t>
  </si>
  <si>
    <t>EGES projet (en teqCO2/ha/an)</t>
  </si>
  <si>
    <t>RE (en teqCO2)</t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</si>
  <si>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</si>
  <si>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EGESref (en teqCO2/ha/an)</t>
  </si>
  <si>
    <t>Année 1</t>
  </si>
  <si>
    <t>QNmin (en kgN/ha/an)</t>
  </si>
  <si>
    <t>QNorg (en kgN/ha/an)</t>
  </si>
  <si>
    <t>QNres (en kgN/ha/an)</t>
  </si>
  <si>
    <t>EN2O dir (kg N20-N/ha)</t>
  </si>
  <si>
    <t>EN2O vol (kg N20-N/ha)</t>
  </si>
  <si>
    <t>EN2O less (kg N20-N/ha)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</si>
  <si>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</si>
  <si>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</si>
  <si>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</si>
  <si>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</si>
  <si>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</si>
  <si>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</si>
  <si>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ECO2e engins (en teqCO2/ha/an)</t>
  </si>
  <si>
    <t>Consommation électricité pour l'irrigation (en kWh/ha/an)</t>
  </si>
  <si>
    <t>ECO2e irrigation (en teqCO2/ha/an)</t>
  </si>
  <si>
    <t>ECO2e energie (en teqCO2/ha/an)</t>
  </si>
  <si>
    <t>QP (en kgP2O5/ha/an)</t>
  </si>
  <si>
    <t>QK (en kgK2O/ha/an)</t>
  </si>
  <si>
    <t>ECO2engrais (en teqCO2/ha/an)</t>
  </si>
  <si>
    <t>ECO2plants</t>
  </si>
  <si>
    <t>MA = Matière Active</t>
  </si>
  <si>
    <t>Quantité MA Fongicides (kg/ha/an)</t>
  </si>
  <si>
    <t>Quantité MA Herbicides (kg/ha/an)</t>
  </si>
  <si>
    <t>Quantité MA Insecticides (kg/ha/an)</t>
  </si>
  <si>
    <t>Quantité MA Autres (kg/ha/an)</t>
  </si>
  <si>
    <t>ECO2phyto (en teqCO2/ha/an)</t>
  </si>
  <si>
    <t>ECO2e intrants (en teqCO2/ha/an)</t>
  </si>
  <si>
    <t>EGESprojet (en teqCO2/ha/an)</t>
  </si>
  <si>
    <t>Année 2</t>
  </si>
  <si>
    <t>attente modif texte méthode</t>
  </si>
  <si>
    <t>Année 3</t>
  </si>
  <si>
    <t>Année 4</t>
  </si>
  <si>
    <t>Année 5</t>
  </si>
  <si>
    <t>EGESprojet sur les 5 ans (en teqCO2/ha)</t>
  </si>
  <si>
    <t>RE sur 5 ans (en teqCO2/ha)</t>
  </si>
  <si>
    <t>EGESprojet sur les 5 ans (en teqCO2)</t>
  </si>
  <si>
    <t>Cet onglet est facultatif et n'est à remplir que si le porteur de projet fait le choix de valoriser des coproduits de son verger en énergie.</t>
  </si>
  <si>
    <t>Projet</t>
  </si>
  <si>
    <t>Pouvoir Calorifique Inférieur (PCI) du coproduit valorisé (en kWh PCI/ tonne)</t>
  </si>
  <si>
    <t>FE de l’énergie fossile substituée (en teq CO2/kWh PCI)</t>
  </si>
  <si>
    <t>EGES transport les émissions associées au transport du coproduit de son lieu de fabrication jusqu’au site énergétique (en teq CO2/tonne)</t>
  </si>
  <si>
    <t>Coefficient de substitution du coproduit du verger valorisé en phase de projet (en teq CO2/tonne)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</si>
  <si>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</si>
  <si>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</si>
  <si>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Référence pour une des 3 années précédant le projet</t>
  </si>
  <si>
    <t>Flux_CP ref, quantité de coproduits valorisées en énergie dans le scénario de référence (en tonnes)</t>
  </si>
  <si>
    <t>REIaval (teq CO2)</t>
  </si>
  <si>
    <t>Anthracite</t>
  </si>
  <si>
    <t>Butane - inclus maritime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</si>
  <si>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</si>
  <si>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</si>
  <si>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</si>
  <si>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</si>
  <si>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</si>
  <si>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</si>
  <si>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</si>
  <si>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</si>
  <si>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domestique</t>
  </si>
  <si>
    <t>Fioul lourd</t>
  </si>
  <si>
    <t>Gaz de cokerie</t>
  </si>
  <si>
    <t>Gaz de haut fourneau</t>
  </si>
  <si>
    <t>Gaz naturel</t>
  </si>
  <si>
    <t>Gazole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</si>
  <si>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</si>
  <si>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</si>
  <si>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</si>
  <si>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</si>
  <si>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</si>
  <si>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</si>
  <si>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</si>
  <si>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</si>
  <si>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</si>
  <si>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</si>
  <si>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</si>
  <si>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</si>
  <si>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</si>
  <si>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 xml:space="preserve">Energie fossile substituée </t>
  </si>
  <si>
    <t>FE (en teq CO2/kWh PCI)</t>
  </si>
  <si>
    <t>Combustibles fossiles liquides usage source fixe</t>
  </si>
  <si>
    <t>Combustible haute viscosité</t>
  </si>
  <si>
    <t>Fioul à base de carbone recyclé - VALORTEC - Basse teneur en soufre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</si>
  <si>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</si>
  <si>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</si>
  <si>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</si>
  <si>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</si>
  <si>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</si>
  <si>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</si>
  <si>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</si>
  <si>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</si>
  <si>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</si>
  <si>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</si>
  <si>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</si>
  <si>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</si>
  <si>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</si>
  <si>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</si>
  <si>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</si>
  <si>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>Combustibles fossiles liquides Usage sources mobiles Usage aérien</t>
  </si>
  <si>
    <t xml:space="preserve">Carbureacteur - large coupe (jet B) </t>
  </si>
  <si>
    <t xml:space="preserve">Essence aviation (AvGas) </t>
  </si>
  <si>
    <t xml:space="preserve">Kérosène - jet A1 ou A </t>
  </si>
  <si>
    <t>Combustibles fossiles liquides Usage sources mobiles autres usages</t>
  </si>
  <si>
    <t xml:space="preserve">Gazole non routier 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</si>
  <si>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</si>
  <si>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</si>
  <si>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</si>
  <si>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</si>
  <si>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</si>
  <si>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Si vous ne trouvez pas le FE correspondant, vous pouvez les retrouver dans le guide GESTIM+ ou la Base Carbone de l'Ademe.</t>
  </si>
  <si>
    <t>Année</t>
  </si>
  <si>
    <t>Stock_biomasse (en tC/ha)</t>
  </si>
  <si>
    <t>Stock_biomasse_projet (en tC/ha)</t>
  </si>
  <si>
    <t>Référence</t>
  </si>
  <si>
    <t>Stock_biomasse_référence (en tC/ha)</t>
  </si>
  <si>
    <t>Durée de vie de l’espèce fruitière + 1 an</t>
  </si>
  <si>
    <t>RECant_biom (teqCO2)</t>
  </si>
  <si>
    <t>Stock sol ref (teq CO2/ha)</t>
  </si>
  <si>
    <t>Stock sol projet (teq CO2/ha)</t>
  </si>
  <si>
    <t>Part enherbée (%)</t>
  </si>
  <si>
    <t>Durée de vie de l'espèce fruitière (années)</t>
  </si>
  <si>
    <t>RECant_sol (teq CO2)</t>
  </si>
  <si>
    <t>Rien n'est à compléter mais certaines valeurs doivent être reprises dans le Document Description de Projet (DDP)</t>
  </si>
  <si>
    <t>Avant rabais</t>
  </si>
  <si>
    <t>Option 1 (si non choisie, ne pas tenir compte du calcul)</t>
  </si>
  <si>
    <t>RECeff + REIamont (teq CO2)</t>
  </si>
  <si>
    <t>Option 2</t>
  </si>
  <si>
    <t>RECant_biom (teq CO2)</t>
  </si>
  <si>
    <t>RE (teq CO2)</t>
  </si>
  <si>
    <t>Après rabais</t>
  </si>
  <si>
    <t>RECant_biom (teq CO2) + RECant_sol (teq CO2)</t>
  </si>
  <si>
    <t>Variable</t>
  </si>
  <si>
    <t>Climat</t>
  </si>
  <si>
    <t>Climat_Usage</t>
  </si>
  <si>
    <t>Valeur</t>
  </si>
  <si>
    <t>Stock C sol (tC/ha)</t>
  </si>
  <si>
    <t>Prairies permanentes</t>
  </si>
  <si>
    <t>Viticulture</t>
  </si>
  <si>
    <t>Vergers</t>
  </si>
  <si>
    <t>Climat Sec Mediterranéen</t>
  </si>
  <si>
    <t>Friche herbacée</t>
  </si>
  <si>
    <t>Variation annuelle (tC/ha/an)</t>
  </si>
  <si>
    <t>Espèce fruitière</t>
  </si>
  <si>
    <t>Espèce - Plantation</t>
  </si>
  <si>
    <t>Densité de plantation minimum admise (arbres/ha)</t>
  </si>
  <si>
    <t>Abricotier</t>
  </si>
  <si>
    <t>Gobelet</t>
  </si>
  <si>
    <t>Amandier</t>
  </si>
  <si>
    <t>Cerisier de table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</si>
  <si>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</si>
  <si>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</si>
  <si>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</si>
  <si>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</si>
  <si>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</si>
  <si>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</si>
  <si>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</si>
  <si>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</si>
  <si>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</si>
  <si>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Pêcher</t>
  </si>
  <si>
    <t>Upsilon</t>
  </si>
  <si>
    <t>Palmette</t>
  </si>
  <si>
    <t>Poirier</t>
  </si>
  <si>
    <t>Pommier</t>
  </si>
  <si>
    <t>Climat non mediterranéen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</si>
  <si>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</si>
  <si>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</si>
  <si>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</si>
  <si>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</si>
  <si>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de vie de l'espèce fruitière</t>
  </si>
  <si>
    <t>Contexte climatique</t>
  </si>
  <si>
    <t>Durée - Usage ref</t>
  </si>
  <si>
    <t>REC ANT BIOM (tC/ha)</t>
  </si>
  <si>
    <t>Culture</t>
  </si>
  <si>
    <t>kg CO2 eq/ha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</si>
  <si>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</si>
  <si>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</si>
  <si>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</si>
  <si>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</si>
  <si>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</si>
  <si>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</si>
  <si>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</si>
  <si>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</si>
  <si>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</si>
  <si>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</si>
  <si>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</si>
  <si>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</si>
  <si>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</si>
  <si>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</si>
  <si>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</si>
  <si>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</si>
  <si>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</si>
  <si>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</si>
  <si>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</si>
  <si>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</si>
  <si>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</si>
  <si>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</si>
  <si>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</si>
  <si>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</si>
  <si>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</si>
  <si>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</si>
  <si>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</si>
  <si>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l'alimentation animale (en exploitation avec élevage)</t>
  </si>
  <si>
    <t>Maïs ensilage, conventionnel – Moyenne nationale (France)</t>
  </si>
  <si>
    <t>Melon conventionnel -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</si>
  <si>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</si>
  <si>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</si>
  <si>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</si>
  <si>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</si>
  <si>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</si>
  <si>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</si>
  <si>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</si>
  <si>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</si>
  <si>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</si>
  <si>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</si>
  <si>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</si>
  <si>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</si>
  <si>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</si>
  <si>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</si>
  <si>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</si>
  <si>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</si>
  <si>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</si>
  <si>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Triticale, biologique (cas type), région Centre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</si>
  <si>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</si>
  <si>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</si>
  <si>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</si>
  <si>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</si>
  <si>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</si>
  <si>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</si>
  <si>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</si>
  <si>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</si>
  <si>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</si>
  <si>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</si>
  <si>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Facteurs d'émissions (unité)</t>
  </si>
  <si>
    <t>EF1min (en kgN2O-N/kg N)</t>
  </si>
  <si>
    <t>EF1org (kg N2O-N/kg N)</t>
  </si>
  <si>
    <t>EF4 (en kg N2O-N/kg NH3-N + NOx-N)</t>
  </si>
  <si>
    <t>EF5 (en kg N2O-N/kg N lessivé)</t>
  </si>
  <si>
    <t>FE indirect électricité (en kg CO2 eq/kWh)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</si>
  <si>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</si>
  <si>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</si>
  <si>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</si>
  <si>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FE fongicides</t>
  </si>
  <si>
    <t>FE herbicides</t>
  </si>
  <si>
    <t>FE insecticides</t>
  </si>
  <si>
    <t>FE autres</t>
  </si>
  <si>
    <t xml:space="preserve">Frac GASF (en kg NH3-N + NOx-N /kg N apporté) (valeur IPCC 2019 par défaut) </t>
  </si>
  <si>
    <t xml:space="preserve">Frac GASM (en kg NH3-N + NOx-N /kg N apporté) (valeur IPCC 2019 par défaut) </t>
  </si>
  <si>
    <t>Frac LESS (en kg N /kg N apporté) (valeur IPCC 2019 par défaut)</t>
  </si>
  <si>
    <t>Combustible</t>
  </si>
  <si>
    <t>Unité</t>
  </si>
  <si>
    <t>FE (kg eqCO2/unité)</t>
  </si>
  <si>
    <t>FE directes (kg eq CO2/unité)</t>
  </si>
  <si>
    <t>FE indirectes (kg eq CO2/unité)</t>
  </si>
  <si>
    <t>Litres</t>
  </si>
  <si>
    <t>Essence</t>
  </si>
  <si>
    <t>kg</t>
  </si>
  <si>
    <t>kWh</t>
  </si>
  <si>
    <t>Butane/Propane</t>
  </si>
  <si>
    <t>PRG N2O (IPCC 2013)</t>
  </si>
  <si>
    <t>Verger hors climat sec méditerranéen</t>
  </si>
  <si>
    <t xml:space="preserve">Verger en climat Sec Méditerranéen </t>
  </si>
  <si>
    <t xml:space="preserve">Usage de référence </t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</si>
  <si>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</si>
  <si>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Sources</t>
  </si>
  <si>
    <t>OMINEA, 2020</t>
  </si>
  <si>
    <t>IFN/FCBA/SOLAGRO, 2009</t>
  </si>
  <si>
    <t>Chiti et al., 2018</t>
  </si>
  <si>
    <t>Verger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</si>
  <si>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</si>
  <si>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</si>
  <si>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t xml:space="preserve">Verger en climat Sec Méditerranéen (en tC/ha) </t>
  </si>
  <si>
    <t>Verger hors climat sec méditerranéen (en tC/ha)</t>
  </si>
  <si>
    <t>Source</t>
  </si>
  <si>
    <t>MediNet</t>
  </si>
  <si>
    <t>GIS Fruits (RMQS)</t>
  </si>
  <si>
    <t>Verger en climat Sec Méditerranéen (en tC/ha)</t>
  </si>
  <si>
    <t>Effenherb (en tC/ha/an)</t>
  </si>
  <si>
    <t>Facteur de conversion GJ en kWh</t>
  </si>
  <si>
    <t>Climats</t>
  </si>
  <si>
    <t>Durée de vie</t>
  </si>
  <si>
    <t xml:space="preserve">Prairies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</si>
</sst>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9" fontId="30" fillId="3" borderId="1" xfId="1" applyFont="1" applyFill="1" applyBorder="1" applyAlignment="1" applyProtection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nrick GEORGES" id="{1738EBBD-ABE1-4CBE-A443-1FF6E0D3EEB9}" userId="S::enrick.georges@dordogne.chambagri.fr::ddc9cf3a-778c-45bc-b695-25329e5a17e8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5-03-20T10:11:52.65" personId="{1738EBBD-ABE1-4CBE-A443-1FF6E0D3EEB9}" id="{728575F6-B6F0-45CF-9D66-AAED706B4FCE}">
    <text>Plantation 2025</text>
  </threadedComment>
  <threadedComment ref="C6" dT="2025-03-20T10:12:05.50" personId="{1738EBBD-ABE1-4CBE-A443-1FF6E0D3EEB9}" id="{B2BCA7C0-D593-4BAB-B993-4B84649C6980}">
    <text>Plantation 2025</text>
  </threadedComment>
  <threadedComment ref="D6" dT="2025-03-20T10:14:25.92" personId="{1738EBBD-ABE1-4CBE-A443-1FF6E0D3EEB9}" id="{1B4B292D-B932-4038-82B7-A784A00AB93A}">
    <text>Plantation 2026</text>
  </threadedComment>
  <threadedComment ref="E6" dT="2025-03-20T10:14:40.07" personId="{1738EBBD-ABE1-4CBE-A443-1FF6E0D3EEB9}" id="{2315FCC0-55B4-4E8A-92B7-E05EA654EED7}">
    <text>Plantation 2026</text>
  </threadedComment>
  <threadedComment ref="F6" dT="2025-03-20T10:14:52.72" personId="{1738EBBD-ABE1-4CBE-A443-1FF6E0D3EEB9}" id="{E33BD4AD-E3C7-4880-8839-3576A714CF43}">
    <text>Plantation 2027</text>
  </threadedComment>
  <threadedComment ref="B8" dT="2025-03-05T09:12:29.08" personId="{1738EBBD-ABE1-4CBE-A443-1FF6E0D3EEB9}" id="{5FBF0FAE-3440-442F-B4C3-9D1CF2ACD961}">
    <text>plantation 2025</text>
  </threadedComment>
  <threadedComment ref="C8" dT="2025-03-05T09:12:50.16" personId="{1738EBBD-ABE1-4CBE-A443-1FF6E0D3EEB9}" id="{5983B097-E840-4FA8-BFDD-3BF49FA404D3}">
    <text>Plantation 2025</text>
  </threadedComment>
  <threadedComment ref="D8" dT="2025-03-05T09:12:50.16" personId="{1738EBBD-ABE1-4CBE-A443-1FF6E0D3EEB9}" id="{5983B097-E840-4FA9-BFDD-3BF49FA404D3}">
    <text>Plantation 2025</text>
  </threadedComment>
  <threadedComment ref="E8" dT="2025-03-05T09:13:15.25" personId="{1738EBBD-ABE1-4CBE-A443-1FF6E0D3EEB9}" id="{CBA0FB12-7BDD-4E62-857F-82E0C357BD95}">
    <text>Plantation 2026</text>
  </threadedComment>
  <threadedComment ref="F8" dT="2025-03-05T09:13:40.63" personId="{1738EBBD-ABE1-4CBE-A443-1FF6E0D3EEB9}" id="{ADE704AE-C5B3-4637-9FB0-EC426D7E16B5}">
    <text>Plantation 2026</text>
  </threadedComment>
  <threadedComment ref="B17" dT="2025-03-05T09:18:17.20" personId="{1738EBBD-ABE1-4CBE-A443-1FF6E0D3EEB9}" id="{A4A4ACC1-E8AA-4196-8905-A314C815621C}">
    <text>Sorgho fourrage</text>
  </threadedComment>
  <threadedComment ref="C17" dT="2025-03-05T09:18:17.20" personId="{1738EBBD-ABE1-4CBE-A443-1FF6E0D3EEB9}" id="{A4A4ACC1-E8AA-4197-8905-A314C815621C}">
    <text>Sorgho fourrage</text>
  </threadedComment>
  <threadedComment ref="D17" dT="2025-03-05T09:16:50.41" personId="{1738EBBD-ABE1-4CBE-A443-1FF6E0D3EEB9}" id="{F81E59DF-D099-4FEE-A134-04D9A73FD190}">
    <text>Trèfle conventionnel</text>
  </threadedComment>
  <threadedComment ref="E17" dT="2025-03-05T09:16:50.41" personId="{1738EBBD-ABE1-4CBE-A443-1FF6E0D3EEB9}" id="{61321B9C-B55A-4E0E-BE8D-361DC0ABC749}">
    <text>Trèfle conventionnel</text>
  </threadedComment>
  <threadedComment ref="F17" dT="2025-03-05T09:16:50.41" personId="{1738EBBD-ABE1-4CBE-A443-1FF6E0D3EEB9}" id="{4F0A5251-A8B0-4497-BFB3-348C5BF1FB2E}">
    <text>Trèfle conventionnel</text>
  </threadedComment>
  <threadedComment ref="B18" dT="2025-03-05T09:17:42.10" personId="{1738EBBD-ABE1-4CBE-A443-1FF6E0D3EEB9}" id="{4DFD6A54-ED93-488A-BA39-E7A5DFF179DE}">
    <text>Betterave porte graine</text>
  </threadedComment>
  <threadedComment ref="C18" dT="2025-03-05T09:17:42.10" personId="{1738EBBD-ABE1-4CBE-A443-1FF6E0D3EEB9}" id="{4DFD6A54-ED93-488B-BA39-E7A5DFF179DE}">
    <text>Betterave porte graine</text>
  </threadedComment>
  <threadedComment ref="D19" dT="2025-03-05T09:15:30.05" personId="{1738EBBD-ABE1-4CBE-A443-1FF6E0D3EEB9}" id="{2760B9FA-8DA7-4241-A0E2-BD2521D37310}">
    <text>betterave porte-graine</text>
  </threadedComment>
  <threadedComment ref="E19" dT="2025-03-05T09:15:30.05" personId="{1738EBBD-ABE1-4CBE-A443-1FF6E0D3EEB9}" id="{EB5371BB-4F69-43DD-A7C5-A0D3116E0DDA}">
    <text>betterave porte-graine</text>
  </threadedComment>
  <threadedComment ref="F19" dT="2025-03-05T09:15:30.05" personId="{1738EBBD-ABE1-4CBE-A443-1FF6E0D3EEB9}" id="{EDAB83EA-74B9-4831-9DF3-8921E9C50E1B}">
    <text>betterave porte-graine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9" dT="2025-03-11T16:06:21.49" personId="{1738EBBD-ABE1-4CBE-A443-1FF6E0D3EEB9}" id="{1DF0B53E-5580-4372-BA69-250E7E914094}">
    <text>6 ou 7 tonnes actuellement mais jusqu'0 50 tonnes à terme</text>
  </threadedComment>
  <threadedComment ref="D15" dT="2025-03-11T16:05:53.00" personId="{1738EBBD-ABE1-4CBE-A443-1FF6E0D3EEB9}" id="{696649AF-0EFA-45A2-8525-5EFD8F7540DD}">
    <text>Appel Vincent pour PCI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ColWidth="11.44140625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0</v>
      </c>
    </row>
    <row r="3" spans="2:16" ht="15" customHeight="1" x14ac:dyDescent="0.3">
      <c r="K3" s="94" t="s">
        <v>1</v>
      </c>
      <c r="L3" s="94"/>
      <c r="M3" s="94"/>
      <c r="N3" s="94"/>
      <c r="O3" s="94"/>
      <c r="P3" s="94"/>
    </row>
    <row r="4" spans="2:16" x14ac:dyDescent="0.3">
      <c r="K4" s="94"/>
      <c r="L4" s="94"/>
      <c r="M4" s="94"/>
      <c r="N4" s="94"/>
      <c r="O4" s="94"/>
      <c r="P4" s="94"/>
    </row>
    <row r="5" spans="2:16" x14ac:dyDescent="0.3">
      <c r="K5" s="94"/>
      <c r="L5" s="94"/>
      <c r="M5" s="94"/>
      <c r="N5" s="94"/>
      <c r="O5" s="94"/>
      <c r="P5" s="94"/>
    </row>
    <row r="7" spans="2:16" ht="15" customHeight="1" x14ac:dyDescent="0.3">
      <c r="B7" s="95" t="s">
        <v>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8" spans="2:16" ht="15" customHeight="1" x14ac:dyDescent="0.3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</row>
    <row r="9" spans="2:16" ht="15" customHeight="1" x14ac:dyDescent="0.3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</row>
    <row r="11" spans="2:16" ht="15" customHeight="1" x14ac:dyDescent="0.3">
      <c r="B11" s="96" t="s">
        <v>3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8"/>
    </row>
    <row r="12" spans="2:16" ht="15" customHeight="1" x14ac:dyDescent="0.3">
      <c r="B12" s="99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0"/>
    </row>
    <row r="13" spans="2:16" ht="15" customHeight="1" x14ac:dyDescent="0.3">
      <c r="B13" s="99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0"/>
    </row>
    <row r="14" spans="2:16" ht="15" customHeight="1" x14ac:dyDescent="0.3">
      <c r="B14" s="99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0"/>
    </row>
    <row r="15" spans="2:16" ht="15" customHeight="1" x14ac:dyDescent="0.3">
      <c r="B15" s="99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0"/>
    </row>
    <row r="16" spans="2:16" ht="15" customHeight="1" x14ac:dyDescent="0.3">
      <c r="B16" s="99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0"/>
    </row>
    <row r="17" spans="2:16" ht="15" customHeight="1" x14ac:dyDescent="0.3">
      <c r="B17" s="99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0"/>
    </row>
    <row r="18" spans="2:16" ht="15" customHeight="1" x14ac:dyDescent="0.3">
      <c r="B18" s="99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0"/>
    </row>
    <row r="19" spans="2:16" ht="15" customHeight="1" x14ac:dyDescent="0.3">
      <c r="B19" s="99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0"/>
    </row>
    <row r="20" spans="2:16" ht="15" customHeight="1" x14ac:dyDescent="0.3">
      <c r="B20" s="99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0"/>
    </row>
    <row r="21" spans="2:16" ht="15" customHeight="1" x14ac:dyDescent="0.3">
      <c r="B21" s="99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0"/>
    </row>
    <row r="22" spans="2:16" ht="15" customHeight="1" x14ac:dyDescent="0.3">
      <c r="B22" s="99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0"/>
    </row>
    <row r="23" spans="2:16" ht="15" customHeight="1" x14ac:dyDescent="0.3">
      <c r="B23" s="99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0"/>
    </row>
    <row r="24" spans="2:16" ht="15" customHeight="1" x14ac:dyDescent="0.3">
      <c r="B24" s="99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0"/>
    </row>
    <row r="25" spans="2:16" ht="15.75" customHeight="1" x14ac:dyDescent="0.3">
      <c r="B25" s="99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0"/>
    </row>
    <row r="26" spans="2:16" ht="15.75" customHeight="1" x14ac:dyDescent="0.3">
      <c r="B26" s="99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0"/>
    </row>
    <row r="27" spans="2:16" ht="15.75" customHeight="1" x14ac:dyDescent="0.3">
      <c r="B27" s="99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0"/>
    </row>
    <row r="28" spans="2:16" ht="15.75" customHeight="1" x14ac:dyDescent="0.3">
      <c r="B28" s="99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0"/>
    </row>
    <row r="29" spans="2:16" ht="15.75" customHeight="1" x14ac:dyDescent="0.3">
      <c r="B29" s="99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0"/>
    </row>
    <row r="30" spans="2:16" ht="15.75" customHeight="1" x14ac:dyDescent="0.3">
      <c r="B30" s="101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3"/>
    </row>
    <row r="32" spans="2:16" ht="22.5" customHeight="1" x14ac:dyDescent="0.3">
      <c r="B32" s="95" t="s">
        <v>4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</row>
    <row r="33" spans="2:16" x14ac:dyDescent="0.3"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</row>
    <row r="34" spans="2:16" x14ac:dyDescent="0.3"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350</v>
      </c>
      <c r="B1" s="23" t="s">
        <v>35</v>
      </c>
      <c r="C1" s="23" t="s">
        <v>214</v>
      </c>
      <c r="D1" s="23" t="s">
        <v>28</v>
      </c>
      <c r="E1" s="23" t="s">
        <v>351</v>
      </c>
      <c r="F1" t="s">
        <v>244</v>
      </c>
    </row>
    <row r="2" spans="1:6" x14ac:dyDescent="0.3">
      <c r="A2" t="s">
        <v>32</v>
      </c>
      <c r="B2" t="s">
        <v>36</v>
      </c>
      <c r="C2" t="s">
        <v>217</v>
      </c>
      <c r="D2" t="s">
        <v>29</v>
      </c>
      <c r="E2" s="60">
        <v>10</v>
      </c>
      <c r="F2" t="s">
        <v>43</v>
      </c>
    </row>
    <row r="3" spans="1:6" x14ac:dyDescent="0.3">
      <c r="A3" t="s">
        <v>211</v>
      </c>
      <c r="B3" t="s">
        <v>352</v>
      </c>
      <c r="C3" t="s">
        <v>219</v>
      </c>
      <c r="D3" t="s">
        <v>218</v>
      </c>
      <c r="E3" s="60">
        <v>11</v>
      </c>
      <c r="F3" t="s">
        <v>246</v>
      </c>
    </row>
    <row r="4" spans="1:6" x14ac:dyDescent="0.3">
      <c r="B4" t="s">
        <v>209</v>
      </c>
      <c r="C4" t="s">
        <v>220</v>
      </c>
      <c r="D4" t="s">
        <v>232</v>
      </c>
      <c r="E4" s="60">
        <v>12</v>
      </c>
      <c r="F4" t="s">
        <v>247</v>
      </c>
    </row>
    <row r="5" spans="1:6" x14ac:dyDescent="0.3">
      <c r="C5" t="s">
        <v>221</v>
      </c>
      <c r="D5" t="s">
        <v>223</v>
      </c>
      <c r="E5" s="60">
        <v>13</v>
      </c>
      <c r="F5" t="s">
        <v>248</v>
      </c>
    </row>
    <row r="6" spans="1:6" x14ac:dyDescent="0.3">
      <c r="C6" t="s">
        <v>222</v>
      </c>
      <c r="D6" t="s">
        <v>228</v>
      </c>
      <c r="E6" s="60">
        <v>14</v>
      </c>
      <c r="F6" t="s">
        <v>249</v>
      </c>
    </row>
    <row r="7" spans="1:6" x14ac:dyDescent="0.3">
      <c r="C7" t="s">
        <v>224</v>
      </c>
      <c r="D7" t="s">
        <v>231</v>
      </c>
      <c r="E7" s="60">
        <v>15</v>
      </c>
      <c r="F7" t="s">
        <v>47</v>
      </c>
    </row>
    <row r="8" spans="1:6" x14ac:dyDescent="0.3">
      <c r="C8" t="s">
        <v>225</v>
      </c>
      <c r="E8" s="60">
        <v>16</v>
      </c>
      <c r="F8" t="s">
        <v>41</v>
      </c>
    </row>
    <row r="9" spans="1:6" x14ac:dyDescent="0.3">
      <c r="C9" t="s">
        <v>226</v>
      </c>
      <c r="E9" s="60">
        <v>17</v>
      </c>
      <c r="F9" t="s">
        <v>250</v>
      </c>
    </row>
    <row r="10" spans="1:6" x14ac:dyDescent="0.3">
      <c r="C10" t="s">
        <v>227</v>
      </c>
      <c r="E10" s="60">
        <v>18</v>
      </c>
      <c r="F10" t="s">
        <v>251</v>
      </c>
    </row>
    <row r="11" spans="1:6" x14ac:dyDescent="0.3">
      <c r="C11" t="s">
        <v>229</v>
      </c>
      <c r="E11" s="60">
        <v>19</v>
      </c>
      <c r="F11" t="s">
        <v>252</v>
      </c>
    </row>
    <row r="12" spans="1:6" x14ac:dyDescent="0.3">
      <c r="C12" t="s">
        <v>26</v>
      </c>
      <c r="E12" s="60">
        <v>20</v>
      </c>
      <c r="F12" t="s">
        <v>253</v>
      </c>
    </row>
    <row r="13" spans="1:6" x14ac:dyDescent="0.3">
      <c r="C13" t="s">
        <v>230</v>
      </c>
      <c r="F13" t="s">
        <v>40</v>
      </c>
    </row>
    <row r="14" spans="1:6" x14ac:dyDescent="0.3">
      <c r="C14" t="s">
        <v>233</v>
      </c>
      <c r="F14" t="s">
        <v>254</v>
      </c>
    </row>
    <row r="15" spans="1:6" x14ac:dyDescent="0.3">
      <c r="C15" t="s">
        <v>234</v>
      </c>
      <c r="F15" t="s">
        <v>255</v>
      </c>
    </row>
    <row r="16" spans="1:6" x14ac:dyDescent="0.3">
      <c r="C16" t="s">
        <v>25</v>
      </c>
      <c r="F16" t="s">
        <v>256</v>
      </c>
    </row>
    <row r="17" spans="6:6" x14ac:dyDescent="0.3">
      <c r="F17" t="s">
        <v>257</v>
      </c>
    </row>
    <row r="18" spans="6:6" x14ac:dyDescent="0.3">
      <c r="F18" t="s">
        <v>258</v>
      </c>
    </row>
    <row r="19" spans="6:6" x14ac:dyDescent="0.3">
      <c r="F19" t="s">
        <v>259</v>
      </c>
    </row>
    <row r="20" spans="6:6" x14ac:dyDescent="0.3">
      <c r="F20" t="s">
        <v>260</v>
      </c>
    </row>
    <row r="21" spans="6:6" x14ac:dyDescent="0.3">
      <c r="F21" t="s">
        <v>261</v>
      </c>
    </row>
    <row r="22" spans="6:6" x14ac:dyDescent="0.3">
      <c r="F22" t="s">
        <v>262</v>
      </c>
    </row>
    <row r="23" spans="6:6" x14ac:dyDescent="0.3">
      <c r="F23" t="s">
        <v>263</v>
      </c>
    </row>
    <row r="24" spans="6:6" x14ac:dyDescent="0.3">
      <c r="F24" t="s">
        <v>264</v>
      </c>
    </row>
    <row r="25" spans="6:6" x14ac:dyDescent="0.3">
      <c r="F25" t="s">
        <v>265</v>
      </c>
    </row>
    <row r="26" spans="6:6" x14ac:dyDescent="0.3">
      <c r="F26" t="s">
        <v>266</v>
      </c>
    </row>
    <row r="27" spans="6:6" x14ac:dyDescent="0.3">
      <c r="F27" t="s">
        <v>267</v>
      </c>
    </row>
    <row r="28" spans="6:6" x14ac:dyDescent="0.3">
      <c r="F28" t="s">
        <v>268</v>
      </c>
    </row>
    <row r="29" spans="6:6" x14ac:dyDescent="0.3">
      <c r="F29" t="s">
        <v>269</v>
      </c>
    </row>
    <row r="30" spans="6:6" x14ac:dyDescent="0.3">
      <c r="F30" t="s">
        <v>270</v>
      </c>
    </row>
    <row r="31" spans="6:6" x14ac:dyDescent="0.3">
      <c r="F31" t="s">
        <v>271</v>
      </c>
    </row>
    <row r="32" spans="6:6" x14ac:dyDescent="0.3">
      <c r="F32" t="s">
        <v>272</v>
      </c>
    </row>
    <row r="33" spans="6:6" x14ac:dyDescent="0.3">
      <c r="F33" t="s">
        <v>48</v>
      </c>
    </row>
    <row r="34" spans="6:6" x14ac:dyDescent="0.3">
      <c r="F34" t="s">
        <v>273</v>
      </c>
    </row>
    <row r="35" spans="6:6" x14ac:dyDescent="0.3">
      <c r="F35" t="s">
        <v>274</v>
      </c>
    </row>
    <row r="36" spans="6:6" x14ac:dyDescent="0.3">
      <c r="F36" t="s">
        <v>45</v>
      </c>
    </row>
    <row r="37" spans="6:6" x14ac:dyDescent="0.3">
      <c r="F37" t="s">
        <v>275</v>
      </c>
    </row>
    <row r="38" spans="6:6" x14ac:dyDescent="0.3">
      <c r="F38" t="s">
        <v>276</v>
      </c>
    </row>
    <row r="39" spans="6:6" x14ac:dyDescent="0.3">
      <c r="F39" t="s">
        <v>277</v>
      </c>
    </row>
    <row r="40" spans="6:6" x14ac:dyDescent="0.3">
      <c r="F40" t="s">
        <v>278</v>
      </c>
    </row>
    <row r="41" spans="6:6" x14ac:dyDescent="0.3">
      <c r="F41" t="s">
        <v>279</v>
      </c>
    </row>
    <row r="42" spans="6:6" x14ac:dyDescent="0.3">
      <c r="F42" t="s">
        <v>280</v>
      </c>
    </row>
    <row r="43" spans="6:6" x14ac:dyDescent="0.3">
      <c r="F43" t="s">
        <v>281</v>
      </c>
    </row>
    <row r="44" spans="6:6" x14ac:dyDescent="0.3">
      <c r="F44" t="s">
        <v>282</v>
      </c>
    </row>
    <row r="45" spans="6:6" x14ac:dyDescent="0.3">
      <c r="F45" t="s">
        <v>283</v>
      </c>
    </row>
    <row r="46" spans="6:6" x14ac:dyDescent="0.3">
      <c r="F46" t="s">
        <v>284</v>
      </c>
    </row>
    <row r="47" spans="6:6" x14ac:dyDescent="0.3">
      <c r="F47" t="s">
        <v>285</v>
      </c>
    </row>
    <row r="48" spans="6:6" x14ac:dyDescent="0.3">
      <c r="F48" t="s">
        <v>286</v>
      </c>
    </row>
    <row r="49" spans="6:6" x14ac:dyDescent="0.3">
      <c r="F49" t="s">
        <v>287</v>
      </c>
    </row>
    <row r="50" spans="6:6" x14ac:dyDescent="0.3">
      <c r="F50" t="s">
        <v>288</v>
      </c>
    </row>
    <row r="51" spans="6:6" x14ac:dyDescent="0.3">
      <c r="F51" t="s">
        <v>289</v>
      </c>
    </row>
    <row r="52" spans="6:6" x14ac:dyDescent="0.3">
      <c r="F52" t="s">
        <v>290</v>
      </c>
    </row>
    <row r="53" spans="6:6" x14ac:dyDescent="0.3">
      <c r="F53" t="s">
        <v>291</v>
      </c>
    </row>
    <row r="54" spans="6:6" x14ac:dyDescent="0.3">
      <c r="F54" t="s">
        <v>292</v>
      </c>
    </row>
    <row r="55" spans="6:6" x14ac:dyDescent="0.3">
      <c r="F55" t="s">
        <v>44</v>
      </c>
    </row>
    <row r="56" spans="6:6" x14ac:dyDescent="0.3">
      <c r="F56" t="s">
        <v>293</v>
      </c>
    </row>
    <row r="57" spans="6:6" x14ac:dyDescent="0.3">
      <c r="F57" t="s">
        <v>39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topLeftCell="A3" zoomScale="70" zoomScaleNormal="70" workbookViewId="0">
      <selection activeCell="B9" sqref="B9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7" t="s">
        <v>5</v>
      </c>
      <c r="B2" s="108"/>
      <c r="C2" s="31" t="s">
        <v>6</v>
      </c>
      <c r="D2"/>
      <c r="E2"/>
      <c r="F2"/>
      <c r="G2"/>
      <c r="H2"/>
      <c r="I2"/>
      <c r="J2"/>
      <c r="K2"/>
      <c r="AG2" s="2" t="s">
        <v>7</v>
      </c>
    </row>
    <row r="3" spans="1:52" x14ac:dyDescent="0.3">
      <c r="A3" s="2"/>
      <c r="AG3" s="2" t="s">
        <v>6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4" t="s">
        <v>8</v>
      </c>
      <c r="B5" s="105"/>
      <c r="C5" s="105"/>
      <c r="D5" s="105"/>
      <c r="E5" s="105"/>
      <c r="F5" s="105"/>
      <c r="G5" s="105"/>
      <c r="H5" s="105"/>
      <c r="I5" s="105"/>
      <c r="J5" s="105"/>
      <c r="K5" s="106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19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20</v>
      </c>
      <c r="B7" s="1" t="s">
        <v>21</v>
      </c>
      <c r="C7" s="1" t="s">
        <v>21</v>
      </c>
      <c r="D7" s="1" t="s">
        <v>21</v>
      </c>
      <c r="E7" s="1" t="s">
        <v>21</v>
      </c>
      <c r="F7" s="1" t="s">
        <v>21</v>
      </c>
      <c r="G7" s="1" t="s">
        <v>22</v>
      </c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23</v>
      </c>
      <c r="B8" s="25">
        <v>6</v>
      </c>
      <c r="C8" s="25">
        <v>5</v>
      </c>
      <c r="D8" s="25">
        <v>5</v>
      </c>
      <c r="E8" s="25">
        <v>3.5</v>
      </c>
      <c r="F8" s="25">
        <v>3.5</v>
      </c>
      <c r="G8" s="25">
        <v>4</v>
      </c>
      <c r="H8" s="25"/>
      <c r="I8" s="25"/>
      <c r="J8" s="25"/>
      <c r="K8" s="25"/>
      <c r="L8" s="88">
        <f>SUM(B8:K8)</f>
        <v>27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24</v>
      </c>
      <c r="B9" s="1" t="s">
        <v>25</v>
      </c>
      <c r="C9" s="1" t="s">
        <v>25</v>
      </c>
      <c r="D9" s="1" t="s">
        <v>26</v>
      </c>
      <c r="E9" s="1" t="s">
        <v>26</v>
      </c>
      <c r="F9" s="1" t="s">
        <v>26</v>
      </c>
      <c r="G9" s="1" t="s">
        <v>26</v>
      </c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28</v>
      </c>
      <c r="B11" s="1" t="s">
        <v>223</v>
      </c>
      <c r="C11" s="1" t="s">
        <v>223</v>
      </c>
      <c r="D11" s="1" t="s">
        <v>29</v>
      </c>
      <c r="E11" s="1" t="s">
        <v>29</v>
      </c>
      <c r="F11" s="1" t="s">
        <v>29</v>
      </c>
      <c r="G11" s="1" t="s">
        <v>29</v>
      </c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30</v>
      </c>
      <c r="B12" s="1">
        <f>439</f>
        <v>439</v>
      </c>
      <c r="C12" s="1">
        <v>439</v>
      </c>
      <c r="D12" s="1">
        <f>312</f>
        <v>312</v>
      </c>
      <c r="E12" s="1">
        <v>312</v>
      </c>
      <c r="F12" s="1">
        <v>312</v>
      </c>
      <c r="G12" s="1">
        <v>312</v>
      </c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31</v>
      </c>
      <c r="B13" s="26" t="s">
        <v>32</v>
      </c>
      <c r="C13" s="26" t="s">
        <v>32</v>
      </c>
      <c r="D13" s="26" t="s">
        <v>32</v>
      </c>
      <c r="E13" s="26" t="s">
        <v>32</v>
      </c>
      <c r="F13" s="26" t="s">
        <v>32</v>
      </c>
      <c r="G13" s="26" t="s">
        <v>32</v>
      </c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33</v>
      </c>
      <c r="B14" s="1">
        <v>20</v>
      </c>
      <c r="C14" s="1">
        <v>20</v>
      </c>
      <c r="D14" s="1">
        <v>20</v>
      </c>
      <c r="E14" s="1">
        <v>20</v>
      </c>
      <c r="F14" s="1">
        <v>20</v>
      </c>
      <c r="G14" s="1">
        <v>20</v>
      </c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34</v>
      </c>
      <c r="B15" s="28">
        <v>1</v>
      </c>
      <c r="C15" s="28">
        <v>1</v>
      </c>
      <c r="D15" s="28">
        <v>1</v>
      </c>
      <c r="E15" s="28">
        <v>1</v>
      </c>
      <c r="F15" s="28">
        <v>1</v>
      </c>
      <c r="G15" s="28">
        <v>1</v>
      </c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2" x14ac:dyDescent="0.3">
      <c r="A16" s="3" t="s">
        <v>35</v>
      </c>
      <c r="B16" s="1" t="s">
        <v>36</v>
      </c>
      <c r="C16" s="1" t="s">
        <v>36</v>
      </c>
      <c r="D16" s="1" t="s">
        <v>36</v>
      </c>
      <c r="E16" s="1" t="s">
        <v>36</v>
      </c>
      <c r="F16" s="1" t="s">
        <v>36</v>
      </c>
      <c r="G16" s="1" t="s">
        <v>36</v>
      </c>
      <c r="H16" s="1"/>
      <c r="I16" s="1"/>
      <c r="J16" s="1"/>
      <c r="K16" s="1"/>
      <c r="L16" s="89" t="s">
        <v>37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38</v>
      </c>
      <c r="B17" s="1" t="s">
        <v>39</v>
      </c>
      <c r="C17" s="1" t="s">
        <v>39</v>
      </c>
      <c r="D17" s="1" t="s">
        <v>40</v>
      </c>
      <c r="E17" s="1" t="s">
        <v>40</v>
      </c>
      <c r="F17" s="1" t="s">
        <v>40</v>
      </c>
      <c r="G17" s="1" t="s">
        <v>41</v>
      </c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42</v>
      </c>
      <c r="B18" s="1" t="s">
        <v>43</v>
      </c>
      <c r="C18" s="1" t="s">
        <v>43</v>
      </c>
      <c r="D18" s="1" t="s">
        <v>44</v>
      </c>
      <c r="E18" s="1" t="s">
        <v>44</v>
      </c>
      <c r="F18" s="1" t="s">
        <v>44</v>
      </c>
      <c r="G18" s="1" t="s">
        <v>45</v>
      </c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46</v>
      </c>
      <c r="B19" s="1" t="s">
        <v>47</v>
      </c>
      <c r="C19" s="1" t="s">
        <v>47</v>
      </c>
      <c r="D19" s="1" t="s">
        <v>43</v>
      </c>
      <c r="E19" s="1" t="s">
        <v>43</v>
      </c>
      <c r="F19" s="1" t="s">
        <v>43</v>
      </c>
      <c r="G19" s="1" t="s">
        <v>48</v>
      </c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49</v>
      </c>
      <c r="B20" s="29">
        <v>73.290000000000006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50</v>
      </c>
      <c r="B21" s="30">
        <f>73.29+11+5+7+4</f>
        <v>100.29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4" t="s">
        <v>51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6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52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53</v>
      </c>
      <c r="B26" s="10" t="str">
        <f t="shared" ref="B26:K26" si="0">CONCATENATE(B9," - ",B11)</f>
        <v>Prunier de table - Plein vent</v>
      </c>
      <c r="C26" s="10" t="str">
        <f t="shared" si="0"/>
        <v>Prunier de table - Plein vent</v>
      </c>
      <c r="D26" s="10" t="str">
        <f t="shared" si="0"/>
        <v>Noyer - Axe</v>
      </c>
      <c r="E26" s="10" t="str">
        <f t="shared" si="0"/>
        <v>Noyer - Axe</v>
      </c>
      <c r="F26" s="10" t="str">
        <f t="shared" si="0"/>
        <v>Noyer - Axe</v>
      </c>
      <c r="G26" s="10" t="str">
        <f t="shared" si="0"/>
        <v>Noyer - Axe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54</v>
      </c>
      <c r="B27" s="11" t="e">
        <f>IF(B12="","",VLOOKUP(B26,'(ne pas modifier) BDD_REF'!$C$21:$D$42,2,FALSE))</f>
        <v>#N/A</v>
      </c>
      <c r="C27" s="11" t="e">
        <f>IF(C12="","",VLOOKUP(C26,'(ne pas modifier) BDD_REF'!$C$21:$D$42,2,FALSE))</f>
        <v>#N/A</v>
      </c>
      <c r="D27" s="11" t="e">
        <f>IF(D12="","",VLOOKUP(D26,'(ne pas modifier) BDD_REF'!$C$21:$D$42,2,FALSE))</f>
        <v>#N/A</v>
      </c>
      <c r="E27" s="11" t="e">
        <f>IF(E12="","",VLOOKUP(E26,'(ne pas modifier) BDD_REF'!$C$21:$D$42,2,FALSE))</f>
        <v>#N/A</v>
      </c>
      <c r="F27" s="11" t="e">
        <f>IF(F12="","",VLOOKUP(F26,'(ne pas modifier) BDD_REF'!$C$21:$D$42,2,FALSE))</f>
        <v>#N/A</v>
      </c>
      <c r="G27" s="11" t="e">
        <f>IF(G12="","",VLOOKUP(G26,'(ne pas modifier) BDD_REF'!$C$21:$D$42,2,FALSE))</f>
        <v>#N/A</v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55</v>
      </c>
      <c r="B28" s="12" t="e">
        <f t="shared" ref="B28:K28" si="1">IF(B12="","",IF(B12&gt;=B27,"OUI","NON"))</f>
        <v>#N/A</v>
      </c>
      <c r="C28" s="12" t="e">
        <f t="shared" si="1"/>
        <v>#N/A</v>
      </c>
      <c r="D28" s="12" t="e">
        <f t="shared" si="1"/>
        <v>#N/A</v>
      </c>
      <c r="E28" s="12" t="e">
        <f t="shared" si="1"/>
        <v>#N/A</v>
      </c>
      <c r="F28" s="12" t="e">
        <f t="shared" si="1"/>
        <v>#N/A</v>
      </c>
      <c r="G28" s="12" t="e">
        <f t="shared" si="1"/>
        <v>#N/A</v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56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57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58</v>
      </c>
      <c r="L33" s="85" t="s">
        <v>19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2" hidden="1" x14ac:dyDescent="0.3">
      <c r="A34" s="7" t="s">
        <v>59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>Hors climat Mediterranéen - Grandes cultures</v>
      </c>
      <c r="D34" s="43" t="str">
        <f>CONCATENATE(Eligibilité_projet!D13," - ",Eligibilité_projet!D16)</f>
        <v>Hors climat Mediterranéen - Grandes cultures</v>
      </c>
      <c r="E34" s="43" t="str">
        <f>CONCATENATE(Eligibilité_projet!E13," - ",Eligibilité_projet!E16)</f>
        <v>Hors climat Mediterranéen - Grandes cultures</v>
      </c>
      <c r="F34" s="43" t="str">
        <f>CONCATENATE(Eligibilité_projet!F13," - ",Eligibilité_projet!F16)</f>
        <v>Hors climat Mediterranéen - Grandes cultures</v>
      </c>
      <c r="G34" s="43" t="str">
        <f>CONCATENATE(Eligibilité_projet!G13," - ",Eligibilité_projet!G16)</f>
        <v>Hors climat Mediterranéen - Grandes cultures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57.6" hidden="1" x14ac:dyDescent="0.3">
      <c r="A35" s="7" t="s">
        <v>60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>20 - Grandes cultures-Hors climat Mediterranéen</v>
      </c>
      <c r="D35" s="43" t="str">
        <f>CONCATENATE(Eligibilité_projet!D14," - ",Eligibilité_projet!D16,"-",Eligibilité_projet!D13)</f>
        <v>20 - Grandes cultures-Hors climat Mediterranéen</v>
      </c>
      <c r="E35" s="43" t="str">
        <f>CONCATENATE(Eligibilité_projet!E14," - ",Eligibilité_projet!E16,"-",Eligibilité_projet!E13)</f>
        <v>20 - Grandes cultures-Hors climat Mediterranéen</v>
      </c>
      <c r="F35" s="43" t="str">
        <f>CONCATENATE(Eligibilité_projet!F14," - ",Eligibilité_projet!F16,"-",Eligibilité_projet!F13)</f>
        <v>20 - Grandes cultures-Hors climat Mediterranéen</v>
      </c>
      <c r="G35" s="43" t="str">
        <f>CONCATENATE(Eligibilité_projet!G14," - ",Eligibilité_projet!G16,"-",Eligibilité_projet!G13)</f>
        <v>20 - Grandes cultures-Hors climat Mediterranéen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61</v>
      </c>
      <c r="B36" s="44">
        <f>RECant_sol!C9</f>
        <v>105.60000000000002</v>
      </c>
      <c r="C36" s="44">
        <f>RECant_sol!D9</f>
        <v>88.000000000000014</v>
      </c>
      <c r="D36" s="44">
        <f>RECant_sol!E9</f>
        <v>88.000000000000014</v>
      </c>
      <c r="E36" s="44">
        <f>RECant_sol!F9</f>
        <v>61.600000000000016</v>
      </c>
      <c r="F36" s="44">
        <f>RECant_sol!G9</f>
        <v>61.600000000000016</v>
      </c>
      <c r="G36" s="44">
        <f>RECant_sol!H9</f>
        <v>70.40000000000002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475.2000000000001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62</v>
      </c>
      <c r="B37" s="45">
        <f>RECant_biom!C28</f>
        <v>246.08571428571432</v>
      </c>
      <c r="C37" s="45">
        <f>RECant_biom!D28</f>
        <v>205.07142857142858</v>
      </c>
      <c r="D37" s="44">
        <f>RECant_biom!E28</f>
        <v>205.07142857142858</v>
      </c>
      <c r="E37" s="44">
        <f>RECant_biom!F28</f>
        <v>143.55000000000004</v>
      </c>
      <c r="F37" s="44">
        <f>RECant_biom!G28</f>
        <v>143.55000000000004</v>
      </c>
      <c r="G37" s="44">
        <f>RECant_biom!H28</f>
        <v>164.05714285714288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1107.3857142857146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63</v>
      </c>
      <c r="B38" s="45">
        <f t="shared" ref="B38:K38" si="3">IF(B36="","",B36+B37)</f>
        <v>351.68571428571431</v>
      </c>
      <c r="C38" s="45">
        <f t="shared" si="3"/>
        <v>293.07142857142861</v>
      </c>
      <c r="D38" s="44">
        <f t="shared" si="3"/>
        <v>293.07142857142861</v>
      </c>
      <c r="E38" s="44">
        <f t="shared" si="3"/>
        <v>205.15000000000006</v>
      </c>
      <c r="F38" s="44">
        <f t="shared" si="3"/>
        <v>205.15000000000006</v>
      </c>
      <c r="G38" s="44">
        <f t="shared" si="3"/>
        <v>234.45714285714291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1582.5857142857149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57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>OUI</v>
      </c>
      <c r="E39" s="12" t="str">
        <f t="shared" si="4"/>
        <v>OUI</v>
      </c>
      <c r="F39" s="12" t="str">
        <f t="shared" si="4"/>
        <v>OUI</v>
      </c>
      <c r="G39" s="12" t="str">
        <f t="shared" si="4"/>
        <v>OUI</v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64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57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>OUI</v>
      </c>
      <c r="E43" s="12" t="str">
        <f t="shared" si="5"/>
        <v>OUI</v>
      </c>
      <c r="F43" s="12" t="str">
        <f t="shared" si="5"/>
        <v>OUI</v>
      </c>
      <c r="G43" s="12" t="str">
        <f t="shared" si="5"/>
        <v>OUI</v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6" t="s">
        <v>65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ht="45.75" customHeight="1" x14ac:dyDescent="0.3">
      <c r="A46" s="7" t="s">
        <v>57</v>
      </c>
      <c r="B46" s="93" t="str">
        <f>IF(B13="","",IF(AND(B13="Hors climat Mediterranéen",B16="Prairies "),"Parcelle non éligible", "OUI"))</f>
        <v>OUI</v>
      </c>
      <c r="C46" s="93" t="str">
        <f t="shared" ref="C46:K46" si="6">IF(C13="","",IF(AND(C13="Hors climat Mediterranéen",C16="Prairies "),"Parcelle non éligible", "OUI"))</f>
        <v>OUI</v>
      </c>
      <c r="D46" s="93" t="str">
        <f t="shared" si="6"/>
        <v>OUI</v>
      </c>
      <c r="E46" s="12" t="str">
        <f t="shared" si="6"/>
        <v>OUI</v>
      </c>
      <c r="F46" s="12" t="str">
        <f t="shared" si="6"/>
        <v>OUI</v>
      </c>
      <c r="G46" s="12" t="str">
        <f t="shared" si="6"/>
        <v>OUI</v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Tuqv5UxxzbOaDEd46On5oSQSVPM0cS63uWKUVKetvilcrPlXYlxJntxsXYjCEeQygAXYH801cWoYugGSXA+/5Q==" saltValue="bdVYumOpGIRdO6oIbIfjJw==" spinCount="100000" sheet="1" objects="1" scenarios="1"/>
  <mergeCells count="3">
    <mergeCell ref="A5:K5"/>
    <mergeCell ref="A24:K24"/>
    <mergeCell ref="A2:B2"/>
  </mergeCells>
  <dataValidations disablePrompts="1"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9" t="s">
        <v>66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67</v>
      </c>
      <c r="M4" s="2"/>
      <c r="N4" s="2"/>
    </row>
    <row r="5" spans="1:14" x14ac:dyDescent="0.3">
      <c r="A5" s="3" t="s">
        <v>68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2.9168255338540003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2.9168255338540003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1.7448931337020002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1.7448931337020002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1.7448931337020002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2.7259840241216335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13.794314492935634</v>
      </c>
      <c r="M5" s="2"/>
      <c r="N5" s="2"/>
    </row>
    <row r="6" spans="1:14" x14ac:dyDescent="0.3">
      <c r="A6" s="3" t="s">
        <v>69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">
      <c r="A7" s="3" t="s">
        <v>70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-87.504766015620007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-72.920638346350003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-43.622328342550006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-30.535629839785006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-30.535629839785006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-54.519680482432669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-319.63867286652265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70" zoomScaleNormal="70" workbookViewId="0">
      <selection activeCell="D135" sqref="D135:D137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2" t="s">
        <v>71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67</v>
      </c>
      <c r="N4" s="2"/>
      <c r="O4" s="2"/>
    </row>
    <row r="5" spans="1:15" customFormat="1" x14ac:dyDescent="0.3">
      <c r="A5" s="17"/>
      <c r="B5" s="3" t="s">
        <v>72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2.9168255338540003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2.9168255338540003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1.7448931337020002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1.7448931337020002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1.7448931337020002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2.7259840241216335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13.794314492935634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73</v>
      </c>
      <c r="B7" s="7" t="s">
        <v>74</v>
      </c>
      <c r="C7" s="80">
        <v>33</v>
      </c>
      <c r="D7" s="80">
        <v>33</v>
      </c>
      <c r="E7" s="80">
        <v>30</v>
      </c>
      <c r="F7" s="80">
        <v>30</v>
      </c>
      <c r="G7" s="80">
        <v>30</v>
      </c>
      <c r="H7" s="80">
        <v>30</v>
      </c>
      <c r="I7" s="80"/>
      <c r="J7" s="80"/>
      <c r="K7" s="80"/>
      <c r="L7" s="80"/>
      <c r="M7" s="39">
        <f t="shared" ref="M7:M38" si="0">SUM(C7:L7)</f>
        <v>186</v>
      </c>
    </row>
    <row r="8" spans="1:15" x14ac:dyDescent="0.3">
      <c r="B8" s="7" t="s">
        <v>75</v>
      </c>
      <c r="C8" s="80">
        <v>30</v>
      </c>
      <c r="D8" s="80">
        <v>30</v>
      </c>
      <c r="E8" s="80">
        <v>30</v>
      </c>
      <c r="F8" s="80">
        <v>30</v>
      </c>
      <c r="G8" s="80">
        <v>30</v>
      </c>
      <c r="H8" s="80">
        <v>30</v>
      </c>
      <c r="I8" s="80"/>
      <c r="J8" s="80"/>
      <c r="K8" s="80"/>
      <c r="L8" s="80"/>
      <c r="M8" s="39">
        <f t="shared" si="0"/>
        <v>180</v>
      </c>
    </row>
    <row r="9" spans="1:15" x14ac:dyDescent="0.3">
      <c r="B9" s="7" t="s">
        <v>76</v>
      </c>
      <c r="C9" s="80"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77</v>
      </c>
      <c r="C10" s="39">
        <f>C7*'(ne pas modifier) BDD_REF'!$B$207 + (C8+C9)*'(ne pas modifier) BDD_REF'!$B$208</f>
        <v>0.70799999999999996</v>
      </c>
      <c r="D10" s="39">
        <f>D7*'(ne pas modifier) BDD_REF'!$B$207 + (D8+D9)*'(ne pas modifier) BDD_REF'!$B$208</f>
        <v>0.70799999999999996</v>
      </c>
      <c r="E10" s="39">
        <f>E7*'(ne pas modifier) BDD_REF'!$B$207 + (E8+E9)*'(ne pas modifier) BDD_REF'!$B$208</f>
        <v>0.65999999999999992</v>
      </c>
      <c r="F10" s="39">
        <f>F7*'(ne pas modifier) BDD_REF'!$B$207 + (F8+F9)*'(ne pas modifier) BDD_REF'!$B$208</f>
        <v>0.65999999999999992</v>
      </c>
      <c r="G10" s="39">
        <f>G7*'(ne pas modifier) BDD_REF'!$B$207 + (G8+G9)*'(ne pas modifier) BDD_REF'!$B$208</f>
        <v>0.65999999999999992</v>
      </c>
      <c r="H10" s="39">
        <f>H7*'(ne pas modifier) BDD_REF'!$B$207 + (H8+H9)*'(ne pas modifier) BDD_REF'!$B$208</f>
        <v>0.65999999999999992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4.056</v>
      </c>
    </row>
    <row r="11" spans="1:15" x14ac:dyDescent="0.3">
      <c r="B11" s="19" t="s">
        <v>78</v>
      </c>
      <c r="C11" s="39">
        <f>((C7*'(ne pas modifier) BDD_REF'!$B$220)+('RECeff + REIamont (2)'!C8+'RECeff + REIamont (2)'!C9)*'(ne pas modifier) BDD_REF'!$B$221)*'(ne pas modifier) BDD_REF'!$B$209</f>
        <v>9.9299999999999999E-2</v>
      </c>
      <c r="D11" s="39">
        <f>((D7*'(ne pas modifier) BDD_REF'!$B$220)+('RECeff + REIamont (2)'!D8+'RECeff + REIamont (2)'!D9)*'(ne pas modifier) BDD_REF'!$B$221)*'(ne pas modifier) BDD_REF'!$B$209</f>
        <v>9.9299999999999999E-2</v>
      </c>
      <c r="E11" s="39">
        <f>((E7*'(ne pas modifier) BDD_REF'!$B$220)+('RECeff + REIamont (2)'!E8+'RECeff + REIamont (2)'!E9)*'(ne pas modifier) BDD_REF'!$B$221)*'(ne pas modifier) BDD_REF'!$B$209</f>
        <v>9.6000000000000002E-2</v>
      </c>
      <c r="F11" s="39">
        <f>((F7*'(ne pas modifier) BDD_REF'!$B$220)+('RECeff + REIamont (2)'!F8+'RECeff + REIamont (2)'!F9)*'(ne pas modifier) BDD_REF'!$B$221)*'(ne pas modifier) BDD_REF'!$B$209</f>
        <v>9.6000000000000002E-2</v>
      </c>
      <c r="G11" s="39">
        <f>((G7*'(ne pas modifier) BDD_REF'!$B$220)+('RECeff + REIamont (2)'!G8+'RECeff + REIamont (2)'!G9)*'(ne pas modifier) BDD_REF'!$B$221)*'(ne pas modifier) BDD_REF'!$B$209</f>
        <v>9.6000000000000002E-2</v>
      </c>
      <c r="H11" s="39">
        <f>((H7*'(ne pas modifier) BDD_REF'!$B$220)+('RECeff + REIamont (2)'!H8+'RECeff + REIamont (2)'!H9)*'(ne pas modifier) BDD_REF'!$B$221)*'(ne pas modifier) BDD_REF'!$B$209</f>
        <v>9.6000000000000002E-2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0.5825999999999999</v>
      </c>
    </row>
    <row r="12" spans="1:15" x14ac:dyDescent="0.3">
      <c r="B12" s="19" t="s">
        <v>79</v>
      </c>
      <c r="C12" s="39">
        <f>(C7+C8+C9)*'(ne pas modifier) BDD_REF'!$B$222*'(ne pas modifier) BDD_REF'!$B$210</f>
        <v>0.16631999999999997</v>
      </c>
      <c r="D12" s="39">
        <f>(D7+D8+D9)*'(ne pas modifier) BDD_REF'!$B$222*'(ne pas modifier) BDD_REF'!$B$210</f>
        <v>0.16631999999999997</v>
      </c>
      <c r="E12" s="39">
        <f>(E7+E8+E9)*'(ne pas modifier) BDD_REF'!$B$222*'(ne pas modifier) BDD_REF'!$B$210</f>
        <v>0.15839999999999999</v>
      </c>
      <c r="F12" s="39">
        <f>(F7+F8+F9)*'(ne pas modifier) BDD_REF'!$B$222*'(ne pas modifier) BDD_REF'!$B$210</f>
        <v>0.15839999999999999</v>
      </c>
      <c r="G12" s="39">
        <f>(G7+G8+G9)*'(ne pas modifier) BDD_REF'!$B$222*'(ne pas modifier) BDD_REF'!$B$210</f>
        <v>0.15839999999999999</v>
      </c>
      <c r="H12" s="39">
        <f>(H7+H8+H9)*'(ne pas modifier) BDD_REF'!$B$222*'(ne pas modifier) BDD_REF'!$B$210</f>
        <v>0.15839999999999999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0.96623999999999988</v>
      </c>
    </row>
    <row r="13" spans="1:15" x14ac:dyDescent="0.3">
      <c r="B13" s="7" t="s">
        <v>80</v>
      </c>
      <c r="C13" s="80">
        <v>0</v>
      </c>
      <c r="D13" s="80">
        <v>0</v>
      </c>
      <c r="E13" s="80">
        <v>0</v>
      </c>
      <c r="F13" s="80">
        <v>0</v>
      </c>
      <c r="G13" s="80">
        <v>0</v>
      </c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81</v>
      </c>
      <c r="C14" s="80">
        <v>130</v>
      </c>
      <c r="D14" s="80">
        <v>130</v>
      </c>
      <c r="E14" s="80">
        <v>130</v>
      </c>
      <c r="F14" s="80">
        <v>130</v>
      </c>
      <c r="G14" s="80">
        <v>130</v>
      </c>
      <c r="H14" s="80">
        <v>130</v>
      </c>
      <c r="I14" s="80"/>
      <c r="J14" s="80"/>
      <c r="K14" s="80"/>
      <c r="L14" s="80"/>
      <c r="M14" s="39">
        <f t="shared" si="0"/>
        <v>780</v>
      </c>
    </row>
    <row r="15" spans="1:15" x14ac:dyDescent="0.3">
      <c r="B15" s="7" t="s">
        <v>82</v>
      </c>
      <c r="C15" s="80">
        <v>0</v>
      </c>
      <c r="D15" s="80">
        <v>0</v>
      </c>
      <c r="E15" s="80">
        <v>0</v>
      </c>
      <c r="F15" s="80">
        <v>0</v>
      </c>
      <c r="G15" s="80">
        <v>0</v>
      </c>
      <c r="H15" s="80">
        <v>0</v>
      </c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83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84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85</v>
      </c>
      <c r="C18" s="80">
        <v>0</v>
      </c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86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0.39922999999999997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0.39922999999999997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0.39922999999999997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0.39922999999999997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0.39922999999999997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0.39922999999999997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2.3953799999999998</v>
      </c>
    </row>
    <row r="20" spans="1:108" x14ac:dyDescent="0.3">
      <c r="B20" s="7" t="s">
        <v>87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0</v>
      </c>
    </row>
    <row r="21" spans="1:108" x14ac:dyDescent="0.3">
      <c r="B21" s="3" t="s">
        <v>88</v>
      </c>
      <c r="C21" s="39">
        <f>(C20*'(ne pas modifier) BDD_REF'!$B$211)/1000</f>
        <v>0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0</v>
      </c>
    </row>
    <row r="22" spans="1:108" s="16" customFormat="1" x14ac:dyDescent="0.3">
      <c r="A22" s="18"/>
      <c r="B22" s="19" t="s">
        <v>89</v>
      </c>
      <c r="C22" s="81">
        <f>C19+C21</f>
        <v>0.39922999999999997</v>
      </c>
      <c r="D22" s="81">
        <f t="shared" ref="D22:L22" si="1">D19+D21</f>
        <v>0.39922999999999997</v>
      </c>
      <c r="E22" s="81">
        <f t="shared" si="1"/>
        <v>0.39922999999999997</v>
      </c>
      <c r="F22" s="81">
        <f t="shared" si="1"/>
        <v>0.39922999999999997</v>
      </c>
      <c r="G22" s="81">
        <f t="shared" si="1"/>
        <v>0.39922999999999997</v>
      </c>
      <c r="H22" s="81">
        <f t="shared" si="1"/>
        <v>0.39922999999999997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2.3953799999999998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90</v>
      </c>
      <c r="C23" s="80">
        <v>165</v>
      </c>
      <c r="D23" s="80">
        <v>165</v>
      </c>
      <c r="E23" s="80">
        <v>15</v>
      </c>
      <c r="F23" s="80">
        <v>15</v>
      </c>
      <c r="G23" s="80">
        <v>15</v>
      </c>
      <c r="H23" s="80">
        <v>15</v>
      </c>
      <c r="I23" s="80"/>
      <c r="J23" s="80"/>
      <c r="K23" s="80"/>
      <c r="L23" s="80"/>
      <c r="M23" s="39">
        <f t="shared" si="0"/>
        <v>390</v>
      </c>
    </row>
    <row r="24" spans="1:108" x14ac:dyDescent="0.3">
      <c r="B24" s="7" t="s">
        <v>91</v>
      </c>
      <c r="C24" s="80">
        <v>55</v>
      </c>
      <c r="D24" s="80">
        <v>55</v>
      </c>
      <c r="E24" s="80">
        <v>55</v>
      </c>
      <c r="F24" s="80">
        <v>55</v>
      </c>
      <c r="G24" s="80">
        <v>55</v>
      </c>
      <c r="H24" s="80">
        <v>55</v>
      </c>
      <c r="I24" s="80"/>
      <c r="J24" s="80"/>
      <c r="K24" s="80"/>
      <c r="L24" s="80"/>
      <c r="M24" s="39">
        <f t="shared" si="0"/>
        <v>330</v>
      </c>
    </row>
    <row r="25" spans="1:108" x14ac:dyDescent="0.3">
      <c r="B25" s="3" t="s">
        <v>92</v>
      </c>
      <c r="C25" s="39">
        <f>(C7*'(ne pas modifier) BDD_REF'!$B$212+'RECeff + REIamont (2)'!C23*'(ne pas modifier) BDD_REF'!$B$213+'RECeff + REIamont (2)'!C24*'(ne pas modifier) BDD_REF'!$B$214)/1000</f>
        <v>0.42713000000000001</v>
      </c>
      <c r="D25" s="39">
        <f>(D7*'(ne pas modifier) BDD_REF'!$B$212+'RECeff + REIamont (2)'!D23*'(ne pas modifier) BDD_REF'!$B$213+'RECeff + REIamont (2)'!D24*'(ne pas modifier) BDD_REF'!$B$214)/1000</f>
        <v>0.42713000000000001</v>
      </c>
      <c r="E25" s="39">
        <f>(E7*'(ne pas modifier) BDD_REF'!$B$212+'RECeff + REIamont (2)'!E23*'(ne pas modifier) BDD_REF'!$B$213+'RECeff + REIamont (2)'!E24*'(ne pas modifier) BDD_REF'!$B$214)/1000</f>
        <v>0.19609999999999997</v>
      </c>
      <c r="F25" s="39">
        <f>(F7*'(ne pas modifier) BDD_REF'!$B$212+'RECeff + REIamont (2)'!F23*'(ne pas modifier) BDD_REF'!$B$213+'RECeff + REIamont (2)'!F24*'(ne pas modifier) BDD_REF'!$B$214)/1000</f>
        <v>0.19609999999999997</v>
      </c>
      <c r="G25" s="39">
        <f>(G7*'(ne pas modifier) BDD_REF'!$B$212+'RECeff + REIamont (2)'!G23*'(ne pas modifier) BDD_REF'!$B$213+'RECeff + REIamont (2)'!G24*'(ne pas modifier) BDD_REF'!$B$214)/1000</f>
        <v>0.19609999999999997</v>
      </c>
      <c r="H25" s="39">
        <f>(H7*'(ne pas modifier) BDD_REF'!$B$212+'RECeff + REIamont (2)'!H23*'(ne pas modifier) BDD_REF'!$B$213+'RECeff + REIamont (2)'!H24*'(ne pas modifier) BDD_REF'!$B$214)/1000</f>
        <v>0.19609999999999997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1.6386599999999998</v>
      </c>
    </row>
    <row r="26" spans="1:108" hidden="1" x14ac:dyDescent="0.3">
      <c r="B26" s="3" t="s">
        <v>93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94</v>
      </c>
      <c r="B27" s="7" t="s">
        <v>95</v>
      </c>
      <c r="C27" s="80">
        <v>6.22</v>
      </c>
      <c r="D27" s="80">
        <v>6.22</v>
      </c>
      <c r="E27" s="80">
        <v>4.66</v>
      </c>
      <c r="F27" s="80">
        <v>4.66</v>
      </c>
      <c r="G27" s="80">
        <v>4.66</v>
      </c>
      <c r="H27" s="80">
        <v>4.66</v>
      </c>
      <c r="I27" s="80"/>
      <c r="J27" s="80"/>
      <c r="K27" s="80"/>
      <c r="L27" s="80"/>
      <c r="M27" s="39">
        <f t="shared" si="0"/>
        <v>31.080000000000002</v>
      </c>
    </row>
    <row r="28" spans="1:108" x14ac:dyDescent="0.3">
      <c r="B28" s="7" t="s">
        <v>96</v>
      </c>
      <c r="C28" s="80">
        <v>0.54</v>
      </c>
      <c r="D28" s="80">
        <v>0.54</v>
      </c>
      <c r="E28" s="80">
        <v>0</v>
      </c>
      <c r="F28" s="80">
        <v>0</v>
      </c>
      <c r="G28" s="80">
        <v>0</v>
      </c>
      <c r="H28" s="80">
        <v>0</v>
      </c>
      <c r="I28" s="80"/>
      <c r="J28" s="80"/>
      <c r="K28" s="80"/>
      <c r="L28" s="80"/>
      <c r="M28" s="39">
        <f t="shared" si="0"/>
        <v>1.08</v>
      </c>
    </row>
    <row r="29" spans="1:108" x14ac:dyDescent="0.3">
      <c r="B29" s="7" t="s">
        <v>97</v>
      </c>
      <c r="C29" s="80">
        <v>16.350000000000001</v>
      </c>
      <c r="D29" s="80">
        <v>16.350000000000001</v>
      </c>
      <c r="E29" s="80">
        <v>0.19</v>
      </c>
      <c r="F29" s="80">
        <v>0.19</v>
      </c>
      <c r="G29" s="80">
        <v>0.19</v>
      </c>
      <c r="H29" s="80">
        <v>0.19</v>
      </c>
      <c r="I29" s="80"/>
      <c r="J29" s="80"/>
      <c r="K29" s="80"/>
      <c r="L29" s="80"/>
      <c r="M29" s="39">
        <f t="shared" si="0"/>
        <v>33.459999999999994</v>
      </c>
    </row>
    <row r="30" spans="1:108" x14ac:dyDescent="0.3">
      <c r="B30" s="7" t="s">
        <v>98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99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0.4531687800000001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0.4531687800000001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3.2777399999999998E-2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3.2777399999999998E-2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3.2777399999999998E-2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3.2777399999999998E-2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1.0374471600000001</v>
      </c>
    </row>
    <row r="32" spans="1:108" s="16" customFormat="1" x14ac:dyDescent="0.3">
      <c r="A32" s="18"/>
      <c r="B32" s="19" t="s">
        <v>100</v>
      </c>
      <c r="C32" s="81">
        <f>C25+C26+C31</f>
        <v>0.88029878000000017</v>
      </c>
      <c r="D32" s="81">
        <f t="shared" ref="D32:L32" si="2">D25+D26+D31</f>
        <v>0.88029878000000017</v>
      </c>
      <c r="E32" s="81">
        <f t="shared" si="2"/>
        <v>0.22887739999999995</v>
      </c>
      <c r="F32" s="81">
        <f t="shared" si="2"/>
        <v>0.22887739999999995</v>
      </c>
      <c r="G32" s="81">
        <f t="shared" si="2"/>
        <v>0.22887739999999995</v>
      </c>
      <c r="H32" s="81">
        <f t="shared" si="2"/>
        <v>0.22887739999999995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2.6761071600000004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101</v>
      </c>
      <c r="C33" s="20">
        <f>((C10+C11+C12)/1000*44/28*'(ne pas modifier) BDD_REF'!$B$232)+'RECeff + REIamont (2)'!C22+'RECeff + REIamont (2)'!C32</f>
        <v>1.6849719657142859</v>
      </c>
      <c r="D33" s="20">
        <f>((D10+D11+D12)/1000*44/28*'(ne pas modifier) BDD_REF'!$B$232)+'RECeff + REIamont (2)'!D22+'RECeff + REIamont (2)'!D32</f>
        <v>1.6849719657142859</v>
      </c>
      <c r="E33" s="20">
        <f>((E10+E11+E12)/1000*44/28*'(ne pas modifier) BDD_REF'!$B$232)+'RECeff + REIamont (2)'!E22+'RECeff + REIamont (2)'!E32</f>
        <v>1.0088896857142855</v>
      </c>
      <c r="F33" s="20">
        <f>((F10+F11+F12)/1000*44/28*'(ne pas modifier) BDD_REF'!$B$232)+'RECeff + REIamont (2)'!F22+'RECeff + REIamont (2)'!F32</f>
        <v>1.0088896857142855</v>
      </c>
      <c r="G33" s="20">
        <f>((G10+G11+G12)/1000*44/28*'(ne pas modifier) BDD_REF'!$B$232)+'RECeff + REIamont (2)'!G22+'RECeff + REIamont (2)'!G32</f>
        <v>1.0088896857142855</v>
      </c>
      <c r="H33" s="20">
        <f>((H10+H11+H12)/1000*44/28*'(ne pas modifier) BDD_REF'!$B$232)+'RECeff + REIamont (2)'!H22+'RECeff + REIamont (2)'!H32</f>
        <v>1.0088896857142855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7.4055026742857128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102</v>
      </c>
      <c r="B34" s="7" t="s">
        <v>74</v>
      </c>
      <c r="C34" s="80">
        <v>33</v>
      </c>
      <c r="D34" s="80">
        <v>33</v>
      </c>
      <c r="E34" s="80">
        <v>30</v>
      </c>
      <c r="F34" s="80">
        <v>30</v>
      </c>
      <c r="G34" s="80">
        <v>30</v>
      </c>
      <c r="H34" s="80">
        <v>30</v>
      </c>
      <c r="I34" s="80"/>
      <c r="J34" s="80"/>
      <c r="K34" s="80"/>
      <c r="L34" s="80"/>
      <c r="M34" s="39">
        <f t="shared" si="0"/>
        <v>186</v>
      </c>
    </row>
    <row r="35" spans="1:108" x14ac:dyDescent="0.3">
      <c r="B35" s="7" t="s">
        <v>75</v>
      </c>
      <c r="C35" s="80">
        <v>30</v>
      </c>
      <c r="D35" s="80">
        <v>30</v>
      </c>
      <c r="E35" s="80">
        <v>30</v>
      </c>
      <c r="F35" s="80">
        <v>30</v>
      </c>
      <c r="G35" s="80">
        <v>30</v>
      </c>
      <c r="H35" s="80">
        <v>30</v>
      </c>
      <c r="I35" s="80"/>
      <c r="J35" s="80"/>
      <c r="K35" s="80"/>
      <c r="L35" s="80"/>
      <c r="M35" s="39">
        <f t="shared" si="0"/>
        <v>180</v>
      </c>
    </row>
    <row r="36" spans="1:108" x14ac:dyDescent="0.3">
      <c r="B36" s="7" t="s">
        <v>76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77</v>
      </c>
      <c r="C37" s="39">
        <f>C34*'(ne pas modifier) BDD_REF'!$B$207 + (C35+C36)*'(ne pas modifier) BDD_REF'!$B$208</f>
        <v>0.70799999999999996</v>
      </c>
      <c r="D37" s="39">
        <f>D34*'(ne pas modifier) BDD_REF'!$B$207 + (D35+D36)*'(ne pas modifier) BDD_REF'!$B$208</f>
        <v>0.70799999999999996</v>
      </c>
      <c r="E37" s="39">
        <f>E34*'(ne pas modifier) BDD_REF'!$B$207 + (E35+E36)*'(ne pas modifier) BDD_REF'!$B$208</f>
        <v>0.65999999999999992</v>
      </c>
      <c r="F37" s="39">
        <f>F34*'(ne pas modifier) BDD_REF'!$B$207 + (F35+F36)*'(ne pas modifier) BDD_REF'!$B$208</f>
        <v>0.65999999999999992</v>
      </c>
      <c r="G37" s="39">
        <f>G34*'(ne pas modifier) BDD_REF'!$B$207 + (G35+G36)*'(ne pas modifier) BDD_REF'!$B$208</f>
        <v>0.65999999999999992</v>
      </c>
      <c r="H37" s="39">
        <f>H34*'(ne pas modifier) BDD_REF'!$B$207 + (H35+H36)*'(ne pas modifier) BDD_REF'!$B$208</f>
        <v>0.65999999999999992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4.056</v>
      </c>
    </row>
    <row r="38" spans="1:108" x14ac:dyDescent="0.3">
      <c r="B38" s="19" t="s">
        <v>78</v>
      </c>
      <c r="C38" s="39">
        <f>((C34*'(ne pas modifier) BDD_REF'!$B$220)+('RECeff + REIamont (2)'!C35+'RECeff + REIamont (2)'!C36)*'(ne pas modifier) BDD_REF'!$B$221)*'(ne pas modifier) BDD_REF'!$B$209</f>
        <v>9.9299999999999999E-2</v>
      </c>
      <c r="D38" s="39">
        <f>((D34*'(ne pas modifier) BDD_REF'!$B$220)+('RECeff + REIamont (2)'!D35+'RECeff + REIamont (2)'!D36)*'(ne pas modifier) BDD_REF'!$B$221)*'(ne pas modifier) BDD_REF'!$B$209</f>
        <v>9.9299999999999999E-2</v>
      </c>
      <c r="E38" s="39">
        <f>((E34*'(ne pas modifier) BDD_REF'!$B$220)+('RECeff + REIamont (2)'!E35+'RECeff + REIamont (2)'!E36)*'(ne pas modifier) BDD_REF'!$B$221)*'(ne pas modifier) BDD_REF'!$B$209</f>
        <v>9.6000000000000002E-2</v>
      </c>
      <c r="F38" s="39">
        <f>((F34*'(ne pas modifier) BDD_REF'!$B$220)+('RECeff + REIamont (2)'!F35+'RECeff + REIamont (2)'!F36)*'(ne pas modifier) BDD_REF'!$B$221)*'(ne pas modifier) BDD_REF'!$B$209</f>
        <v>9.6000000000000002E-2</v>
      </c>
      <c r="G38" s="39">
        <f>((G34*'(ne pas modifier) BDD_REF'!$B$220)+('RECeff + REIamont (2)'!G35+'RECeff + REIamont (2)'!G36)*'(ne pas modifier) BDD_REF'!$B$221)*'(ne pas modifier) BDD_REF'!$B$209</f>
        <v>9.6000000000000002E-2</v>
      </c>
      <c r="H38" s="39">
        <f>((H34*'(ne pas modifier) BDD_REF'!$B$220)+('RECeff + REIamont (2)'!H35+'RECeff + REIamont (2)'!H36)*'(ne pas modifier) BDD_REF'!$B$221)*'(ne pas modifier) BDD_REF'!$B$209</f>
        <v>9.6000000000000002E-2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0.5825999999999999</v>
      </c>
    </row>
    <row r="39" spans="1:108" x14ac:dyDescent="0.3">
      <c r="B39" s="19" t="s">
        <v>79</v>
      </c>
      <c r="C39" s="39">
        <f>(C34+C35+C36)*'(ne pas modifier) BDD_REF'!$B$222*'(ne pas modifier) BDD_REF'!$B$210</f>
        <v>0.16631999999999997</v>
      </c>
      <c r="D39" s="39">
        <f>(D34+D35+D36)*'(ne pas modifier) BDD_REF'!$B$222*'(ne pas modifier) BDD_REF'!$B$210</f>
        <v>0.16631999999999997</v>
      </c>
      <c r="E39" s="39">
        <f>(E34+E35+E36)*'(ne pas modifier) BDD_REF'!$B$222*'(ne pas modifier) BDD_REF'!$B$210</f>
        <v>0.15839999999999999</v>
      </c>
      <c r="F39" s="39">
        <f>(F34+F35+F36)*'(ne pas modifier) BDD_REF'!$B$222*'(ne pas modifier) BDD_REF'!$B$210</f>
        <v>0.15839999999999999</v>
      </c>
      <c r="G39" s="39">
        <f>(G34+G35+G36)*'(ne pas modifier) BDD_REF'!$B$222*'(ne pas modifier) BDD_REF'!$B$210</f>
        <v>0.15839999999999999</v>
      </c>
      <c r="H39" s="39">
        <f>(H34+H35+H36)*'(ne pas modifier) BDD_REF'!$B$222*'(ne pas modifier) BDD_REF'!$B$210</f>
        <v>0.15839999999999999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0.96623999999999988</v>
      </c>
    </row>
    <row r="40" spans="1:108" x14ac:dyDescent="0.3">
      <c r="B40" s="7" t="s">
        <v>80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81</v>
      </c>
      <c r="C41" s="80">
        <v>130</v>
      </c>
      <c r="D41" s="80">
        <v>130</v>
      </c>
      <c r="E41" s="80">
        <v>130</v>
      </c>
      <c r="F41" s="80">
        <v>130</v>
      </c>
      <c r="G41" s="80">
        <v>130</v>
      </c>
      <c r="H41" s="80">
        <v>130</v>
      </c>
      <c r="I41" s="80"/>
      <c r="J41" s="80"/>
      <c r="K41" s="80"/>
      <c r="L41" s="80"/>
      <c r="M41" s="39">
        <f t="shared" si="3"/>
        <v>780</v>
      </c>
    </row>
    <row r="42" spans="1:108" x14ac:dyDescent="0.3">
      <c r="B42" s="7" t="s">
        <v>82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83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84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85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86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0.39922999999999997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0.39922999999999997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0.39922999999999997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0.39922999999999997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0.39922999999999997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0.39922999999999997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2.3953799999999998</v>
      </c>
    </row>
    <row r="47" spans="1:108" x14ac:dyDescent="0.3">
      <c r="B47" s="7" t="s">
        <v>87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0</v>
      </c>
    </row>
    <row r="48" spans="1:108" x14ac:dyDescent="0.3">
      <c r="B48" s="3" t="s">
        <v>88</v>
      </c>
      <c r="C48" s="39">
        <f>(C47*'(ne pas modifier) BDD_REF'!$B$211)/1000</f>
        <v>0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0</v>
      </c>
    </row>
    <row r="49" spans="1:108" s="16" customFormat="1" x14ac:dyDescent="0.3">
      <c r="A49" s="18"/>
      <c r="B49" s="19" t="s">
        <v>89</v>
      </c>
      <c r="C49" s="81">
        <f>C46+C48</f>
        <v>0.39922999999999997</v>
      </c>
      <c r="D49" s="81">
        <f t="shared" ref="D49:L49" si="4">D46+D48</f>
        <v>0.39922999999999997</v>
      </c>
      <c r="E49" s="81">
        <f t="shared" si="4"/>
        <v>0.39922999999999997</v>
      </c>
      <c r="F49" s="81">
        <f t="shared" si="4"/>
        <v>0.39922999999999997</v>
      </c>
      <c r="G49" s="81">
        <f t="shared" si="4"/>
        <v>0.39922999999999997</v>
      </c>
      <c r="H49" s="81">
        <f t="shared" si="4"/>
        <v>0.39922999999999997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2.3953799999999998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90</v>
      </c>
      <c r="C50" s="80">
        <v>165</v>
      </c>
      <c r="D50" s="80">
        <v>165</v>
      </c>
      <c r="E50" s="80">
        <v>15</v>
      </c>
      <c r="F50" s="80">
        <v>15</v>
      </c>
      <c r="G50" s="80">
        <v>15</v>
      </c>
      <c r="H50" s="80">
        <v>15</v>
      </c>
      <c r="I50" s="80"/>
      <c r="J50" s="80"/>
      <c r="K50" s="80"/>
      <c r="L50" s="80"/>
      <c r="M50" s="39">
        <f t="shared" si="3"/>
        <v>390</v>
      </c>
    </row>
    <row r="51" spans="1:108" x14ac:dyDescent="0.3">
      <c r="B51" s="7" t="s">
        <v>91</v>
      </c>
      <c r="C51" s="80">
        <v>55</v>
      </c>
      <c r="D51" s="80">
        <v>55</v>
      </c>
      <c r="E51" s="80">
        <v>55</v>
      </c>
      <c r="F51" s="80">
        <v>55</v>
      </c>
      <c r="G51" s="80">
        <v>55</v>
      </c>
      <c r="H51" s="80">
        <v>55</v>
      </c>
      <c r="I51" s="80"/>
      <c r="J51" s="80"/>
      <c r="K51" s="80"/>
      <c r="L51" s="80"/>
      <c r="M51" s="39">
        <f t="shared" si="3"/>
        <v>330</v>
      </c>
    </row>
    <row r="52" spans="1:108" x14ac:dyDescent="0.3">
      <c r="B52" s="3" t="s">
        <v>92</v>
      </c>
      <c r="C52" s="39">
        <f>(C34*'(ne pas modifier) BDD_REF'!$B$212+'RECeff + REIamont (2)'!C50*'(ne pas modifier) BDD_REF'!$B$213+'RECeff + REIamont (2)'!C51*'(ne pas modifier) BDD_REF'!$B$214)/1000</f>
        <v>0.42713000000000001</v>
      </c>
      <c r="D52" s="39">
        <f>(D34*'(ne pas modifier) BDD_REF'!$B$212+'RECeff + REIamont (2)'!D50*'(ne pas modifier) BDD_REF'!$B$213+'RECeff + REIamont (2)'!D51*'(ne pas modifier) BDD_REF'!$B$214)/1000</f>
        <v>0.42713000000000001</v>
      </c>
      <c r="E52" s="39">
        <f>(E34*'(ne pas modifier) BDD_REF'!$B$212+'RECeff + REIamont (2)'!E50*'(ne pas modifier) BDD_REF'!$B$213+'RECeff + REIamont (2)'!E51*'(ne pas modifier) BDD_REF'!$B$214)/1000</f>
        <v>0.19609999999999997</v>
      </c>
      <c r="F52" s="39">
        <f>(F34*'(ne pas modifier) BDD_REF'!$B$212+'RECeff + REIamont (2)'!F50*'(ne pas modifier) BDD_REF'!$B$213+'RECeff + REIamont (2)'!F51*'(ne pas modifier) BDD_REF'!$B$214)/1000</f>
        <v>0.19609999999999997</v>
      </c>
      <c r="G52" s="39">
        <f>(G34*'(ne pas modifier) BDD_REF'!$B$212+'RECeff + REIamont (2)'!G50*'(ne pas modifier) BDD_REF'!$B$213+'RECeff + REIamont (2)'!G51*'(ne pas modifier) BDD_REF'!$B$214)/1000</f>
        <v>0.19609999999999997</v>
      </c>
      <c r="H52" s="39">
        <f>(H34*'(ne pas modifier) BDD_REF'!$B$212+'RECeff + REIamont (2)'!H50*'(ne pas modifier) BDD_REF'!$B$213+'RECeff + REIamont (2)'!H51*'(ne pas modifier) BDD_REF'!$B$214)/1000</f>
        <v>0.19609999999999997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1.6386599999999998</v>
      </c>
    </row>
    <row r="53" spans="1:108" hidden="1" x14ac:dyDescent="0.3">
      <c r="A53" s="17" t="s">
        <v>103</v>
      </c>
      <c r="B53" s="3" t="s">
        <v>93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95</v>
      </c>
      <c r="C54" s="80">
        <v>6.22</v>
      </c>
      <c r="D54" s="80">
        <v>6.22</v>
      </c>
      <c r="E54" s="80">
        <v>4.66</v>
      </c>
      <c r="F54" s="80">
        <v>4.66</v>
      </c>
      <c r="G54" s="80">
        <v>4.66</v>
      </c>
      <c r="H54" s="80">
        <v>4.66</v>
      </c>
      <c r="I54" s="80"/>
      <c r="J54" s="80"/>
      <c r="K54" s="80"/>
      <c r="L54" s="80"/>
      <c r="M54" s="39">
        <f t="shared" si="3"/>
        <v>31.080000000000002</v>
      </c>
    </row>
    <row r="55" spans="1:108" x14ac:dyDescent="0.3">
      <c r="B55" s="7" t="s">
        <v>96</v>
      </c>
      <c r="C55" s="80">
        <v>0.54</v>
      </c>
      <c r="D55" s="80">
        <v>0.54</v>
      </c>
      <c r="E55" s="80">
        <v>0</v>
      </c>
      <c r="F55" s="80">
        <v>0</v>
      </c>
      <c r="G55" s="80">
        <v>0</v>
      </c>
      <c r="H55" s="80">
        <v>0</v>
      </c>
      <c r="I55" s="80"/>
      <c r="J55" s="80"/>
      <c r="K55" s="80"/>
      <c r="L55" s="80"/>
      <c r="M55" s="39">
        <f t="shared" si="3"/>
        <v>1.08</v>
      </c>
    </row>
    <row r="56" spans="1:108" x14ac:dyDescent="0.3">
      <c r="B56" s="7" t="s">
        <v>97</v>
      </c>
      <c r="C56" s="80">
        <v>16.350000000000001</v>
      </c>
      <c r="D56" s="80">
        <v>16.350000000000001</v>
      </c>
      <c r="E56" s="80">
        <v>0.19</v>
      </c>
      <c r="F56" s="80">
        <v>0.19</v>
      </c>
      <c r="G56" s="80">
        <v>0.19</v>
      </c>
      <c r="H56" s="80">
        <v>0.19</v>
      </c>
      <c r="I56" s="80"/>
      <c r="J56" s="80"/>
      <c r="K56" s="80"/>
      <c r="L56" s="80"/>
      <c r="M56" s="39">
        <f t="shared" si="3"/>
        <v>33.459999999999994</v>
      </c>
    </row>
    <row r="57" spans="1:108" x14ac:dyDescent="0.3">
      <c r="B57" s="7" t="s">
        <v>98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99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0.4531687800000001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0.4531687800000001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3.2777399999999998E-2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3.2777399999999998E-2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3.2777399999999998E-2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3.2777399999999998E-2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1.0374471600000001</v>
      </c>
    </row>
    <row r="59" spans="1:108" s="16" customFormat="1" x14ac:dyDescent="0.3">
      <c r="A59" s="18"/>
      <c r="B59" s="19" t="s">
        <v>100</v>
      </c>
      <c r="C59" s="81">
        <f>C52+C53+C58</f>
        <v>0.88029878000000017</v>
      </c>
      <c r="D59" s="81">
        <f t="shared" ref="D59:L59" si="5">D52+D53+D58</f>
        <v>0.88029878000000017</v>
      </c>
      <c r="E59" s="81">
        <f t="shared" si="5"/>
        <v>0.22887739999999995</v>
      </c>
      <c r="F59" s="81">
        <f t="shared" si="5"/>
        <v>0.22887739999999995</v>
      </c>
      <c r="G59" s="81">
        <f t="shared" si="5"/>
        <v>0.22887739999999995</v>
      </c>
      <c r="H59" s="81">
        <f t="shared" si="5"/>
        <v>0.22887739999999995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2.6761071600000004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101</v>
      </c>
      <c r="C60" s="20">
        <f>((C37+C38+C39)/1000*44/28*'(ne pas modifier) BDD_REF'!$B$232)+'RECeff + REIamont (2)'!C49+'RECeff + REIamont (2)'!C59</f>
        <v>1.6849719657142859</v>
      </c>
      <c r="D60" s="20">
        <f>((D37+D38+D39)/1000*44/28*'(ne pas modifier) BDD_REF'!$B$232)+'RECeff + REIamont (2)'!D49+'RECeff + REIamont (2)'!D59</f>
        <v>1.6849719657142859</v>
      </c>
      <c r="E60" s="20">
        <f>((E37+E38+E39)/1000*44/28*'(ne pas modifier) BDD_REF'!$B$232)+'RECeff + REIamont (2)'!E49+'RECeff + REIamont (2)'!E59</f>
        <v>1.0088896857142855</v>
      </c>
      <c r="F60" s="20">
        <f>((F37+F38+F39)/1000*44/28*'(ne pas modifier) BDD_REF'!$B$232)+'RECeff + REIamont (2)'!F49+'RECeff + REIamont (2)'!F59</f>
        <v>1.0088896857142855</v>
      </c>
      <c r="G60" s="20">
        <f>((G37+G38+G39)/1000*44/28*'(ne pas modifier) BDD_REF'!$B$232)+'RECeff + REIamont (2)'!G49+'RECeff + REIamont (2)'!G59</f>
        <v>1.0088896857142855</v>
      </c>
      <c r="H60" s="20">
        <f>((H37+H38+H39)/1000*44/28*'(ne pas modifier) BDD_REF'!$B$232)+'RECeff + REIamont (2)'!H49+'RECeff + REIamont (2)'!H59</f>
        <v>1.0088896857142855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7.4055026742857128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104</v>
      </c>
      <c r="B61" s="7" t="s">
        <v>74</v>
      </c>
      <c r="C61" s="80">
        <v>33</v>
      </c>
      <c r="D61" s="80">
        <v>33</v>
      </c>
      <c r="E61" s="80">
        <v>30</v>
      </c>
      <c r="F61" s="80">
        <v>30</v>
      </c>
      <c r="G61" s="80">
        <v>30</v>
      </c>
      <c r="H61" s="80">
        <v>30</v>
      </c>
      <c r="I61" s="80"/>
      <c r="J61" s="80"/>
      <c r="K61" s="80"/>
      <c r="L61" s="80"/>
      <c r="M61" s="39">
        <f t="shared" si="3"/>
        <v>186</v>
      </c>
    </row>
    <row r="62" spans="1:108" x14ac:dyDescent="0.3">
      <c r="B62" s="7" t="s">
        <v>75</v>
      </c>
      <c r="C62" s="80">
        <v>30</v>
      </c>
      <c r="D62" s="80">
        <v>30</v>
      </c>
      <c r="E62" s="80">
        <v>30</v>
      </c>
      <c r="F62" s="80">
        <v>30</v>
      </c>
      <c r="G62" s="80">
        <v>30</v>
      </c>
      <c r="H62" s="80">
        <v>30</v>
      </c>
      <c r="I62" s="80"/>
      <c r="J62" s="80"/>
      <c r="K62" s="80"/>
      <c r="L62" s="80"/>
      <c r="M62" s="39">
        <f t="shared" si="3"/>
        <v>180</v>
      </c>
    </row>
    <row r="63" spans="1:108" x14ac:dyDescent="0.3">
      <c r="B63" s="7" t="s">
        <v>76</v>
      </c>
      <c r="C63" s="80">
        <v>0</v>
      </c>
      <c r="D63" s="80">
        <v>0</v>
      </c>
      <c r="E63" s="80">
        <v>0</v>
      </c>
      <c r="F63" s="80">
        <v>0</v>
      </c>
      <c r="G63" s="80">
        <v>0</v>
      </c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77</v>
      </c>
      <c r="C64" s="39">
        <f>C61*'(ne pas modifier) BDD_REF'!$B$207 + (C62+C63)*'(ne pas modifier) BDD_REF'!$B$208</f>
        <v>0.70799999999999996</v>
      </c>
      <c r="D64" s="39">
        <f>D61*'(ne pas modifier) BDD_REF'!$B$207 + (D62+D63)*'(ne pas modifier) BDD_REF'!$B$208</f>
        <v>0.70799999999999996</v>
      </c>
      <c r="E64" s="39">
        <f>E61*'(ne pas modifier) BDD_REF'!$B$207 + (E62+E63)*'(ne pas modifier) BDD_REF'!$B$208</f>
        <v>0.65999999999999992</v>
      </c>
      <c r="F64" s="39">
        <f>F61*'(ne pas modifier) BDD_REF'!$B$207 + (F62+F63)*'(ne pas modifier) BDD_REF'!$B$208</f>
        <v>0.65999999999999992</v>
      </c>
      <c r="G64" s="39">
        <f>G61*'(ne pas modifier) BDD_REF'!$B$207 + (G62+G63)*'(ne pas modifier) BDD_REF'!$B$208</f>
        <v>0.65999999999999992</v>
      </c>
      <c r="H64" s="39">
        <f>H61*'(ne pas modifier) BDD_REF'!$B$207 + (H62+H63)*'(ne pas modifier) BDD_REF'!$B$208</f>
        <v>0.65999999999999992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4.056</v>
      </c>
    </row>
    <row r="65" spans="1:108" x14ac:dyDescent="0.3">
      <c r="B65" s="19" t="s">
        <v>78</v>
      </c>
      <c r="C65" s="39">
        <f>((C61*'(ne pas modifier) BDD_REF'!$B$220)+('RECeff + REIamont (2)'!C62+'RECeff + REIamont (2)'!C63)*'(ne pas modifier) BDD_REF'!$B$221)*'(ne pas modifier) BDD_REF'!$B$209</f>
        <v>9.9299999999999999E-2</v>
      </c>
      <c r="D65" s="39">
        <f>((D61*'(ne pas modifier) BDD_REF'!$B$220)+('RECeff + REIamont (2)'!D62+'RECeff + REIamont (2)'!D63)*'(ne pas modifier) BDD_REF'!$B$221)*'(ne pas modifier) BDD_REF'!$B$209</f>
        <v>9.9299999999999999E-2</v>
      </c>
      <c r="E65" s="39">
        <f>((E61*'(ne pas modifier) BDD_REF'!$B$220)+('RECeff + REIamont (2)'!E62+'RECeff + REIamont (2)'!E63)*'(ne pas modifier) BDD_REF'!$B$221)*'(ne pas modifier) BDD_REF'!$B$209</f>
        <v>9.6000000000000002E-2</v>
      </c>
      <c r="F65" s="39">
        <f>((F61*'(ne pas modifier) BDD_REF'!$B$220)+('RECeff + REIamont (2)'!F62+'RECeff + REIamont (2)'!F63)*'(ne pas modifier) BDD_REF'!$B$221)*'(ne pas modifier) BDD_REF'!$B$209</f>
        <v>9.6000000000000002E-2</v>
      </c>
      <c r="G65" s="39">
        <f>((G61*'(ne pas modifier) BDD_REF'!$B$220)+('RECeff + REIamont (2)'!G62+'RECeff + REIamont (2)'!G63)*'(ne pas modifier) BDD_REF'!$B$221)*'(ne pas modifier) BDD_REF'!$B$209</f>
        <v>9.6000000000000002E-2</v>
      </c>
      <c r="H65" s="39">
        <f>((H61*'(ne pas modifier) BDD_REF'!$B$220)+('RECeff + REIamont (2)'!H62+'RECeff + REIamont (2)'!H63)*'(ne pas modifier) BDD_REF'!$B$221)*'(ne pas modifier) BDD_REF'!$B$209</f>
        <v>9.6000000000000002E-2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0.5825999999999999</v>
      </c>
    </row>
    <row r="66" spans="1:108" x14ac:dyDescent="0.3">
      <c r="B66" s="19" t="s">
        <v>79</v>
      </c>
      <c r="C66" s="39">
        <f>(C61+C62+C63)*'(ne pas modifier) BDD_REF'!$B$222*'(ne pas modifier) BDD_REF'!$B$210</f>
        <v>0.16631999999999997</v>
      </c>
      <c r="D66" s="39">
        <f>(D61+D62+D63)*'(ne pas modifier) BDD_REF'!$B$222*'(ne pas modifier) BDD_REF'!$B$210</f>
        <v>0.16631999999999997</v>
      </c>
      <c r="E66" s="39">
        <f>(E61+E62+E63)*'(ne pas modifier) BDD_REF'!$B$222*'(ne pas modifier) BDD_REF'!$B$210</f>
        <v>0.15839999999999999</v>
      </c>
      <c r="F66" s="39">
        <f>(F61+F62+F63)*'(ne pas modifier) BDD_REF'!$B$222*'(ne pas modifier) BDD_REF'!$B$210</f>
        <v>0.15839999999999999</v>
      </c>
      <c r="G66" s="39">
        <f>(G61+G62+G63)*'(ne pas modifier) BDD_REF'!$B$222*'(ne pas modifier) BDD_REF'!$B$210</f>
        <v>0.15839999999999999</v>
      </c>
      <c r="H66" s="39">
        <f>(H61+H62+H63)*'(ne pas modifier) BDD_REF'!$B$222*'(ne pas modifier) BDD_REF'!$B$210</f>
        <v>0.15839999999999999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0.96623999999999988</v>
      </c>
    </row>
    <row r="67" spans="1:108" x14ac:dyDescent="0.3">
      <c r="B67" s="7" t="s">
        <v>80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81</v>
      </c>
      <c r="C68" s="80">
        <v>130</v>
      </c>
      <c r="D68" s="80">
        <v>130</v>
      </c>
      <c r="E68" s="80">
        <v>130</v>
      </c>
      <c r="F68" s="80">
        <v>130</v>
      </c>
      <c r="G68" s="80">
        <v>130</v>
      </c>
      <c r="H68" s="80">
        <v>130</v>
      </c>
      <c r="I68" s="80"/>
      <c r="J68" s="80"/>
      <c r="K68" s="80"/>
      <c r="L68" s="80"/>
      <c r="M68" s="39">
        <f t="shared" si="3"/>
        <v>780</v>
      </c>
    </row>
    <row r="69" spans="1:108" x14ac:dyDescent="0.3">
      <c r="B69" s="7" t="s">
        <v>82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83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84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85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86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0.39922999999999997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0.39922999999999997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0.39922999999999997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0.39922999999999997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0.39922999999999997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0.39922999999999997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2.3953799999999998</v>
      </c>
    </row>
    <row r="74" spans="1:108" x14ac:dyDescent="0.3">
      <c r="B74" s="7" t="s">
        <v>87</v>
      </c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0</v>
      </c>
    </row>
    <row r="75" spans="1:108" x14ac:dyDescent="0.3">
      <c r="B75" s="3" t="s">
        <v>88</v>
      </c>
      <c r="C75" s="39">
        <f>(C74*'(ne pas modifier) BDD_REF'!$B$211)/1000</f>
        <v>0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0</v>
      </c>
    </row>
    <row r="76" spans="1:108" s="16" customFormat="1" x14ac:dyDescent="0.3">
      <c r="A76" s="18"/>
      <c r="B76" s="19" t="s">
        <v>89</v>
      </c>
      <c r="C76" s="81">
        <f>C73+C75</f>
        <v>0.39922999999999997</v>
      </c>
      <c r="D76" s="81">
        <f t="shared" ref="D76:L76" si="7">D73+D75</f>
        <v>0.39922999999999997</v>
      </c>
      <c r="E76" s="81">
        <f t="shared" si="7"/>
        <v>0.39922999999999997</v>
      </c>
      <c r="F76" s="81">
        <f t="shared" si="7"/>
        <v>0.39922999999999997</v>
      </c>
      <c r="G76" s="81">
        <f t="shared" si="7"/>
        <v>0.39922999999999997</v>
      </c>
      <c r="H76" s="81">
        <f t="shared" si="7"/>
        <v>0.39922999999999997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2.3953799999999998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90</v>
      </c>
      <c r="C77" s="80">
        <v>165</v>
      </c>
      <c r="D77" s="80">
        <v>165</v>
      </c>
      <c r="E77" s="80">
        <v>15</v>
      </c>
      <c r="F77" s="80">
        <v>15</v>
      </c>
      <c r="G77" s="80">
        <v>15</v>
      </c>
      <c r="H77" s="80">
        <v>15</v>
      </c>
      <c r="I77" s="80"/>
      <c r="J77" s="80"/>
      <c r="K77" s="80"/>
      <c r="L77" s="80"/>
      <c r="M77" s="39">
        <f t="shared" si="6"/>
        <v>390</v>
      </c>
    </row>
    <row r="78" spans="1:108" x14ac:dyDescent="0.3">
      <c r="B78" s="7" t="s">
        <v>91</v>
      </c>
      <c r="C78" s="80">
        <v>55</v>
      </c>
      <c r="D78" s="80">
        <v>55</v>
      </c>
      <c r="E78" s="80">
        <v>55</v>
      </c>
      <c r="F78" s="80">
        <v>55</v>
      </c>
      <c r="G78" s="80">
        <v>55</v>
      </c>
      <c r="H78" s="80">
        <v>55</v>
      </c>
      <c r="I78" s="80"/>
      <c r="J78" s="80"/>
      <c r="K78" s="80"/>
      <c r="L78" s="80"/>
      <c r="M78" s="39">
        <f t="shared" si="6"/>
        <v>330</v>
      </c>
    </row>
    <row r="79" spans="1:108" x14ac:dyDescent="0.3">
      <c r="B79" s="3" t="s">
        <v>92</v>
      </c>
      <c r="C79" s="39">
        <f>(C61*'(ne pas modifier) BDD_REF'!$B$212+'RECeff + REIamont (2)'!C77*'(ne pas modifier) BDD_REF'!$B$213+'RECeff + REIamont (2)'!C78*'(ne pas modifier) BDD_REF'!$B$214)/1000</f>
        <v>0.42713000000000001</v>
      </c>
      <c r="D79" s="39">
        <f>(D61*'(ne pas modifier) BDD_REF'!$B$212+'RECeff + REIamont (2)'!D77*'(ne pas modifier) BDD_REF'!$B$213+'RECeff + REIamont (2)'!D78*'(ne pas modifier) BDD_REF'!$B$214)/1000</f>
        <v>0.42713000000000001</v>
      </c>
      <c r="E79" s="39">
        <f>(E61*'(ne pas modifier) BDD_REF'!$B$212+'RECeff + REIamont (2)'!E77*'(ne pas modifier) BDD_REF'!$B$213+'RECeff + REIamont (2)'!E78*'(ne pas modifier) BDD_REF'!$B$214)/1000</f>
        <v>0.19609999999999997</v>
      </c>
      <c r="F79" s="39">
        <f>(F61*'(ne pas modifier) BDD_REF'!$B$212+'RECeff + REIamont (2)'!F77*'(ne pas modifier) BDD_REF'!$B$213+'RECeff + REIamont (2)'!F78*'(ne pas modifier) BDD_REF'!$B$214)/1000</f>
        <v>0.19609999999999997</v>
      </c>
      <c r="G79" s="39">
        <f>(G61*'(ne pas modifier) BDD_REF'!$B$212+'RECeff + REIamont (2)'!G77*'(ne pas modifier) BDD_REF'!$B$213+'RECeff + REIamont (2)'!G78*'(ne pas modifier) BDD_REF'!$B$214)/1000</f>
        <v>0.19609999999999997</v>
      </c>
      <c r="H79" s="39">
        <f>(H61*'(ne pas modifier) BDD_REF'!$B$212+'RECeff + REIamont (2)'!H77*'(ne pas modifier) BDD_REF'!$B$213+'RECeff + REIamont (2)'!H78*'(ne pas modifier) BDD_REF'!$B$214)/1000</f>
        <v>0.19609999999999997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1.6386599999999998</v>
      </c>
    </row>
    <row r="80" spans="1:108" hidden="1" x14ac:dyDescent="0.3">
      <c r="A80" s="17" t="s">
        <v>103</v>
      </c>
      <c r="B80" s="3" t="s">
        <v>93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95</v>
      </c>
      <c r="C81" s="80">
        <v>6.22</v>
      </c>
      <c r="D81" s="80">
        <v>6.22</v>
      </c>
      <c r="E81" s="80">
        <v>4.66</v>
      </c>
      <c r="F81" s="80">
        <v>4.66</v>
      </c>
      <c r="G81" s="80">
        <v>4.66</v>
      </c>
      <c r="H81" s="80">
        <v>4.66</v>
      </c>
      <c r="I81" s="80"/>
      <c r="J81" s="80"/>
      <c r="K81" s="80"/>
      <c r="L81" s="80"/>
      <c r="M81" s="39">
        <f t="shared" si="6"/>
        <v>31.080000000000002</v>
      </c>
    </row>
    <row r="82" spans="1:108" x14ac:dyDescent="0.3">
      <c r="B82" s="7" t="s">
        <v>96</v>
      </c>
      <c r="C82" s="80">
        <v>0.54</v>
      </c>
      <c r="D82" s="80">
        <v>0.54</v>
      </c>
      <c r="E82" s="80">
        <v>0</v>
      </c>
      <c r="F82" s="80">
        <v>0</v>
      </c>
      <c r="G82" s="80">
        <v>0</v>
      </c>
      <c r="H82" s="80">
        <v>0</v>
      </c>
      <c r="I82" s="80"/>
      <c r="J82" s="80"/>
      <c r="K82" s="80"/>
      <c r="L82" s="80"/>
      <c r="M82" s="39">
        <f t="shared" si="6"/>
        <v>1.08</v>
      </c>
    </row>
    <row r="83" spans="1:108" x14ac:dyDescent="0.3">
      <c r="B83" s="7" t="s">
        <v>97</v>
      </c>
      <c r="C83" s="80">
        <v>16.350000000000001</v>
      </c>
      <c r="D83" s="80">
        <v>16.350000000000001</v>
      </c>
      <c r="E83" s="80">
        <v>0.19</v>
      </c>
      <c r="F83" s="80">
        <v>0.19</v>
      </c>
      <c r="G83" s="80">
        <v>0.19</v>
      </c>
      <c r="H83" s="80">
        <v>0.19</v>
      </c>
      <c r="I83" s="80"/>
      <c r="J83" s="80"/>
      <c r="K83" s="80"/>
      <c r="L83" s="80"/>
      <c r="M83" s="39">
        <f t="shared" si="6"/>
        <v>33.459999999999994</v>
      </c>
    </row>
    <row r="84" spans="1:108" x14ac:dyDescent="0.3">
      <c r="B84" s="7" t="s">
        <v>98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99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0.4531687800000001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0.4531687800000001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3.2777399999999998E-2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3.2777399999999998E-2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3.2777399999999998E-2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3.2777399999999998E-2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1.0374471600000001</v>
      </c>
    </row>
    <row r="86" spans="1:108" s="16" customFormat="1" x14ac:dyDescent="0.3">
      <c r="A86" s="18"/>
      <c r="B86" s="19" t="s">
        <v>100</v>
      </c>
      <c r="C86" s="81">
        <f>C79+C80+C85</f>
        <v>0.88029878000000017</v>
      </c>
      <c r="D86" s="81">
        <f t="shared" ref="D86:L86" si="8">D79+D80+D85</f>
        <v>0.88029878000000017</v>
      </c>
      <c r="E86" s="81">
        <f t="shared" si="8"/>
        <v>0.22887739999999995</v>
      </c>
      <c r="F86" s="81">
        <f t="shared" si="8"/>
        <v>0.22887739999999995</v>
      </c>
      <c r="G86" s="81">
        <f t="shared" si="8"/>
        <v>0.22887739999999995</v>
      </c>
      <c r="H86" s="81">
        <f t="shared" si="8"/>
        <v>0.22887739999999995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2.6761071600000004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101</v>
      </c>
      <c r="C87" s="20">
        <f>((C64+C65+C66)/1000*44/28*'(ne pas modifier) BDD_REF'!$B$232)+'RECeff + REIamont (2)'!C76+'RECeff + REIamont (2)'!C86</f>
        <v>1.6849719657142859</v>
      </c>
      <c r="D87" s="20">
        <f>((D64+D65+D66)/1000*44/28*'(ne pas modifier) BDD_REF'!$B$232)+'RECeff + REIamont (2)'!D76+'RECeff + REIamont (2)'!D86</f>
        <v>1.6849719657142859</v>
      </c>
      <c r="E87" s="20">
        <f>((E64+E65+E66)/1000*44/28*'(ne pas modifier) BDD_REF'!$B$232)+'RECeff + REIamont (2)'!E76+'RECeff + REIamont (2)'!E86</f>
        <v>1.0088896857142855</v>
      </c>
      <c r="F87" s="20">
        <f>((F64+F65+F66)/1000*44/28*'(ne pas modifier) BDD_REF'!$B$232)+'RECeff + REIamont (2)'!F76+'RECeff + REIamont (2)'!F86</f>
        <v>1.0088896857142855</v>
      </c>
      <c r="G87" s="20">
        <f>((G64+G65+G66)/1000*44/28*'(ne pas modifier) BDD_REF'!$B$232)+'RECeff + REIamont (2)'!G76+'RECeff + REIamont (2)'!G86</f>
        <v>1.0088896857142855</v>
      </c>
      <c r="H87" s="20">
        <f>((H64+H65+H66)/1000*44/28*'(ne pas modifier) BDD_REF'!$B$232)+'RECeff + REIamont (2)'!H76+'RECeff + REIamont (2)'!H86</f>
        <v>1.0088896857142855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7.4055026742857128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105</v>
      </c>
      <c r="B88" s="7" t="s">
        <v>74</v>
      </c>
      <c r="C88" s="80">
        <v>33</v>
      </c>
      <c r="D88" s="80">
        <v>33</v>
      </c>
      <c r="E88" s="80">
        <v>30</v>
      </c>
      <c r="F88" s="80">
        <v>30</v>
      </c>
      <c r="G88" s="80">
        <v>30</v>
      </c>
      <c r="H88" s="80">
        <v>30</v>
      </c>
      <c r="I88" s="80"/>
      <c r="J88" s="80"/>
      <c r="K88" s="80"/>
      <c r="L88" s="80"/>
      <c r="M88" s="39">
        <f t="shared" si="6"/>
        <v>186</v>
      </c>
    </row>
    <row r="89" spans="1:108" x14ac:dyDescent="0.3">
      <c r="B89" s="7" t="s">
        <v>75</v>
      </c>
      <c r="C89" s="80">
        <v>30</v>
      </c>
      <c r="D89" s="80">
        <v>30</v>
      </c>
      <c r="E89" s="80">
        <v>30</v>
      </c>
      <c r="F89" s="80">
        <v>30</v>
      </c>
      <c r="G89" s="80">
        <v>30</v>
      </c>
      <c r="H89" s="80">
        <v>30</v>
      </c>
      <c r="I89" s="80"/>
      <c r="J89" s="80"/>
      <c r="K89" s="80"/>
      <c r="L89" s="80"/>
      <c r="M89" s="39">
        <f t="shared" si="6"/>
        <v>180</v>
      </c>
    </row>
    <row r="90" spans="1:108" x14ac:dyDescent="0.3">
      <c r="B90" s="7" t="s">
        <v>76</v>
      </c>
      <c r="C90" s="80">
        <v>0</v>
      </c>
      <c r="D90" s="80">
        <v>0</v>
      </c>
      <c r="E90" s="80">
        <v>0</v>
      </c>
      <c r="F90" s="80">
        <v>0</v>
      </c>
      <c r="G90" s="80">
        <v>0</v>
      </c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77</v>
      </c>
      <c r="C91" s="39">
        <f>C88*'(ne pas modifier) BDD_REF'!$B$207 + (C89+C90)*'(ne pas modifier) BDD_REF'!$B$208</f>
        <v>0.70799999999999996</v>
      </c>
      <c r="D91" s="39">
        <f>D88*'(ne pas modifier) BDD_REF'!$B$207 + (D89+D90)*'(ne pas modifier) BDD_REF'!$B$208</f>
        <v>0.70799999999999996</v>
      </c>
      <c r="E91" s="39">
        <f>E88*'(ne pas modifier) BDD_REF'!$B$207 + (E89+E90)*'(ne pas modifier) BDD_REF'!$B$208</f>
        <v>0.65999999999999992</v>
      </c>
      <c r="F91" s="39">
        <f>F88*'(ne pas modifier) BDD_REF'!$B$207 + (F89+F90)*'(ne pas modifier) BDD_REF'!$B$208</f>
        <v>0.65999999999999992</v>
      </c>
      <c r="G91" s="39">
        <f>G88*'(ne pas modifier) BDD_REF'!$B$207 + (G89+G90)*'(ne pas modifier) BDD_REF'!$B$208</f>
        <v>0.65999999999999992</v>
      </c>
      <c r="H91" s="39">
        <f>H88*'(ne pas modifier) BDD_REF'!$B$207 + (H89+H90)*'(ne pas modifier) BDD_REF'!$B$208</f>
        <v>0.65999999999999992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4.056</v>
      </c>
    </row>
    <row r="92" spans="1:108" x14ac:dyDescent="0.3">
      <c r="B92" s="19" t="s">
        <v>78</v>
      </c>
      <c r="C92" s="39">
        <f>((C88*'(ne pas modifier) BDD_REF'!$B$220)+('RECeff + REIamont (2)'!C89+'RECeff + REIamont (2)'!C90)*'(ne pas modifier) BDD_REF'!$B$221)*'(ne pas modifier) BDD_REF'!$B$209</f>
        <v>9.9299999999999999E-2</v>
      </c>
      <c r="D92" s="39">
        <f>((D88*'(ne pas modifier) BDD_REF'!$B$220)+('RECeff + REIamont (2)'!D89+'RECeff + REIamont (2)'!D90)*'(ne pas modifier) BDD_REF'!$B$221)*'(ne pas modifier) BDD_REF'!$B$209</f>
        <v>9.9299999999999999E-2</v>
      </c>
      <c r="E92" s="39">
        <f>((E88*'(ne pas modifier) BDD_REF'!$B$220)+('RECeff + REIamont (2)'!E89+'RECeff + REIamont (2)'!E90)*'(ne pas modifier) BDD_REF'!$B$221)*'(ne pas modifier) BDD_REF'!$B$209</f>
        <v>9.6000000000000002E-2</v>
      </c>
      <c r="F92" s="39">
        <f>((F88*'(ne pas modifier) BDD_REF'!$B$220)+('RECeff + REIamont (2)'!F89+'RECeff + REIamont (2)'!F90)*'(ne pas modifier) BDD_REF'!$B$221)*'(ne pas modifier) BDD_REF'!$B$209</f>
        <v>9.6000000000000002E-2</v>
      </c>
      <c r="G92" s="39">
        <f>((G88*'(ne pas modifier) BDD_REF'!$B$220)+('RECeff + REIamont (2)'!G89+'RECeff + REIamont (2)'!G90)*'(ne pas modifier) BDD_REF'!$B$221)*'(ne pas modifier) BDD_REF'!$B$209</f>
        <v>9.6000000000000002E-2</v>
      </c>
      <c r="H92" s="39">
        <f>((H88*'(ne pas modifier) BDD_REF'!$B$220)+('RECeff + REIamont (2)'!H89+'RECeff + REIamont (2)'!H90)*'(ne pas modifier) BDD_REF'!$B$221)*'(ne pas modifier) BDD_REF'!$B$209</f>
        <v>9.6000000000000002E-2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0.5825999999999999</v>
      </c>
    </row>
    <row r="93" spans="1:108" x14ac:dyDescent="0.3">
      <c r="B93" s="19" t="s">
        <v>79</v>
      </c>
      <c r="C93" s="39">
        <f>(C88+C89+C90)*'(ne pas modifier) BDD_REF'!$B$222*'(ne pas modifier) BDD_REF'!$B$210</f>
        <v>0.16631999999999997</v>
      </c>
      <c r="D93" s="39">
        <f>(D88+D89+D90)*'(ne pas modifier) BDD_REF'!$B$222*'(ne pas modifier) BDD_REF'!$B$210</f>
        <v>0.16631999999999997</v>
      </c>
      <c r="E93" s="39">
        <f>(E88+E89+E90)*'(ne pas modifier) BDD_REF'!$B$222*'(ne pas modifier) BDD_REF'!$B$210</f>
        <v>0.15839999999999999</v>
      </c>
      <c r="F93" s="39">
        <f>(F88+F89+F90)*'(ne pas modifier) BDD_REF'!$B$222*'(ne pas modifier) BDD_REF'!$B$210</f>
        <v>0.15839999999999999</v>
      </c>
      <c r="G93" s="39">
        <f>(G88+G89+G90)*'(ne pas modifier) BDD_REF'!$B$222*'(ne pas modifier) BDD_REF'!$B$210</f>
        <v>0.15839999999999999</v>
      </c>
      <c r="H93" s="39">
        <f>(H88+H89+H90)*'(ne pas modifier) BDD_REF'!$B$222*'(ne pas modifier) BDD_REF'!$B$210</f>
        <v>0.15839999999999999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0.96623999999999988</v>
      </c>
    </row>
    <row r="94" spans="1:108" x14ac:dyDescent="0.3">
      <c r="B94" s="7" t="s">
        <v>80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81</v>
      </c>
      <c r="C95" s="80">
        <v>130</v>
      </c>
      <c r="D95" s="80">
        <v>130</v>
      </c>
      <c r="E95" s="80">
        <v>130</v>
      </c>
      <c r="F95" s="80">
        <v>130</v>
      </c>
      <c r="G95" s="80">
        <v>130</v>
      </c>
      <c r="H95" s="80">
        <v>130</v>
      </c>
      <c r="I95" s="80"/>
      <c r="J95" s="80"/>
      <c r="K95" s="80"/>
      <c r="L95" s="80"/>
      <c r="M95" s="39">
        <f t="shared" si="6"/>
        <v>780</v>
      </c>
    </row>
    <row r="96" spans="1:108" x14ac:dyDescent="0.3">
      <c r="B96" s="7" t="s">
        <v>82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83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84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85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86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0.39922999999999997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0.39922999999999997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0.39922999999999997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0.39922999999999997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0.39922999999999997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0.39922999999999997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2.3953799999999998</v>
      </c>
    </row>
    <row r="101" spans="1:108" x14ac:dyDescent="0.3">
      <c r="B101" s="7" t="s">
        <v>87</v>
      </c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0</v>
      </c>
    </row>
    <row r="102" spans="1:108" x14ac:dyDescent="0.3">
      <c r="B102" s="3" t="s">
        <v>88</v>
      </c>
      <c r="C102" s="39">
        <f>(C101*'(ne pas modifier) BDD_REF'!$B$211)/1000</f>
        <v>0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0</v>
      </c>
    </row>
    <row r="103" spans="1:108" s="16" customFormat="1" x14ac:dyDescent="0.3">
      <c r="A103" s="18"/>
      <c r="B103" s="19" t="s">
        <v>89</v>
      </c>
      <c r="C103" s="81">
        <f>C100+C102</f>
        <v>0.39922999999999997</v>
      </c>
      <c r="D103" s="81">
        <f t="shared" ref="D103:L103" si="9">D100+D102</f>
        <v>0.39922999999999997</v>
      </c>
      <c r="E103" s="81">
        <f t="shared" si="9"/>
        <v>0.39922999999999997</v>
      </c>
      <c r="F103" s="81">
        <f t="shared" si="9"/>
        <v>0.39922999999999997</v>
      </c>
      <c r="G103" s="81">
        <f t="shared" si="9"/>
        <v>0.39922999999999997</v>
      </c>
      <c r="H103" s="81">
        <f t="shared" si="9"/>
        <v>0.39922999999999997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2.3953799999999998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90</v>
      </c>
      <c r="C104" s="80">
        <v>165</v>
      </c>
      <c r="D104" s="80">
        <v>15</v>
      </c>
      <c r="E104" s="80">
        <v>15</v>
      </c>
      <c r="F104" s="80">
        <v>15</v>
      </c>
      <c r="G104" s="80">
        <v>15</v>
      </c>
      <c r="H104" s="80">
        <v>15</v>
      </c>
      <c r="I104" s="80"/>
      <c r="J104" s="80"/>
      <c r="K104" s="80"/>
      <c r="L104" s="80"/>
      <c r="M104" s="39">
        <f t="shared" si="10"/>
        <v>240</v>
      </c>
    </row>
    <row r="105" spans="1:108" x14ac:dyDescent="0.3">
      <c r="B105" s="7" t="s">
        <v>91</v>
      </c>
      <c r="C105" s="80">
        <v>55</v>
      </c>
      <c r="D105" s="80">
        <v>55</v>
      </c>
      <c r="E105" s="80">
        <v>55</v>
      </c>
      <c r="F105" s="80">
        <v>55</v>
      </c>
      <c r="G105" s="80">
        <v>55</v>
      </c>
      <c r="H105" s="80">
        <v>55</v>
      </c>
      <c r="I105" s="80"/>
      <c r="J105" s="80"/>
      <c r="K105" s="80"/>
      <c r="L105" s="80"/>
      <c r="M105" s="39">
        <f t="shared" si="10"/>
        <v>330</v>
      </c>
    </row>
    <row r="106" spans="1:108" x14ac:dyDescent="0.3">
      <c r="B106" s="3" t="s">
        <v>92</v>
      </c>
      <c r="C106" s="39">
        <f>(C88*'(ne pas modifier) BDD_REF'!$B$212+'RECeff + REIamont (2)'!C104*'(ne pas modifier) BDD_REF'!$B$213+'RECeff + REIamont (2)'!C105*'(ne pas modifier) BDD_REF'!$B$214)/1000</f>
        <v>0.42713000000000001</v>
      </c>
      <c r="D106" s="39">
        <f>(D88*'(ne pas modifier) BDD_REF'!$B$212+'RECeff + REIamont (2)'!D104*'(ne pas modifier) BDD_REF'!$B$213+'RECeff + REIamont (2)'!D105*'(ne pas modifier) BDD_REF'!$B$214)/1000</f>
        <v>0.20962999999999998</v>
      </c>
      <c r="E106" s="39">
        <f>(E88*'(ne pas modifier) BDD_REF'!$B$212+'RECeff + REIamont (2)'!E104*'(ne pas modifier) BDD_REF'!$B$213+'RECeff + REIamont (2)'!E105*'(ne pas modifier) BDD_REF'!$B$214)/1000</f>
        <v>0.19609999999999997</v>
      </c>
      <c r="F106" s="39">
        <f>(F88*'(ne pas modifier) BDD_REF'!$B$212+'RECeff + REIamont (2)'!F104*'(ne pas modifier) BDD_REF'!$B$213+'RECeff + REIamont (2)'!F105*'(ne pas modifier) BDD_REF'!$B$214)/1000</f>
        <v>0.19609999999999997</v>
      </c>
      <c r="G106" s="39">
        <f>(G88*'(ne pas modifier) BDD_REF'!$B$212+'RECeff + REIamont (2)'!G104*'(ne pas modifier) BDD_REF'!$B$213+'RECeff + REIamont (2)'!G105*'(ne pas modifier) BDD_REF'!$B$214)/1000</f>
        <v>0.19609999999999997</v>
      </c>
      <c r="H106" s="39">
        <f>(H88*'(ne pas modifier) BDD_REF'!$B$212+'RECeff + REIamont (2)'!H104*'(ne pas modifier) BDD_REF'!$B$213+'RECeff + REIamont (2)'!H105*'(ne pas modifier) BDD_REF'!$B$214)/1000</f>
        <v>0.19609999999999997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1.4211599999999998</v>
      </c>
    </row>
    <row r="107" spans="1:108" hidden="1" x14ac:dyDescent="0.3">
      <c r="A107" s="17" t="s">
        <v>103</v>
      </c>
      <c r="B107" s="3" t="s">
        <v>93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95</v>
      </c>
      <c r="C108" s="80">
        <v>6.22</v>
      </c>
      <c r="D108" s="80">
        <v>4.66</v>
      </c>
      <c r="E108" s="80">
        <v>4.66</v>
      </c>
      <c r="F108" s="80">
        <v>4.66</v>
      </c>
      <c r="G108" s="80">
        <v>4.66</v>
      </c>
      <c r="H108" s="80">
        <v>4.66</v>
      </c>
      <c r="I108" s="80"/>
      <c r="J108" s="80"/>
      <c r="K108" s="80"/>
      <c r="L108" s="80"/>
      <c r="M108" s="39">
        <f t="shared" si="10"/>
        <v>29.52</v>
      </c>
    </row>
    <row r="109" spans="1:108" x14ac:dyDescent="0.3">
      <c r="B109" s="7" t="s">
        <v>96</v>
      </c>
      <c r="C109" s="80">
        <v>0.54</v>
      </c>
      <c r="D109" s="80">
        <v>0</v>
      </c>
      <c r="E109" s="80">
        <v>0</v>
      </c>
      <c r="F109" s="80">
        <v>0</v>
      </c>
      <c r="G109" s="80">
        <v>0</v>
      </c>
      <c r="H109" s="80">
        <v>0</v>
      </c>
      <c r="I109" s="80"/>
      <c r="J109" s="80"/>
      <c r="K109" s="80"/>
      <c r="L109" s="80"/>
      <c r="M109" s="39">
        <f t="shared" si="10"/>
        <v>0.54</v>
      </c>
    </row>
    <row r="110" spans="1:108" x14ac:dyDescent="0.3">
      <c r="B110" s="7" t="s">
        <v>97</v>
      </c>
      <c r="C110" s="80">
        <v>16.350000000000001</v>
      </c>
      <c r="D110" s="80">
        <v>0.19</v>
      </c>
      <c r="E110" s="80">
        <v>0.19</v>
      </c>
      <c r="F110" s="80">
        <v>0.19</v>
      </c>
      <c r="G110" s="80">
        <v>0.19</v>
      </c>
      <c r="H110" s="80">
        <v>0.19</v>
      </c>
      <c r="I110" s="80"/>
      <c r="J110" s="80"/>
      <c r="K110" s="80"/>
      <c r="L110" s="80"/>
      <c r="M110" s="39">
        <f t="shared" si="10"/>
        <v>17.300000000000008</v>
      </c>
    </row>
    <row r="111" spans="1:108" x14ac:dyDescent="0.3">
      <c r="B111" s="7" t="s">
        <v>98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99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0.4531687800000001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3.2777399999999998E-2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3.2777399999999998E-2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3.2777399999999998E-2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3.2777399999999998E-2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3.2777399999999998E-2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0.61705577999999994</v>
      </c>
    </row>
    <row r="113" spans="1:108" s="16" customFormat="1" x14ac:dyDescent="0.3">
      <c r="A113" s="18"/>
      <c r="B113" s="19" t="s">
        <v>100</v>
      </c>
      <c r="C113" s="81">
        <f>C106+C107+C112</f>
        <v>0.88029878000000017</v>
      </c>
      <c r="D113" s="81">
        <f t="shared" ref="D113:L113" si="11">D106+D107+D112</f>
        <v>0.2424074</v>
      </c>
      <c r="E113" s="81">
        <f t="shared" si="11"/>
        <v>0.22887739999999995</v>
      </c>
      <c r="F113" s="81">
        <f t="shared" si="11"/>
        <v>0.22887739999999995</v>
      </c>
      <c r="G113" s="81">
        <f t="shared" si="11"/>
        <v>0.22887739999999995</v>
      </c>
      <c r="H113" s="81">
        <f t="shared" si="11"/>
        <v>0.22887739999999995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2.0382157800000003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101</v>
      </c>
      <c r="C114" s="20">
        <f>((C91+C92+C93)/1000*44/28*'(ne pas modifier) BDD_REF'!$B$232)+'RECeff + REIamont (2)'!C103+'RECeff + REIamont (2)'!C113</f>
        <v>1.6849719657142859</v>
      </c>
      <c r="D114" s="20">
        <f>((D91+D92+D93)/1000*44/28*'(ne pas modifier) BDD_REF'!$B$232)+'RECeff + REIamont (2)'!D103+'RECeff + REIamont (2)'!D113</f>
        <v>1.0470805857142857</v>
      </c>
      <c r="E114" s="20">
        <f>((E91+E92+E93)/1000*44/28*'(ne pas modifier) BDD_REF'!$B$232)+'RECeff + REIamont (2)'!E103+'RECeff + REIamont (2)'!E113</f>
        <v>1.0088896857142855</v>
      </c>
      <c r="F114" s="20">
        <f>((F91+F92+F93)/1000*44/28*'(ne pas modifier) BDD_REF'!$B$232)+'RECeff + REIamont (2)'!F103+'RECeff + REIamont (2)'!F113</f>
        <v>1.0088896857142855</v>
      </c>
      <c r="G114" s="20">
        <f>((G91+G92+G93)/1000*44/28*'(ne pas modifier) BDD_REF'!$B$232)+'RECeff + REIamont (2)'!G103+'RECeff + REIamont (2)'!G113</f>
        <v>1.0088896857142855</v>
      </c>
      <c r="H114" s="20">
        <f>((H91+H92+H93)/1000*44/28*'(ne pas modifier) BDD_REF'!$B$232)+'RECeff + REIamont (2)'!H103+'RECeff + REIamont (2)'!H113</f>
        <v>1.0088896857142855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6.7676112942857127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106</v>
      </c>
      <c r="B115" s="7" t="s">
        <v>74</v>
      </c>
      <c r="C115" s="80">
        <v>33</v>
      </c>
      <c r="D115" s="80">
        <v>33</v>
      </c>
      <c r="E115" s="80">
        <v>30</v>
      </c>
      <c r="F115" s="80">
        <v>30</v>
      </c>
      <c r="G115" s="80">
        <v>30</v>
      </c>
      <c r="H115" s="80">
        <v>30</v>
      </c>
      <c r="I115" s="80"/>
      <c r="J115" s="80"/>
      <c r="K115" s="80"/>
      <c r="L115" s="80"/>
      <c r="M115" s="39">
        <f t="shared" si="10"/>
        <v>186</v>
      </c>
    </row>
    <row r="116" spans="1:108" x14ac:dyDescent="0.3">
      <c r="B116" s="7" t="s">
        <v>75</v>
      </c>
      <c r="C116" s="80">
        <v>30</v>
      </c>
      <c r="D116" s="80">
        <v>30</v>
      </c>
      <c r="E116" s="80">
        <v>30</v>
      </c>
      <c r="F116" s="80">
        <v>30</v>
      </c>
      <c r="G116" s="80">
        <v>30</v>
      </c>
      <c r="H116" s="80">
        <v>30</v>
      </c>
      <c r="I116" s="80"/>
      <c r="J116" s="80"/>
      <c r="K116" s="80"/>
      <c r="L116" s="80"/>
      <c r="M116" s="39">
        <f t="shared" si="10"/>
        <v>180</v>
      </c>
    </row>
    <row r="117" spans="1:108" x14ac:dyDescent="0.3">
      <c r="B117" s="7" t="s">
        <v>76</v>
      </c>
      <c r="C117" s="80">
        <v>0</v>
      </c>
      <c r="D117" s="80">
        <v>0</v>
      </c>
      <c r="E117" s="80">
        <v>0</v>
      </c>
      <c r="F117" s="80">
        <v>0</v>
      </c>
      <c r="G117" s="80">
        <v>0</v>
      </c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77</v>
      </c>
      <c r="C118" s="39">
        <f>C115*'(ne pas modifier) BDD_REF'!$B$207 + (C116+C117)*'(ne pas modifier) BDD_REF'!$B$208</f>
        <v>0.70799999999999996</v>
      </c>
      <c r="D118" s="39">
        <f>D115*'(ne pas modifier) BDD_REF'!$B$207 + (D116+D117)*'(ne pas modifier) BDD_REF'!$B$208</f>
        <v>0.70799999999999996</v>
      </c>
      <c r="E118" s="39">
        <f>E115*'(ne pas modifier) BDD_REF'!$B$207 + (E116+E117)*'(ne pas modifier) BDD_REF'!$B$208</f>
        <v>0.65999999999999992</v>
      </c>
      <c r="F118" s="39">
        <f>F115*'(ne pas modifier) BDD_REF'!$B$207 + (F116+F117)*'(ne pas modifier) BDD_REF'!$B$208</f>
        <v>0.65999999999999992</v>
      </c>
      <c r="G118" s="39">
        <f>G115*'(ne pas modifier) BDD_REF'!$B$207 + (G116+G117)*'(ne pas modifier) BDD_REF'!$B$208</f>
        <v>0.65999999999999992</v>
      </c>
      <c r="H118" s="39">
        <f>H115*'(ne pas modifier) BDD_REF'!$B$207 + (H116+H117)*'(ne pas modifier) BDD_REF'!$B$208</f>
        <v>0.65999999999999992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4.056</v>
      </c>
    </row>
    <row r="119" spans="1:108" x14ac:dyDescent="0.3">
      <c r="B119" s="19" t="s">
        <v>78</v>
      </c>
      <c r="C119" s="39">
        <f>((C115*'(ne pas modifier) BDD_REF'!$B$220)+('RECeff + REIamont (2)'!C116+'RECeff + REIamont (2)'!C117)*'(ne pas modifier) BDD_REF'!$B$221)*'(ne pas modifier) BDD_REF'!$B$209</f>
        <v>9.9299999999999999E-2</v>
      </c>
      <c r="D119" s="39">
        <f>((D115*'(ne pas modifier) BDD_REF'!$B$220)+('RECeff + REIamont (2)'!D116+'RECeff + REIamont (2)'!D117)*'(ne pas modifier) BDD_REF'!$B$221)*'(ne pas modifier) BDD_REF'!$B$209</f>
        <v>9.9299999999999999E-2</v>
      </c>
      <c r="E119" s="39">
        <f>((E115*'(ne pas modifier) BDD_REF'!$B$220)+('RECeff + REIamont (2)'!E116+'RECeff + REIamont (2)'!E117)*'(ne pas modifier) BDD_REF'!$B$221)*'(ne pas modifier) BDD_REF'!$B$209</f>
        <v>9.6000000000000002E-2</v>
      </c>
      <c r="F119" s="39">
        <f>((F115*'(ne pas modifier) BDD_REF'!$B$220)+('RECeff + REIamont (2)'!F116+'RECeff + REIamont (2)'!F117)*'(ne pas modifier) BDD_REF'!$B$221)*'(ne pas modifier) BDD_REF'!$B$209</f>
        <v>9.6000000000000002E-2</v>
      </c>
      <c r="G119" s="39">
        <f>((G115*'(ne pas modifier) BDD_REF'!$B$220)+('RECeff + REIamont (2)'!G116+'RECeff + REIamont (2)'!G117)*'(ne pas modifier) BDD_REF'!$B$221)*'(ne pas modifier) BDD_REF'!$B$209</f>
        <v>9.6000000000000002E-2</v>
      </c>
      <c r="H119" s="39">
        <f>((H115*'(ne pas modifier) BDD_REF'!$B$220)+('RECeff + REIamont (2)'!H116+'RECeff + REIamont (2)'!H117)*'(ne pas modifier) BDD_REF'!$B$221)*'(ne pas modifier) BDD_REF'!$B$209</f>
        <v>9.6000000000000002E-2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0.5825999999999999</v>
      </c>
    </row>
    <row r="120" spans="1:108" x14ac:dyDescent="0.3">
      <c r="B120" s="19" t="s">
        <v>79</v>
      </c>
      <c r="C120" s="39">
        <f>(C115+C116+C117)*'(ne pas modifier) BDD_REF'!$B$222*'(ne pas modifier) BDD_REF'!$B$210</f>
        <v>0.16631999999999997</v>
      </c>
      <c r="D120" s="39">
        <f>(D115+D116+D117)*'(ne pas modifier) BDD_REF'!$B$222*'(ne pas modifier) BDD_REF'!$B$210</f>
        <v>0.16631999999999997</v>
      </c>
      <c r="E120" s="39">
        <f>(E115+E116+E117)*'(ne pas modifier) BDD_REF'!$B$222*'(ne pas modifier) BDD_REF'!$B$210</f>
        <v>0.15839999999999999</v>
      </c>
      <c r="F120" s="39">
        <f>(F115+F116+F117)*'(ne pas modifier) BDD_REF'!$B$222*'(ne pas modifier) BDD_REF'!$B$210</f>
        <v>0.15839999999999999</v>
      </c>
      <c r="G120" s="39">
        <f>(G115+G116+G117)*'(ne pas modifier) BDD_REF'!$B$222*'(ne pas modifier) BDD_REF'!$B$210</f>
        <v>0.15839999999999999</v>
      </c>
      <c r="H120" s="39">
        <f>(H115+H116+H117)*'(ne pas modifier) BDD_REF'!$B$222*'(ne pas modifier) BDD_REF'!$B$210</f>
        <v>0.15839999999999999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0.96623999999999988</v>
      </c>
    </row>
    <row r="121" spans="1:108" x14ac:dyDescent="0.3">
      <c r="B121" s="7" t="s">
        <v>80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81</v>
      </c>
      <c r="C122" s="80">
        <v>130</v>
      </c>
      <c r="D122" s="80">
        <v>130</v>
      </c>
      <c r="E122" s="80">
        <v>130</v>
      </c>
      <c r="F122" s="80">
        <v>130</v>
      </c>
      <c r="G122" s="80">
        <v>130</v>
      </c>
      <c r="H122" s="80">
        <v>130</v>
      </c>
      <c r="I122" s="80"/>
      <c r="J122" s="80"/>
      <c r="K122" s="80"/>
      <c r="L122" s="80"/>
      <c r="M122" s="39">
        <f t="shared" si="10"/>
        <v>780</v>
      </c>
    </row>
    <row r="123" spans="1:108" x14ac:dyDescent="0.3">
      <c r="B123" s="7" t="s">
        <v>82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83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84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85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86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0.39922999999999997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0.39922999999999997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0.39922999999999997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0.39922999999999997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0.39922999999999997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0.39922999999999997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2.3953799999999998</v>
      </c>
    </row>
    <row r="128" spans="1:108" x14ac:dyDescent="0.3">
      <c r="B128" s="7" t="s">
        <v>87</v>
      </c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0</v>
      </c>
    </row>
    <row r="129" spans="1:108" x14ac:dyDescent="0.3">
      <c r="B129" s="3" t="s">
        <v>88</v>
      </c>
      <c r="C129" s="39">
        <f>(C128*'(ne pas modifier) BDD_REF'!$B$211)/1000</f>
        <v>0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0</v>
      </c>
    </row>
    <row r="130" spans="1:108" s="16" customFormat="1" x14ac:dyDescent="0.3">
      <c r="A130" s="18"/>
      <c r="B130" s="19" t="s">
        <v>89</v>
      </c>
      <c r="C130" s="81">
        <f>C127+C129</f>
        <v>0.39922999999999997</v>
      </c>
      <c r="D130" s="81">
        <f t="shared" ref="D130:L130" si="12">D127+D129</f>
        <v>0.39922999999999997</v>
      </c>
      <c r="E130" s="81">
        <f t="shared" si="12"/>
        <v>0.39922999999999997</v>
      </c>
      <c r="F130" s="81">
        <f t="shared" si="12"/>
        <v>0.39922999999999997</v>
      </c>
      <c r="G130" s="81">
        <f t="shared" si="12"/>
        <v>0.39922999999999997</v>
      </c>
      <c r="H130" s="81">
        <f t="shared" si="12"/>
        <v>0.39922999999999997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2.3953799999999998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90</v>
      </c>
      <c r="C131" s="80">
        <v>165</v>
      </c>
      <c r="D131" s="80">
        <v>165</v>
      </c>
      <c r="E131" s="80">
        <v>15</v>
      </c>
      <c r="F131" s="80">
        <v>15</v>
      </c>
      <c r="G131" s="80">
        <v>15</v>
      </c>
      <c r="H131" s="80">
        <v>15</v>
      </c>
      <c r="I131" s="80"/>
      <c r="J131" s="80"/>
      <c r="K131" s="80"/>
      <c r="L131" s="80"/>
      <c r="M131" s="39">
        <f t="shared" si="10"/>
        <v>390</v>
      </c>
    </row>
    <row r="132" spans="1:108" x14ac:dyDescent="0.3">
      <c r="B132" s="7" t="s">
        <v>91</v>
      </c>
      <c r="C132" s="80">
        <v>55</v>
      </c>
      <c r="D132" s="80">
        <v>55</v>
      </c>
      <c r="E132" s="80">
        <v>55</v>
      </c>
      <c r="F132" s="80">
        <v>55</v>
      </c>
      <c r="G132" s="80">
        <v>55</v>
      </c>
      <c r="H132" s="80">
        <v>55</v>
      </c>
      <c r="I132" s="80"/>
      <c r="J132" s="80"/>
      <c r="K132" s="80"/>
      <c r="L132" s="80"/>
      <c r="M132" s="39">
        <f t="shared" si="10"/>
        <v>330</v>
      </c>
    </row>
    <row r="133" spans="1:108" x14ac:dyDescent="0.3">
      <c r="B133" s="3" t="s">
        <v>92</v>
      </c>
      <c r="C133" s="39">
        <f>(C115*'(ne pas modifier) BDD_REF'!$B$212+'RECeff + REIamont (2)'!C131*'(ne pas modifier) BDD_REF'!$B$213+'RECeff + REIamont (2)'!C132*'(ne pas modifier) BDD_REF'!$B$214)/1000</f>
        <v>0.42713000000000001</v>
      </c>
      <c r="D133" s="39">
        <f>(D115*'(ne pas modifier) BDD_REF'!$B$212+'RECeff + REIamont (2)'!D131*'(ne pas modifier) BDD_REF'!$B$213+'RECeff + REIamont (2)'!D132*'(ne pas modifier) BDD_REF'!$B$214)/1000</f>
        <v>0.42713000000000001</v>
      </c>
      <c r="E133" s="39">
        <f>(E115*'(ne pas modifier) BDD_REF'!$B$212+'RECeff + REIamont (2)'!E131*'(ne pas modifier) BDD_REF'!$B$213+'RECeff + REIamont (2)'!E132*'(ne pas modifier) BDD_REF'!$B$214)/1000</f>
        <v>0.19609999999999997</v>
      </c>
      <c r="F133" s="39">
        <f>(F115*'(ne pas modifier) BDD_REF'!$B$212+'RECeff + REIamont (2)'!F131*'(ne pas modifier) BDD_REF'!$B$213+'RECeff + REIamont (2)'!F132*'(ne pas modifier) BDD_REF'!$B$214)/1000</f>
        <v>0.19609999999999997</v>
      </c>
      <c r="G133" s="39">
        <f>(G115*'(ne pas modifier) BDD_REF'!$B$212+'RECeff + REIamont (2)'!G131*'(ne pas modifier) BDD_REF'!$B$213+'RECeff + REIamont (2)'!G132*'(ne pas modifier) BDD_REF'!$B$214)/1000</f>
        <v>0.19609999999999997</v>
      </c>
      <c r="H133" s="39">
        <f>(H115*'(ne pas modifier) BDD_REF'!$B$212+'RECeff + REIamont (2)'!H131*'(ne pas modifier) BDD_REF'!$B$213+'RECeff + REIamont (2)'!H132*'(ne pas modifier) BDD_REF'!$B$214)/1000</f>
        <v>0.19609999999999997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1.6386599999999998</v>
      </c>
    </row>
    <row r="134" spans="1:108" hidden="1" x14ac:dyDescent="0.3">
      <c r="A134" s="17" t="s">
        <v>103</v>
      </c>
      <c r="B134" s="3" t="s">
        <v>93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95</v>
      </c>
      <c r="C135" s="80">
        <v>6.22</v>
      </c>
      <c r="D135" s="80">
        <v>6.22</v>
      </c>
      <c r="E135" s="80">
        <v>4.66</v>
      </c>
      <c r="F135" s="80">
        <v>4.66</v>
      </c>
      <c r="G135" s="80">
        <v>4.66</v>
      </c>
      <c r="H135" s="80">
        <v>4.66</v>
      </c>
      <c r="I135" s="80"/>
      <c r="J135" s="80"/>
      <c r="K135" s="80"/>
      <c r="L135" s="80"/>
      <c r="M135" s="39">
        <f t="shared" ref="M135:M142" si="13">SUM(C135:L135)</f>
        <v>31.080000000000002</v>
      </c>
    </row>
    <row r="136" spans="1:108" x14ac:dyDescent="0.3">
      <c r="B136" s="7" t="s">
        <v>96</v>
      </c>
      <c r="C136" s="80">
        <v>0.54</v>
      </c>
      <c r="D136" s="80">
        <v>0.54</v>
      </c>
      <c r="E136" s="80">
        <v>0</v>
      </c>
      <c r="F136" s="80">
        <v>0</v>
      </c>
      <c r="G136" s="80">
        <v>0</v>
      </c>
      <c r="H136" s="80">
        <v>0</v>
      </c>
      <c r="I136" s="80"/>
      <c r="J136" s="80"/>
      <c r="K136" s="80"/>
      <c r="L136" s="80"/>
      <c r="M136" s="39">
        <f t="shared" si="13"/>
        <v>1.08</v>
      </c>
    </row>
    <row r="137" spans="1:108" x14ac:dyDescent="0.3">
      <c r="B137" s="7" t="s">
        <v>97</v>
      </c>
      <c r="C137" s="80">
        <v>16.350000000000001</v>
      </c>
      <c r="D137" s="80">
        <v>16.350000000000001</v>
      </c>
      <c r="E137" s="80">
        <v>0.19</v>
      </c>
      <c r="F137" s="80">
        <v>0.19</v>
      </c>
      <c r="G137" s="80">
        <v>0.19</v>
      </c>
      <c r="H137" s="80">
        <v>0.19</v>
      </c>
      <c r="I137" s="80"/>
      <c r="J137" s="80"/>
      <c r="K137" s="80"/>
      <c r="L137" s="80"/>
      <c r="M137" s="39">
        <f t="shared" si="13"/>
        <v>33.459999999999994</v>
      </c>
    </row>
    <row r="138" spans="1:108" x14ac:dyDescent="0.3">
      <c r="B138" s="7" t="s">
        <v>98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99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0.4531687800000001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0.4531687800000001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3.2777399999999998E-2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3.2777399999999998E-2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3.2777399999999998E-2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3.2777399999999998E-2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1.0374471600000001</v>
      </c>
    </row>
    <row r="140" spans="1:108" s="16" customFormat="1" x14ac:dyDescent="0.3">
      <c r="A140" s="18"/>
      <c r="B140" s="19" t="s">
        <v>100</v>
      </c>
      <c r="C140" s="81">
        <f>C133+C134+C139</f>
        <v>0.88029878000000017</v>
      </c>
      <c r="D140" s="81">
        <f t="shared" ref="D140:L140" si="14">D133+D134+D139</f>
        <v>0.88029878000000017</v>
      </c>
      <c r="E140" s="81">
        <f t="shared" si="14"/>
        <v>0.22887739999999995</v>
      </c>
      <c r="F140" s="81">
        <f t="shared" si="14"/>
        <v>0.22887739999999995</v>
      </c>
      <c r="G140" s="81">
        <f t="shared" si="14"/>
        <v>0.22887739999999995</v>
      </c>
      <c r="H140" s="81">
        <f t="shared" si="14"/>
        <v>0.22887739999999995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2.6761071600000004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101</v>
      </c>
      <c r="C141" s="20">
        <f>((C118+C119+C120)/1000*44/28*'(ne pas modifier) BDD_REF'!$B$232)+'RECeff + REIamont (2)'!C130+'RECeff + REIamont (2)'!C140</f>
        <v>1.6849719657142859</v>
      </c>
      <c r="D141" s="20">
        <f>((D118+D119+D120)/1000*44/28*'(ne pas modifier) BDD_REF'!$B$232)+'RECeff + REIamont (2)'!D130+'RECeff + REIamont (2)'!D140</f>
        <v>1.6849719657142859</v>
      </c>
      <c r="E141" s="20">
        <f>((E118+E119+E120)/1000*44/28*'(ne pas modifier) BDD_REF'!$B$232)+'RECeff + REIamont (2)'!E130+'RECeff + REIamont (2)'!E140</f>
        <v>1.0088896857142855</v>
      </c>
      <c r="F141" s="20">
        <f>((F118+F119+F120)/1000*44/28*'(ne pas modifier) BDD_REF'!$B$232)+'RECeff + REIamont (2)'!F130+'RECeff + REIamont (2)'!F140</f>
        <v>1.0088896857142855</v>
      </c>
      <c r="G141" s="20">
        <f>((G118+G119+G120)/1000*44/28*'(ne pas modifier) BDD_REF'!$B$232)+'RECeff + REIamont (2)'!G130+'RECeff + REIamont (2)'!G140</f>
        <v>1.0088896857142855</v>
      </c>
      <c r="H141" s="20">
        <f>((H118+H119+H120)/1000*44/28*'(ne pas modifier) BDD_REF'!$B$232)+'RECeff + REIamont (2)'!H130+'RECeff + REIamont (2)'!H140</f>
        <v>1.0088896857142855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7.4055026742857128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107</v>
      </c>
      <c r="C142" s="71">
        <f>C33+C60+C87+C114+C141</f>
        <v>8.4248598285714298</v>
      </c>
      <c r="D142" s="71">
        <f t="shared" ref="D142:L142" si="15">D33+D60+D87+D114+D141</f>
        <v>7.7869684485714288</v>
      </c>
      <c r="E142" s="71">
        <f t="shared" si="15"/>
        <v>5.0444484285714273</v>
      </c>
      <c r="F142" s="71">
        <f t="shared" si="15"/>
        <v>5.0444484285714273</v>
      </c>
      <c r="G142" s="71">
        <f t="shared" si="15"/>
        <v>5.0444484285714273</v>
      </c>
      <c r="H142" s="71">
        <f t="shared" si="15"/>
        <v>5.0444484285714273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36.389621991428569</v>
      </c>
    </row>
    <row r="143" spans="1:108" x14ac:dyDescent="0.3">
      <c r="B143" s="71" t="s">
        <v>108</v>
      </c>
      <c r="C143" s="71">
        <f>(C142-C5*5)</f>
        <v>-6.1592678406985719</v>
      </c>
      <c r="D143" s="71">
        <f t="shared" ref="D143:L143" si="16">(D142-D5*5)</f>
        <v>-6.7971592206985729</v>
      </c>
      <c r="E143" s="71">
        <f t="shared" si="16"/>
        <v>-3.6800172399385742</v>
      </c>
      <c r="F143" s="71">
        <f t="shared" si="16"/>
        <v>-3.6800172399385742</v>
      </c>
      <c r="G143" s="71">
        <f t="shared" si="16"/>
        <v>-3.6800172399385742</v>
      </c>
      <c r="H143" s="71">
        <f t="shared" si="16"/>
        <v>-8.5854716920367409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109</v>
      </c>
      <c r="C144" s="21">
        <f>C143*Eligibilité_projet!B8</f>
        <v>-36.955607044191431</v>
      </c>
      <c r="D144" s="21">
        <f>D143*Eligibilité_projet!C8</f>
        <v>-33.985796103492866</v>
      </c>
      <c r="E144" s="21">
        <f>E143*Eligibilité_projet!D8</f>
        <v>-18.400086199692872</v>
      </c>
      <c r="F144" s="21">
        <f>F143*Eligibilité_projet!E8</f>
        <v>-12.880060339785009</v>
      </c>
      <c r="G144" s="21">
        <f>G143*Eligibilité_projet!F8</f>
        <v>-12.880060339785009</v>
      </c>
      <c r="H144" s="21">
        <f>H143*Eligibilité_projet!G8</f>
        <v>-34.341886768146964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-149.44349679509415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zoomScale="70" zoomScaleNormal="70" workbookViewId="0">
      <selection activeCell="G14" sqref="G14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2" t="s">
        <v>110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67</v>
      </c>
      <c r="N4" s="2"/>
      <c r="O4" s="2"/>
      <c r="P4" s="2"/>
    </row>
    <row r="5" spans="1:16" x14ac:dyDescent="0.3">
      <c r="A5" s="13" t="s">
        <v>111</v>
      </c>
      <c r="B5" s="7" t="s">
        <v>112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113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114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115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73</v>
      </c>
      <c r="B9" s="7" t="s">
        <v>116</v>
      </c>
      <c r="C9" s="32"/>
      <c r="D9" s="32">
        <v>0</v>
      </c>
      <c r="E9" s="32">
        <v>0</v>
      </c>
      <c r="F9" s="32">
        <v>0</v>
      </c>
      <c r="G9" s="32">
        <v>0</v>
      </c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102</v>
      </c>
      <c r="B10" s="7" t="s">
        <v>116</v>
      </c>
      <c r="C10" s="32"/>
      <c r="D10" s="32">
        <v>0</v>
      </c>
      <c r="E10" s="32">
        <v>0</v>
      </c>
      <c r="F10" s="32">
        <v>0</v>
      </c>
      <c r="G10" s="32">
        <v>0</v>
      </c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104</v>
      </c>
      <c r="B11" s="7" t="s">
        <v>116</v>
      </c>
      <c r="C11" s="32"/>
      <c r="D11" s="32">
        <v>0</v>
      </c>
      <c r="E11" s="32">
        <v>0</v>
      </c>
      <c r="F11" s="32">
        <v>0</v>
      </c>
      <c r="G11" s="32">
        <v>0</v>
      </c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105</v>
      </c>
      <c r="B12" s="7" t="s">
        <v>116</v>
      </c>
      <c r="C12" s="32"/>
      <c r="D12" s="32">
        <v>0</v>
      </c>
      <c r="E12" s="32">
        <v>0</v>
      </c>
      <c r="F12" s="32">
        <v>0</v>
      </c>
      <c r="G12" s="32">
        <v>0</v>
      </c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106</v>
      </c>
      <c r="B13" s="7" t="s">
        <v>116</v>
      </c>
      <c r="C13" s="32"/>
      <c r="D13" s="32">
        <f>0.3*5</f>
        <v>1.5</v>
      </c>
      <c r="E13" s="32">
        <f>0.3*3.5</f>
        <v>1.05</v>
      </c>
      <c r="F13" s="32">
        <f>0.3*3.5</f>
        <v>1.05</v>
      </c>
      <c r="G13" s="32">
        <f>0.3*4</f>
        <v>1.2</v>
      </c>
      <c r="H13" s="32"/>
      <c r="I13" s="32"/>
      <c r="J13" s="32"/>
      <c r="K13" s="32"/>
      <c r="L13" s="32"/>
      <c r="M13" s="22">
        <f t="shared" si="0"/>
        <v>4.8</v>
      </c>
    </row>
    <row r="14" spans="1:16" ht="28.8" x14ac:dyDescent="0.3">
      <c r="B14" s="19" t="s">
        <v>117</v>
      </c>
      <c r="C14" s="22">
        <f t="shared" ref="C14:L14" si="2">SUM(C9:C13)</f>
        <v>0</v>
      </c>
      <c r="D14" s="22">
        <f t="shared" si="2"/>
        <v>1.5</v>
      </c>
      <c r="E14" s="22">
        <f t="shared" si="2"/>
        <v>1.05</v>
      </c>
      <c r="F14" s="22">
        <f t="shared" si="2"/>
        <v>1.05</v>
      </c>
      <c r="G14" s="22">
        <f t="shared" si="2"/>
        <v>1.2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4.8</v>
      </c>
    </row>
    <row r="15" spans="1:16" ht="28.8" x14ac:dyDescent="0.3">
      <c r="A15" s="13" t="s">
        <v>118</v>
      </c>
      <c r="B15" s="7" t="s">
        <v>112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115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119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120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121</v>
      </c>
      <c r="C21" s="33">
        <f>'(ne pas modifier) BDD_REF'!$B$278*REIaval!D21</f>
        <v>7416.6726000000008</v>
      </c>
      <c r="D21" s="2">
        <v>26.7</v>
      </c>
    </row>
    <row r="22" spans="2:13" hidden="1" x14ac:dyDescent="0.3">
      <c r="B22" s="36" t="s">
        <v>122</v>
      </c>
      <c r="C22" s="33">
        <f>'(ne pas modifier) BDD_REF'!$B$278*REIaval!D22</f>
        <v>13138.8994</v>
      </c>
      <c r="D22" s="2">
        <v>47.3</v>
      </c>
    </row>
    <row r="23" spans="2:13" hidden="1" x14ac:dyDescent="0.3">
      <c r="B23" s="36" t="s">
        <v>123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">
      <c r="B24" s="36" t="s">
        <v>124</v>
      </c>
      <c r="C24" s="33">
        <f>'(ne pas modifier) BDD_REF'!$B$278*REIaval!D24</f>
        <v>3861.1142000000004</v>
      </c>
      <c r="D24" s="2">
        <v>13.9</v>
      </c>
    </row>
    <row r="25" spans="2:13" hidden="1" x14ac:dyDescent="0.3">
      <c r="B25" s="36" t="s">
        <v>125</v>
      </c>
      <c r="C25" s="33">
        <f>'(ne pas modifier) BDD_REF'!$B$278*REIaval!D25</f>
        <v>3888.8920000000003</v>
      </c>
      <c r="D25" s="2">
        <v>14</v>
      </c>
    </row>
    <row r="26" spans="2:13" hidden="1" x14ac:dyDescent="0.3">
      <c r="B26" s="36" t="s">
        <v>126</v>
      </c>
      <c r="C26" s="33">
        <f>'(ne pas modifier) BDD_REF'!$B$278*REIaval!D26</f>
        <v>12305.565399999999</v>
      </c>
      <c r="D26" s="2">
        <v>44.3</v>
      </c>
    </row>
    <row r="27" spans="2:13" hidden="1" x14ac:dyDescent="0.3">
      <c r="B27" s="36" t="s">
        <v>127</v>
      </c>
      <c r="C27" s="33">
        <f>'(ne pas modifier) BDD_REF'!$B$278*REIaval!D27</f>
        <v>7916.6730000000007</v>
      </c>
      <c r="D27" s="2">
        <v>28.5</v>
      </c>
    </row>
    <row r="28" spans="2:13" hidden="1" x14ac:dyDescent="0.3">
      <c r="B28" s="36" t="s">
        <v>128</v>
      </c>
      <c r="C28" s="33">
        <f>'(ne pas modifier) BDD_REF'!$B$278*REIaval!D28</f>
        <v>7777.7840000000006</v>
      </c>
      <c r="D28" s="2">
        <v>28</v>
      </c>
    </row>
    <row r="29" spans="2:13" hidden="1" x14ac:dyDescent="0.3">
      <c r="B29" s="36" t="s">
        <v>129</v>
      </c>
      <c r="C29" s="33">
        <f>'(ne pas modifier) BDD_REF'!$B$278*REIaval!D29</f>
        <v>7833.3396000000002</v>
      </c>
      <c r="D29" s="2">
        <v>28.2</v>
      </c>
    </row>
    <row r="30" spans="2:13" hidden="1" x14ac:dyDescent="0.3">
      <c r="B30" s="36" t="s">
        <v>130</v>
      </c>
      <c r="C30" s="33">
        <f>'(ne pas modifier) BDD_REF'!$B$278*REIaval!D30</f>
        <v>11944.454000000002</v>
      </c>
      <c r="D30" s="2">
        <v>43</v>
      </c>
    </row>
    <row r="31" spans="2:13" hidden="1" x14ac:dyDescent="0.3">
      <c r="B31" s="36" t="s">
        <v>131</v>
      </c>
      <c r="C31" s="33">
        <f>'(ne pas modifier) BDD_REF'!$B$278*REIaval!D31</f>
        <v>11666.676000000001</v>
      </c>
      <c r="D31" s="2">
        <v>42</v>
      </c>
    </row>
    <row r="32" spans="2:13" hidden="1" x14ac:dyDescent="0.3">
      <c r="B32" s="36" t="s">
        <v>132</v>
      </c>
      <c r="C32" s="33">
        <f>'(ne pas modifier) BDD_REF'!$B$278*REIaval!D32</f>
        <v>11111.12</v>
      </c>
      <c r="D32" s="2">
        <v>40</v>
      </c>
    </row>
    <row r="33" spans="2:4" hidden="1" x14ac:dyDescent="0.3">
      <c r="B33" s="36" t="s">
        <v>133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">
      <c r="B34" s="36" t="s">
        <v>134</v>
      </c>
      <c r="C34" s="33">
        <f>'(ne pas modifier) BDD_REF'!$B$278*REIaval!D34</f>
        <v>694.44500000000005</v>
      </c>
      <c r="D34" s="2">
        <v>2.5</v>
      </c>
    </row>
    <row r="35" spans="2:4" hidden="1" x14ac:dyDescent="0.3">
      <c r="B35" s="36" t="s">
        <v>135</v>
      </c>
      <c r="C35" s="33">
        <f>'(ne pas modifier) BDD_REF'!$B$278*REIaval!D35</f>
        <v>13333.344000000001</v>
      </c>
      <c r="D35" s="2">
        <v>48</v>
      </c>
    </row>
    <row r="36" spans="2:4" hidden="1" x14ac:dyDescent="0.3">
      <c r="B36" s="36" t="s">
        <v>136</v>
      </c>
      <c r="C36" s="33">
        <f>'(ne pas modifier) BDD_REF'!$B$278*REIaval!D36</f>
        <v>11944.454000000002</v>
      </c>
      <c r="D36" s="2">
        <v>43</v>
      </c>
    </row>
    <row r="37" spans="2:4" hidden="1" x14ac:dyDescent="0.3">
      <c r="B37" s="36" t="s">
        <v>137</v>
      </c>
      <c r="C37" s="33">
        <f>'(ne pas modifier) BDD_REF'!$B$278*REIaval!D37</f>
        <v>13777.788800000002</v>
      </c>
      <c r="D37" s="2">
        <v>49.6</v>
      </c>
    </row>
    <row r="38" spans="2:4" hidden="1" x14ac:dyDescent="0.3">
      <c r="B38" s="36" t="s">
        <v>138</v>
      </c>
      <c r="C38" s="33">
        <f>'(ne pas modifier) BDD_REF'!$B$278*REIaval!D38</f>
        <v>12777.788</v>
      </c>
      <c r="D38" s="2">
        <v>46</v>
      </c>
    </row>
    <row r="39" spans="2:4" hidden="1" x14ac:dyDescent="0.3">
      <c r="B39" s="36" t="s">
        <v>139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">
      <c r="B40" s="36" t="s">
        <v>140</v>
      </c>
      <c r="C40" s="33">
        <f>'(ne pas modifier) BDD_REF'!$B$278*REIaval!D40</f>
        <v>8888.8960000000006</v>
      </c>
      <c r="D40" s="2">
        <v>32</v>
      </c>
    </row>
    <row r="41" spans="2:4" hidden="1" x14ac:dyDescent="0.3">
      <c r="B41" s="36" t="s">
        <v>141</v>
      </c>
      <c r="C41" s="33">
        <f>'(ne pas modifier) BDD_REF'!$B$278*REIaval!D41</f>
        <v>10583.341800000002</v>
      </c>
      <c r="D41" s="2">
        <v>38.1</v>
      </c>
    </row>
    <row r="42" spans="2:4" hidden="1" x14ac:dyDescent="0.3">
      <c r="B42" s="36" t="s">
        <v>142</v>
      </c>
      <c r="C42" s="33">
        <f>'(ne pas modifier) BDD_REF'!$B$278*REIaval!D42</f>
        <v>12250.009800000002</v>
      </c>
      <c r="D42" s="2">
        <v>44.1</v>
      </c>
    </row>
    <row r="43" spans="2:4" hidden="1" x14ac:dyDescent="0.3">
      <c r="B43" s="36" t="s">
        <v>143</v>
      </c>
      <c r="C43" s="33">
        <f>'(ne pas modifier) BDD_REF'!$B$278*REIaval!D43</f>
        <v>3305.5582000000004</v>
      </c>
      <c r="D43" s="2">
        <v>11.9</v>
      </c>
    </row>
    <row r="44" spans="2:4" hidden="1" x14ac:dyDescent="0.3">
      <c r="B44" s="36" t="s">
        <v>144</v>
      </c>
      <c r="C44" s="33">
        <f>'(ne pas modifier) BDD_REF'!$B$278*REIaval!D44</f>
        <v>12361.121000000001</v>
      </c>
      <c r="D44" s="2">
        <v>44.5</v>
      </c>
    </row>
    <row r="45" spans="2:4" hidden="1" x14ac:dyDescent="0.3">
      <c r="B45" s="36" t="s">
        <v>145</v>
      </c>
      <c r="C45" s="33">
        <f>'(ne pas modifier) BDD_REF'!$B$278*REIaval!D45</f>
        <v>11750.009400000001</v>
      </c>
      <c r="D45" s="2">
        <v>42.3</v>
      </c>
    </row>
    <row r="46" spans="2:4" hidden="1" x14ac:dyDescent="0.3">
      <c r="B46" s="36" t="s">
        <v>146</v>
      </c>
      <c r="C46" s="33">
        <f>'(ne pas modifier) BDD_REF'!$B$278*REIaval!D46</f>
        <v>3638.8918000000003</v>
      </c>
      <c r="D46" s="2">
        <v>13.1</v>
      </c>
    </row>
    <row r="47" spans="2:4" hidden="1" x14ac:dyDescent="0.3">
      <c r="B47" s="36" t="s">
        <v>147</v>
      </c>
      <c r="C47" s="33">
        <f>'(ne pas modifier) BDD_REF'!$B$278*REIaval!D47</f>
        <v>13138.8994</v>
      </c>
      <c r="D47" s="2">
        <v>47.3</v>
      </c>
    </row>
    <row r="48" spans="2:4" hidden="1" x14ac:dyDescent="0.3">
      <c r="B48" s="36" t="s">
        <v>148</v>
      </c>
      <c r="C48" s="33">
        <f>'(ne pas modifier) BDD_REF'!$B$278*REIaval!D48</f>
        <v>2200.0017600000001</v>
      </c>
      <c r="D48" s="2">
        <v>7.92</v>
      </c>
    </row>
    <row r="49" spans="1:13" hidden="1" x14ac:dyDescent="0.3">
      <c r="B49" s="36" t="s">
        <v>149</v>
      </c>
      <c r="C49" s="33">
        <f>'(ne pas modifier) BDD_REF'!$B$278*REIaval!D49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150</v>
      </c>
      <c r="C51" s="37" t="s">
        <v>151</v>
      </c>
      <c r="M51" s="2"/>
    </row>
    <row r="52" spans="1:13" ht="28.8" x14ac:dyDescent="0.3">
      <c r="A52" s="36" t="s">
        <v>152</v>
      </c>
      <c r="B52" s="36" t="s">
        <v>131</v>
      </c>
      <c r="C52" s="38">
        <f>0.324/1000</f>
        <v>3.2400000000000001E-4</v>
      </c>
      <c r="M52" s="2"/>
    </row>
    <row r="53" spans="1:13" x14ac:dyDescent="0.3">
      <c r="B53" s="36" t="s">
        <v>132</v>
      </c>
      <c r="C53" s="38">
        <f>0.325/1000</f>
        <v>3.2499999999999999E-4</v>
      </c>
      <c r="M53" s="2"/>
    </row>
    <row r="54" spans="1:13" x14ac:dyDescent="0.3">
      <c r="B54" s="36" t="s">
        <v>153</v>
      </c>
      <c r="C54" s="38">
        <f>0.335/1000</f>
        <v>3.3500000000000001E-4</v>
      </c>
      <c r="M54" s="2"/>
    </row>
    <row r="55" spans="1:13" x14ac:dyDescent="0.3">
      <c r="B55" s="36" t="s">
        <v>154</v>
      </c>
      <c r="C55" s="38">
        <f>0.282/1000</f>
        <v>2.8199999999999997E-4</v>
      </c>
      <c r="M55" s="2"/>
    </row>
    <row r="56" spans="1:13" ht="28.8" x14ac:dyDescent="0.3">
      <c r="A56" s="36" t="s">
        <v>155</v>
      </c>
      <c r="B56" s="36" t="s">
        <v>156</v>
      </c>
      <c r="C56" s="38">
        <f>0.311/1000</f>
        <v>3.1100000000000002E-4</v>
      </c>
      <c r="M56" s="2"/>
    </row>
    <row r="57" spans="1:13" x14ac:dyDescent="0.3">
      <c r="B57" s="36" t="s">
        <v>157</v>
      </c>
      <c r="C57" s="36">
        <f>0.313/1000</f>
        <v>3.1300000000000002E-4</v>
      </c>
      <c r="M57" s="2"/>
    </row>
    <row r="58" spans="1:13" x14ac:dyDescent="0.3">
      <c r="B58" s="36" t="s">
        <v>158</v>
      </c>
      <c r="C58" s="36">
        <f>0.319/1000</f>
        <v>3.19E-4</v>
      </c>
      <c r="M58" s="2"/>
    </row>
    <row r="59" spans="1:13" x14ac:dyDescent="0.3">
      <c r="B59" s="36" t="s">
        <v>159</v>
      </c>
      <c r="C59" s="36">
        <f>0.306/1000</f>
        <v>3.0600000000000001E-4</v>
      </c>
      <c r="M59" s="2"/>
    </row>
    <row r="60" spans="1:13" x14ac:dyDescent="0.3">
      <c r="B60" s="36" t="s">
        <v>160</v>
      </c>
      <c r="C60" s="36">
        <f>0.174/1000</f>
        <v>1.74E-4</v>
      </c>
      <c r="M60" s="2"/>
    </row>
    <row r="61" spans="1:13" x14ac:dyDescent="0.3">
      <c r="B61" s="36" t="s">
        <v>161</v>
      </c>
      <c r="C61" s="36">
        <f>0.273/1000</f>
        <v>2.7300000000000002E-4</v>
      </c>
      <c r="M61" s="2"/>
    </row>
    <row r="62" spans="1:13" x14ac:dyDescent="0.3">
      <c r="B62" s="36" t="s">
        <v>138</v>
      </c>
      <c r="C62" s="36">
        <f>0.272/1000</f>
        <v>2.72E-4</v>
      </c>
      <c r="M62" s="2"/>
    </row>
    <row r="63" spans="1:13" x14ac:dyDescent="0.3">
      <c r="B63" s="36" t="s">
        <v>162</v>
      </c>
      <c r="C63" s="36">
        <f>0.311/1000</f>
        <v>3.1100000000000002E-4</v>
      </c>
      <c r="M63" s="2"/>
    </row>
    <row r="64" spans="1:13" x14ac:dyDescent="0.3">
      <c r="B64" s="36" t="s">
        <v>163</v>
      </c>
      <c r="C64" s="36">
        <f>0.132/1000</f>
        <v>1.3200000000000001E-4</v>
      </c>
      <c r="M64" s="2"/>
    </row>
    <row r="65" spans="1:13" x14ac:dyDescent="0.3">
      <c r="B65" s="36" t="s">
        <v>164</v>
      </c>
      <c r="C65" s="36">
        <f>0.238/1000</f>
        <v>2.3799999999999998E-4</v>
      </c>
      <c r="M65" s="2"/>
    </row>
    <row r="66" spans="1:13" x14ac:dyDescent="0.3">
      <c r="B66" s="36" t="s">
        <v>165</v>
      </c>
      <c r="C66" s="36">
        <f>0.23/1000</f>
        <v>2.3000000000000001E-4</v>
      </c>
      <c r="M66" s="2"/>
    </row>
    <row r="67" spans="1:13" ht="43.2" x14ac:dyDescent="0.3">
      <c r="A67" s="36" t="s">
        <v>166</v>
      </c>
      <c r="B67" s="36" t="s">
        <v>167</v>
      </c>
      <c r="C67" s="36">
        <f>0.327/1000</f>
        <v>3.2700000000000003E-4</v>
      </c>
      <c r="M67" s="2"/>
    </row>
    <row r="68" spans="1:13" x14ac:dyDescent="0.3">
      <c r="B68" s="36" t="s">
        <v>168</v>
      </c>
      <c r="C68" s="36">
        <f>0.331/1000</f>
        <v>3.3100000000000002E-4</v>
      </c>
      <c r="M68" s="2"/>
    </row>
    <row r="69" spans="1:13" x14ac:dyDescent="0.3">
      <c r="B69" s="36" t="s">
        <v>169</v>
      </c>
      <c r="C69" s="36">
        <f>0.331/1000</f>
        <v>3.3100000000000002E-4</v>
      </c>
      <c r="M69" s="2"/>
    </row>
    <row r="70" spans="1:13" ht="28.8" x14ac:dyDescent="0.3">
      <c r="A70" s="36" t="s">
        <v>170</v>
      </c>
      <c r="B70" s="36" t="s">
        <v>171</v>
      </c>
      <c r="C70" s="36">
        <f>0.307/1000</f>
        <v>3.0699999999999998E-4</v>
      </c>
      <c r="M70" s="2"/>
    </row>
    <row r="71" spans="1:13" x14ac:dyDescent="0.3">
      <c r="B71" s="36" t="s">
        <v>172</v>
      </c>
      <c r="C71" s="36">
        <f>0.308/1000</f>
        <v>3.0800000000000001E-4</v>
      </c>
      <c r="M71" s="2"/>
    </row>
    <row r="72" spans="1:13" x14ac:dyDescent="0.3">
      <c r="B72" s="36" t="s">
        <v>173</v>
      </c>
      <c r="C72" s="36">
        <f>0.313/1000</f>
        <v>3.1300000000000002E-4</v>
      </c>
      <c r="M72" s="2"/>
    </row>
    <row r="73" spans="1:13" ht="28.8" x14ac:dyDescent="0.3">
      <c r="A73" s="36" t="s">
        <v>174</v>
      </c>
      <c r="B73" s="36" t="s">
        <v>175</v>
      </c>
      <c r="C73" s="36">
        <f>0.322/1000</f>
        <v>3.2200000000000002E-4</v>
      </c>
      <c r="M73" s="2"/>
    </row>
    <row r="74" spans="1:13" ht="28.8" x14ac:dyDescent="0.3">
      <c r="A74" s="36" t="s">
        <v>176</v>
      </c>
      <c r="B74" s="36" t="s">
        <v>177</v>
      </c>
      <c r="C74" s="36">
        <f>0.227/1000</f>
        <v>2.2700000000000002E-4</v>
      </c>
      <c r="M74" s="2"/>
    </row>
    <row r="75" spans="1:13" x14ac:dyDescent="0.3">
      <c r="B75" s="36" t="s">
        <v>178</v>
      </c>
      <c r="C75" s="36">
        <f>0.244/1000</f>
        <v>2.4399999999999999E-4</v>
      </c>
      <c r="M75" s="2"/>
    </row>
    <row r="76" spans="1:13" ht="28.8" x14ac:dyDescent="0.3">
      <c r="A76" s="36" t="s">
        <v>179</v>
      </c>
      <c r="B76" s="36" t="s">
        <v>180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181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1" sqref="C1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9" t="s">
        <v>66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182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67</v>
      </c>
      <c r="N4" s="2"/>
      <c r="O4" s="2"/>
      <c r="P4" s="2"/>
      <c r="Q4" s="2"/>
    </row>
    <row r="5" spans="1:17" x14ac:dyDescent="0.3">
      <c r="A5" s="13">
        <v>1</v>
      </c>
      <c r="B5" s="7" t="s">
        <v>183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2.7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2.7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2.7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2.7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2.7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16.2</v>
      </c>
      <c r="N5" s="2"/>
      <c r="O5" s="2"/>
      <c r="P5" s="2"/>
      <c r="Q5" s="2"/>
    </row>
    <row r="6" spans="1:17" x14ac:dyDescent="0.3">
      <c r="A6" s="13">
        <v>2</v>
      </c>
      <c r="B6" s="7" t="s">
        <v>183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4.2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4.2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4.2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4.2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4.2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25.2</v>
      </c>
      <c r="N6" s="2"/>
      <c r="O6" s="2"/>
      <c r="P6" s="2"/>
      <c r="Q6" s="2"/>
    </row>
    <row r="7" spans="1:17" x14ac:dyDescent="0.3">
      <c r="A7" s="13">
        <v>3</v>
      </c>
      <c r="B7" s="7" t="s">
        <v>183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5.6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5.6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5.6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5.6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5.6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33.6</v>
      </c>
      <c r="N7" s="2"/>
      <c r="O7" s="2"/>
      <c r="P7" s="2"/>
      <c r="Q7" s="2"/>
    </row>
    <row r="8" spans="1:17" x14ac:dyDescent="0.3">
      <c r="A8" s="13">
        <v>4</v>
      </c>
      <c r="B8" s="7" t="s">
        <v>183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7.1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7.1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7.1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7.1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7.1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42.6</v>
      </c>
      <c r="N8" s="2"/>
      <c r="O8" s="2"/>
      <c r="P8" s="2"/>
      <c r="Q8" s="2"/>
    </row>
    <row r="9" spans="1:17" x14ac:dyDescent="0.3">
      <c r="A9" s="13">
        <v>5</v>
      </c>
      <c r="B9" s="7" t="s">
        <v>183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7.4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7.4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7.4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7.4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7.4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44.4</v>
      </c>
      <c r="N9" s="2"/>
      <c r="O9" s="2"/>
      <c r="P9" s="2"/>
      <c r="Q9" s="2"/>
    </row>
    <row r="10" spans="1:17" x14ac:dyDescent="0.3">
      <c r="A10" s="13">
        <v>6</v>
      </c>
      <c r="B10" s="7" t="s">
        <v>183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8.6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8.6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8.6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8.6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8.6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51.6</v>
      </c>
      <c r="N10" s="2"/>
      <c r="O10" s="2"/>
      <c r="P10" s="2"/>
      <c r="Q10" s="2"/>
    </row>
    <row r="11" spans="1:17" x14ac:dyDescent="0.3">
      <c r="A11" s="13">
        <v>7</v>
      </c>
      <c r="B11" s="7" t="s">
        <v>183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9.8000000000000007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9.8000000000000007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9.8000000000000007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9.8000000000000007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9.8000000000000007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58.8</v>
      </c>
      <c r="N11" s="2"/>
      <c r="O11" s="2"/>
      <c r="P11" s="2"/>
      <c r="Q11" s="2"/>
    </row>
    <row r="12" spans="1:17" x14ac:dyDescent="0.3">
      <c r="A12" s="13">
        <v>8</v>
      </c>
      <c r="B12" s="7" t="s">
        <v>183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11.1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11.1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11.1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11.1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11.1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66.599999999999994</v>
      </c>
      <c r="N12" s="2"/>
      <c r="O12" s="2"/>
      <c r="P12" s="2"/>
      <c r="Q12" s="2"/>
    </row>
    <row r="13" spans="1:17" x14ac:dyDescent="0.3">
      <c r="A13" s="13">
        <v>9</v>
      </c>
      <c r="B13" s="7" t="s">
        <v>183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12.3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12.3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12.3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12.3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12.3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73.8</v>
      </c>
      <c r="N13" s="2"/>
      <c r="O13" s="2"/>
      <c r="P13" s="2"/>
      <c r="Q13" s="2"/>
    </row>
    <row r="14" spans="1:17" x14ac:dyDescent="0.3">
      <c r="A14" s="13">
        <v>10</v>
      </c>
      <c r="B14" s="7" t="s">
        <v>183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13.5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13.5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13.5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13.5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13.5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81</v>
      </c>
      <c r="N14" s="2"/>
      <c r="O14" s="2"/>
      <c r="P14" s="2"/>
      <c r="Q14" s="2"/>
    </row>
    <row r="15" spans="1:17" x14ac:dyDescent="0.3">
      <c r="A15" s="13">
        <v>11</v>
      </c>
      <c r="B15" s="7" t="s">
        <v>183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13.9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13.9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13.9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13.9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13.9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83.4</v>
      </c>
      <c r="N15" s="2"/>
      <c r="O15" s="2"/>
      <c r="P15" s="2"/>
      <c r="Q15" s="2"/>
    </row>
    <row r="16" spans="1:17" x14ac:dyDescent="0.3">
      <c r="A16" s="13">
        <v>12</v>
      </c>
      <c r="B16" s="7" t="s">
        <v>183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14.3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14.3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14.3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14.3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14.3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85.8</v>
      </c>
      <c r="N16" s="2"/>
      <c r="O16" s="2"/>
      <c r="P16" s="2"/>
      <c r="Q16" s="2"/>
    </row>
    <row r="17" spans="1:17" x14ac:dyDescent="0.3">
      <c r="A17" s="13">
        <v>13</v>
      </c>
      <c r="B17" s="7" t="s">
        <v>183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14.7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14.7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14.7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14.7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14.7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88.2</v>
      </c>
      <c r="N17" s="2"/>
      <c r="O17" s="2"/>
      <c r="P17" s="2"/>
      <c r="Q17" s="2"/>
    </row>
    <row r="18" spans="1:17" x14ac:dyDescent="0.3">
      <c r="A18" s="13">
        <v>14</v>
      </c>
      <c r="B18" s="7" t="s">
        <v>183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15.1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15.1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15.1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15.1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15.1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90.6</v>
      </c>
      <c r="N18" s="2"/>
      <c r="O18" s="2"/>
      <c r="P18" s="2"/>
      <c r="Q18" s="2"/>
    </row>
    <row r="19" spans="1:17" x14ac:dyDescent="0.3">
      <c r="A19" s="13">
        <v>15</v>
      </c>
      <c r="B19" s="7" t="s">
        <v>183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15.6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15.6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15.6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15.6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15.6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93.6</v>
      </c>
      <c r="N19" s="2"/>
      <c r="O19" s="2"/>
      <c r="P19" s="2"/>
      <c r="Q19" s="2"/>
    </row>
    <row r="20" spans="1:17" x14ac:dyDescent="0.3">
      <c r="A20" s="13">
        <v>16</v>
      </c>
      <c r="B20" s="7" t="s">
        <v>183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15.6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15.6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15.6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15.6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15.6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93.6</v>
      </c>
      <c r="N20" s="2"/>
      <c r="O20" s="2"/>
      <c r="P20" s="2"/>
      <c r="Q20" s="2"/>
    </row>
    <row r="21" spans="1:17" x14ac:dyDescent="0.3">
      <c r="A21" s="13">
        <v>17</v>
      </c>
      <c r="B21" s="7" t="s">
        <v>183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15.7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15.7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15.7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15.7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15.7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94.2</v>
      </c>
      <c r="N21" s="2"/>
      <c r="O21" s="2"/>
      <c r="P21" s="2"/>
      <c r="Q21" s="2"/>
    </row>
    <row r="22" spans="1:17" x14ac:dyDescent="0.3">
      <c r="A22" s="13">
        <v>18</v>
      </c>
      <c r="B22" s="7" t="s">
        <v>183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15.8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15.8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15.8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15.8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15.8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94.8</v>
      </c>
      <c r="N22" s="2"/>
      <c r="O22" s="2"/>
      <c r="P22" s="2"/>
      <c r="Q22" s="2"/>
    </row>
    <row r="23" spans="1:17" x14ac:dyDescent="0.3">
      <c r="A23" s="13">
        <v>19</v>
      </c>
      <c r="B23" s="7" t="s">
        <v>183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15.9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15.9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15.9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15.9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15.9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95.4</v>
      </c>
      <c r="N23" s="2"/>
      <c r="O23" s="2"/>
      <c r="P23" s="2"/>
      <c r="Q23" s="2"/>
    </row>
    <row r="24" spans="1:17" x14ac:dyDescent="0.3">
      <c r="A24" s="13">
        <v>20</v>
      </c>
      <c r="B24" s="7" t="s">
        <v>183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16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16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16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16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16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96</v>
      </c>
      <c r="N24" s="2"/>
      <c r="O24" s="2"/>
      <c r="P24" s="2"/>
      <c r="Q24" s="2"/>
    </row>
    <row r="25" spans="1:17" x14ac:dyDescent="0.3">
      <c r="A25" s="7"/>
      <c r="B25" s="7" t="s">
        <v>184</v>
      </c>
      <c r="C25" s="22">
        <f>SUMIF($A5:$A24,"&lt;"&amp;Eligibilité_projet!B14+1,C5:C24)</f>
        <v>234.9</v>
      </c>
      <c r="D25" s="22">
        <f>SUMIF($A5:$A24,"&lt;"&amp;Eligibilité_projet!C14+1,D5:D24)</f>
        <v>234.9</v>
      </c>
      <c r="E25" s="22">
        <f>SUMIF($A5:$A24,"&lt;"&amp;Eligibilité_projet!D14+1,E5:E24)</f>
        <v>234.9</v>
      </c>
      <c r="F25" s="22">
        <f>SUMIF($A5:$A24,"&lt;"&amp;Eligibilité_projet!E14+1,F5:F24)</f>
        <v>234.9</v>
      </c>
      <c r="G25" s="22">
        <f>SUMIF($A5:$A24,"&lt;"&amp;Eligibilité_projet!F14+1,G5:G24)</f>
        <v>234.9</v>
      </c>
      <c r="H25" s="22">
        <f>SUMIF($A5:$A24,"&lt;"&amp;Eligibilité_projet!G14+1,H5:H24)</f>
        <v>234.9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1409.4</v>
      </c>
      <c r="N25" s="2"/>
      <c r="O25" s="2"/>
      <c r="P25" s="2"/>
      <c r="Q25" s="2"/>
    </row>
    <row r="26" spans="1:17" ht="28.8" x14ac:dyDescent="0.3">
      <c r="A26" s="7" t="s">
        <v>185</v>
      </c>
      <c r="B26" s="7" t="s">
        <v>186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187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21</v>
      </c>
      <c r="F27" s="40">
        <f>Eligibilité_projet!E14 + 1</f>
        <v>21</v>
      </c>
      <c r="G27" s="40">
        <f>Eligibilité_projet!F14 + 1</f>
        <v>21</v>
      </c>
      <c r="H27" s="40">
        <f>Eligibilité_projet!G14 + 1</f>
        <v>21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130</v>
      </c>
      <c r="N27" s="2"/>
      <c r="O27" s="2"/>
      <c r="P27" s="2"/>
      <c r="Q27" s="2"/>
    </row>
    <row r="28" spans="1:17" x14ac:dyDescent="0.3">
      <c r="B28" s="21" t="s">
        <v>188</v>
      </c>
      <c r="C28" s="24">
        <f>((C25/C27)-C26)*Eligibilité_projet!B8*44/12</f>
        <v>246.08571428571432</v>
      </c>
      <c r="D28" s="24">
        <f>((D25/D27)-D26)*Eligibilité_projet!C8*44/12</f>
        <v>205.07142857142858</v>
      </c>
      <c r="E28" s="24">
        <f>((E25/E27)-E26)*Eligibilité_projet!D8*44/12</f>
        <v>205.07142857142858</v>
      </c>
      <c r="F28" s="24">
        <f>((F25/F27)-F26)*Eligibilité_projet!E8*44/12</f>
        <v>143.55000000000004</v>
      </c>
      <c r="G28" s="24">
        <f>((G25/G27)-G26)*Eligibilité_projet!F8*44/12</f>
        <v>143.55000000000004</v>
      </c>
      <c r="H28" s="24">
        <f>((H25/H27)-H26)*Eligibilité_projet!G8*44/12</f>
        <v>164.05714285714288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1107.3857142857146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9" t="s">
        <v>66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67</v>
      </c>
      <c r="N4" s="2"/>
      <c r="O4" s="2"/>
      <c r="P4" s="2"/>
    </row>
    <row r="5" spans="1:16" x14ac:dyDescent="0.3">
      <c r="B5" s="7" t="s">
        <v>189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52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52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52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52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52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312</v>
      </c>
      <c r="N5" s="2"/>
      <c r="O5" s="2"/>
      <c r="P5" s="2"/>
    </row>
    <row r="6" spans="1:16" x14ac:dyDescent="0.3">
      <c r="B6" s="7" t="s">
        <v>190</v>
      </c>
      <c r="C6" s="22">
        <f>IF(Eligibilité_projet!B13="Hors climat Mediterranéen",'(ne pas modifier) BDD_REF'!$C$272,IF(Eligibilité_projet!B13="",0,'(ne pas modifier) BDD_REF'!$B$272))</f>
        <v>47</v>
      </c>
      <c r="D6" s="22">
        <f>IF(Eligibilité_projet!C13="Hors climat Mediterranéen",'(ne pas modifier) BDD_REF'!$C$272,IF(Eligibilité_projet!C13="",0,'(ne pas modifier) BDD_REF'!$B$272))</f>
        <v>47</v>
      </c>
      <c r="E6" s="22">
        <f>IF(Eligibilité_projet!D13="Hors climat Mediterranéen",'(ne pas modifier) BDD_REF'!$C$272,IF(Eligibilité_projet!D13="",0,'(ne pas modifier) BDD_REF'!$B$272))</f>
        <v>47</v>
      </c>
      <c r="F6" s="22">
        <f>IF(Eligibilité_projet!E13="Hors climat Mediterranéen",'(ne pas modifier) BDD_REF'!$C$272,IF(Eligibilité_projet!E13="",0,'(ne pas modifier) BDD_REF'!$B$272))</f>
        <v>47</v>
      </c>
      <c r="G6" s="22">
        <f>IF(Eligibilité_projet!F13="Hors climat Mediterranéen",'(ne pas modifier) BDD_REF'!$C$272,IF(Eligibilité_projet!F13="",0,'(ne pas modifier) BDD_REF'!$B$272))</f>
        <v>47</v>
      </c>
      <c r="H6" s="22">
        <f>IF(Eligibilité_projet!G13="Hors climat Mediterranéen",'(ne pas modifier) BDD_REF'!$C$272,IF(Eligibilité_projet!G13="",0,'(ne pas modifier) BDD_REF'!$B$272))</f>
        <v>47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282</v>
      </c>
      <c r="N6" s="2"/>
      <c r="O6" s="2"/>
      <c r="P6" s="2"/>
    </row>
    <row r="7" spans="1:16" x14ac:dyDescent="0.3">
      <c r="B7" s="7" t="s">
        <v>191</v>
      </c>
      <c r="C7" s="22">
        <f>Eligibilité_projet!B15</f>
        <v>1</v>
      </c>
      <c r="D7" s="22">
        <f>Eligibilité_projet!C15</f>
        <v>1</v>
      </c>
      <c r="E7" s="22">
        <f>Eligibilité_projet!D15</f>
        <v>1</v>
      </c>
      <c r="F7" s="22">
        <f>Eligibilité_projet!E15</f>
        <v>1</v>
      </c>
      <c r="G7" s="22">
        <f>Eligibilité_projet!F15</f>
        <v>1</v>
      </c>
      <c r="H7" s="22">
        <f>Eligibilité_projet!G15</f>
        <v>1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6</v>
      </c>
      <c r="N7" s="2"/>
      <c r="O7" s="2"/>
      <c r="P7" s="2"/>
    </row>
    <row r="8" spans="1:16" ht="28.8" x14ac:dyDescent="0.3">
      <c r="B8" s="7" t="s">
        <v>192</v>
      </c>
      <c r="C8" s="22">
        <f>Eligibilité_projet!B14</f>
        <v>20</v>
      </c>
      <c r="D8" s="22">
        <f>Eligibilité_projet!C14</f>
        <v>20</v>
      </c>
      <c r="E8" s="22">
        <f>Eligibilité_projet!D14</f>
        <v>20</v>
      </c>
      <c r="F8" s="22">
        <f>Eligibilité_projet!E14</f>
        <v>20</v>
      </c>
      <c r="G8" s="22">
        <f>Eligibilité_projet!F14</f>
        <v>20</v>
      </c>
      <c r="H8" s="22">
        <f>Eligibilité_projet!G14</f>
        <v>20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120</v>
      </c>
      <c r="N8" s="2"/>
      <c r="O8" s="2"/>
      <c r="P8" s="2"/>
    </row>
    <row r="9" spans="1:16" x14ac:dyDescent="0.3">
      <c r="B9" s="21" t="s">
        <v>193</v>
      </c>
      <c r="C9" s="21">
        <f>((C6-C5)+('(ne pas modifier) BDD_REF'!$B$276*C7*C8))*Eligibilité_projet!B8*44/12</f>
        <v>105.60000000000002</v>
      </c>
      <c r="D9" s="21">
        <f>((D6-D5)+('(ne pas modifier) BDD_REF'!$B$276*D7*D8))*Eligibilité_projet!C8*44/12</f>
        <v>88.000000000000014</v>
      </c>
      <c r="E9" s="21">
        <f>((E6-E5)+('(ne pas modifier) BDD_REF'!$B$276*E7*E8))*Eligibilité_projet!D8*44/12</f>
        <v>88.000000000000014</v>
      </c>
      <c r="F9" s="21">
        <f>((F6-F5)+('(ne pas modifier) BDD_REF'!$B$276*F7*F8))*Eligibilité_projet!E8*44/12</f>
        <v>61.600000000000016</v>
      </c>
      <c r="G9" s="21">
        <f>((G6-G5)+('(ne pas modifier) BDD_REF'!$B$276*G7*G8))*Eligibilité_projet!F8*44/12</f>
        <v>61.600000000000016</v>
      </c>
      <c r="H9" s="21">
        <f>((H6-H5)+('(ne pas modifier) BDD_REF'!$B$276*H7*H8))*Eligibilité_projet!G8*44/12</f>
        <v>70.40000000000002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475.2000000000001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opLeftCell="A5" zoomScale="80" zoomScaleNormal="80" workbookViewId="0">
      <selection activeCell="C16" sqref="C16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2" t="s">
        <v>194</v>
      </c>
      <c r="C2" s="114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5" t="s">
        <v>195</v>
      </c>
      <c r="C4" s="116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196</v>
      </c>
      <c r="B6" s="3" t="s">
        <v>197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198</v>
      </c>
      <c r="B7" s="3" t="s">
        <v>197</v>
      </c>
      <c r="C7" s="15">
        <f>IF(Eligibilité_projet!C2="OUI","/",'RECeff + REIamont (2)'!M144)</f>
        <v>-149.44349679509415</v>
      </c>
      <c r="D7" s="2"/>
      <c r="E7" s="2"/>
      <c r="F7" s="2"/>
    </row>
    <row r="8" spans="1:6" x14ac:dyDescent="0.3">
      <c r="A8" s="16"/>
      <c r="B8" s="3" t="s">
        <v>120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199</v>
      </c>
      <c r="C9" s="15">
        <f>RECant_biom!M28</f>
        <v>1107.3857142857146</v>
      </c>
      <c r="D9" s="2"/>
      <c r="E9" s="2"/>
      <c r="F9" s="2"/>
    </row>
    <row r="10" spans="1:6" x14ac:dyDescent="0.3">
      <c r="A10" s="2"/>
      <c r="B10" s="3" t="s">
        <v>193</v>
      </c>
      <c r="C10" s="15">
        <f>RECant_sol!M9</f>
        <v>475.2000000000001</v>
      </c>
      <c r="D10" s="2"/>
      <c r="E10" s="2"/>
      <c r="F10" s="2"/>
    </row>
    <row r="11" spans="1:6" x14ac:dyDescent="0.3">
      <c r="A11" s="2"/>
      <c r="B11" s="19" t="s">
        <v>200</v>
      </c>
      <c r="C11" s="42">
        <f>SUM(IF(Eligibilité_projet!C2="OUI",-C6,-C7),-C8,C10,C9)</f>
        <v>1732.0292110808089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5" t="s">
        <v>201</v>
      </c>
      <c r="C13" s="116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197</v>
      </c>
      <c r="C15" s="91">
        <f>IF(Eligibilité_projet!C2="OUI",C6*(1-0.15),C7)</f>
        <v>-149.44349679509415</v>
      </c>
      <c r="D15" s="2"/>
      <c r="E15" s="2"/>
      <c r="F15" s="2"/>
    </row>
    <row r="16" spans="1:6" x14ac:dyDescent="0.3">
      <c r="A16" s="2"/>
      <c r="B16" s="3" t="s">
        <v>120</v>
      </c>
      <c r="C16" s="91">
        <f>C8</f>
        <v>0</v>
      </c>
      <c r="D16" s="2"/>
      <c r="E16" s="2"/>
      <c r="F16" s="2"/>
    </row>
    <row r="17" spans="1:6" x14ac:dyDescent="0.3">
      <c r="A17" s="2"/>
      <c r="B17" s="90" t="s">
        <v>199</v>
      </c>
      <c r="C17" s="15">
        <f>C9*(1-0.1)</f>
        <v>996.64714285714319</v>
      </c>
      <c r="D17" s="2"/>
      <c r="E17" s="2"/>
      <c r="F17" s="2"/>
    </row>
    <row r="18" spans="1:6" x14ac:dyDescent="0.3">
      <c r="A18" s="2"/>
      <c r="B18" s="90" t="s">
        <v>193</v>
      </c>
      <c r="C18" s="15">
        <f>RE!C10</f>
        <v>475.2000000000001</v>
      </c>
      <c r="D18" s="2"/>
      <c r="E18" s="2"/>
      <c r="F18" s="2"/>
    </row>
    <row r="19" spans="1:6" x14ac:dyDescent="0.3">
      <c r="A19" s="2"/>
      <c r="B19" s="3" t="s">
        <v>202</v>
      </c>
      <c r="C19" s="91">
        <f>(C17+C18)*0.9</f>
        <v>1324.662428571429</v>
      </c>
      <c r="D19" s="2"/>
      <c r="E19" s="2"/>
      <c r="F19" s="2"/>
    </row>
    <row r="20" spans="1:6" x14ac:dyDescent="0.3">
      <c r="A20" s="2"/>
      <c r="B20" s="19" t="s">
        <v>200</v>
      </c>
      <c r="C20" s="92">
        <f>SUM(-C15,-C16,C19)</f>
        <v>1474.1059253665233</v>
      </c>
      <c r="D20" s="2"/>
      <c r="E20" s="2"/>
      <c r="F20" s="2"/>
    </row>
    <row r="21" spans="1:6" x14ac:dyDescent="0.3">
      <c r="A21" s="2"/>
      <c r="B21" s="2"/>
    </row>
    <row r="23" spans="1:6" s="34" customFormat="1" hidden="1" x14ac:dyDescent="0.3"/>
    <row r="24" spans="1:6" s="34" customFormat="1" hidden="1" x14ac:dyDescent="0.3"/>
    <row r="25" spans="1:6" s="34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203</v>
      </c>
      <c r="B1" s="48" t="s">
        <v>204</v>
      </c>
      <c r="C1" s="48" t="s">
        <v>35</v>
      </c>
      <c r="D1" s="48" t="s">
        <v>205</v>
      </c>
      <c r="E1" s="49" t="s">
        <v>206</v>
      </c>
      <c r="F1" s="34"/>
      <c r="G1" s="34"/>
      <c r="H1" s="50"/>
    </row>
    <row r="2" spans="1:8" ht="15" customHeight="1" x14ac:dyDescent="0.3">
      <c r="A2" s="51" t="s">
        <v>207</v>
      </c>
      <c r="B2" s="51" t="s">
        <v>32</v>
      </c>
      <c r="C2" s="38" t="s">
        <v>36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207</v>
      </c>
      <c r="B3" s="51" t="s">
        <v>32</v>
      </c>
      <c r="C3" s="38" t="s">
        <v>208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207</v>
      </c>
      <c r="B4" s="51" t="s">
        <v>32</v>
      </c>
      <c r="C4" s="38" t="s">
        <v>209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207</v>
      </c>
      <c r="B5" s="51" t="s">
        <v>32</v>
      </c>
      <c r="C5" s="38" t="s">
        <v>210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207</v>
      </c>
      <c r="B6" s="51" t="s">
        <v>211</v>
      </c>
      <c r="C6" s="38" t="s">
        <v>36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207</v>
      </c>
      <c r="B7" s="51" t="s">
        <v>211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207</v>
      </c>
      <c r="B8" s="51" t="s">
        <v>211</v>
      </c>
      <c r="C8" s="38" t="s">
        <v>209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207</v>
      </c>
      <c r="B9" s="51" t="s">
        <v>211</v>
      </c>
      <c r="C9" s="38" t="s">
        <v>210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207</v>
      </c>
      <c r="B10" s="51" t="s">
        <v>211</v>
      </c>
      <c r="C10" s="38" t="s">
        <v>212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213</v>
      </c>
      <c r="B11" s="51" t="s">
        <v>32</v>
      </c>
      <c r="C11" s="38" t="s">
        <v>36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213</v>
      </c>
      <c r="B12" s="51" t="s">
        <v>32</v>
      </c>
      <c r="C12" s="38" t="s">
        <v>208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213</v>
      </c>
      <c r="B13" s="51" t="s">
        <v>32</v>
      </c>
      <c r="C13" s="38" t="s">
        <v>209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213</v>
      </c>
      <c r="B14" s="51" t="s">
        <v>211</v>
      </c>
      <c r="C14" s="38" t="s">
        <v>36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213</v>
      </c>
      <c r="B15" s="51" t="s">
        <v>211</v>
      </c>
      <c r="C15" s="38" t="s">
        <v>208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213</v>
      </c>
      <c r="B16" s="51" t="s">
        <v>211</v>
      </c>
      <c r="C16" s="38" t="s">
        <v>209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213</v>
      </c>
      <c r="B17" s="51" t="s">
        <v>211</v>
      </c>
      <c r="C17" s="38" t="s">
        <v>212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214</v>
      </c>
      <c r="B20" s="53" t="s">
        <v>28</v>
      </c>
      <c r="C20" s="53" t="s">
        <v>215</v>
      </c>
      <c r="D20" s="53" t="s">
        <v>216</v>
      </c>
    </row>
    <row r="21" spans="1:7" x14ac:dyDescent="0.3">
      <c r="A21" s="38" t="s">
        <v>217</v>
      </c>
      <c r="B21" s="38" t="s">
        <v>218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219</v>
      </c>
      <c r="B22" s="38" t="s">
        <v>218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220</v>
      </c>
      <c r="B23" s="38" t="s">
        <v>29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221</v>
      </c>
      <c r="B24" s="38" t="s">
        <v>218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222</v>
      </c>
      <c r="B25" s="38" t="s">
        <v>223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224</v>
      </c>
      <c r="B26" s="38" t="s">
        <v>223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225</v>
      </c>
      <c r="B27" s="38" t="s">
        <v>218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225</v>
      </c>
      <c r="B28" s="38" t="s">
        <v>29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226</v>
      </c>
      <c r="B29" s="38" t="s">
        <v>218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227</v>
      </c>
      <c r="B30" s="38" t="s">
        <v>228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229</v>
      </c>
      <c r="B31" s="38" t="s">
        <v>218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26</v>
      </c>
      <c r="B32" s="38" t="s">
        <v>223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230</v>
      </c>
      <c r="B33" s="38" t="s">
        <v>29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230</v>
      </c>
      <c r="B34" s="38" t="s">
        <v>231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230</v>
      </c>
      <c r="B35" s="38" t="s">
        <v>232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230</v>
      </c>
      <c r="B36" s="38" t="s">
        <v>218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233</v>
      </c>
      <c r="B37" s="38" t="s">
        <v>29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233</v>
      </c>
      <c r="B38" s="38" t="s">
        <v>218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234</v>
      </c>
      <c r="B39" s="38" t="s">
        <v>29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234</v>
      </c>
      <c r="B40" s="38" t="s">
        <v>218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25</v>
      </c>
      <c r="B41" s="38" t="s">
        <v>29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25</v>
      </c>
      <c r="B42" s="38" t="s">
        <v>218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7" t="s">
        <v>211</v>
      </c>
      <c r="C44" s="118"/>
      <c r="D44" s="119"/>
      <c r="E44" s="117" t="s">
        <v>235</v>
      </c>
      <c r="F44" s="118"/>
      <c r="G44" s="119"/>
    </row>
    <row r="45" spans="1:7" ht="31.2" x14ac:dyDescent="0.3">
      <c r="A45" s="54" t="s">
        <v>236</v>
      </c>
      <c r="B45" s="55" t="s">
        <v>237</v>
      </c>
      <c r="C45" s="48" t="s">
        <v>238</v>
      </c>
      <c r="D45" s="56" t="s">
        <v>239</v>
      </c>
      <c r="E45" s="55" t="s">
        <v>237</v>
      </c>
      <c r="F45" s="48" t="s">
        <v>238</v>
      </c>
      <c r="G45" s="56" t="s">
        <v>239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240</v>
      </c>
      <c r="B67" s="57" t="s">
        <v>35</v>
      </c>
      <c r="C67" s="57" t="s">
        <v>241</v>
      </c>
      <c r="D67" s="57" t="s">
        <v>242</v>
      </c>
      <c r="E67" s="57" t="s">
        <v>243</v>
      </c>
    </row>
    <row r="68" spans="1:7" x14ac:dyDescent="0.3">
      <c r="A68" s="58">
        <v>10</v>
      </c>
      <c r="B68" s="38" t="s">
        <v>36</v>
      </c>
      <c r="C68" s="51" t="s">
        <v>211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36</v>
      </c>
      <c r="C69" s="51" t="s">
        <v>211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36</v>
      </c>
      <c r="C70" s="51" t="s">
        <v>211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36</v>
      </c>
      <c r="C71" s="51" t="s">
        <v>211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36</v>
      </c>
      <c r="C72" s="51" t="s">
        <v>211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36</v>
      </c>
      <c r="C73" s="51" t="s">
        <v>211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36</v>
      </c>
      <c r="C74" s="51" t="s">
        <v>211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36</v>
      </c>
      <c r="C75" s="51" t="s">
        <v>211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36</v>
      </c>
      <c r="C76" s="51" t="s">
        <v>211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36</v>
      </c>
      <c r="C77" s="51" t="s">
        <v>211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36</v>
      </c>
      <c r="C78" s="51" t="s">
        <v>211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208</v>
      </c>
      <c r="C79" s="51" t="s">
        <v>211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208</v>
      </c>
      <c r="C80" s="51" t="s">
        <v>211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208</v>
      </c>
      <c r="C81" s="51" t="s">
        <v>211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208</v>
      </c>
      <c r="C82" s="51" t="s">
        <v>211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208</v>
      </c>
      <c r="C83" s="51" t="s">
        <v>211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208</v>
      </c>
      <c r="C84" s="51" t="s">
        <v>211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208</v>
      </c>
      <c r="C85" s="51" t="s">
        <v>211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208</v>
      </c>
      <c r="C86" s="51" t="s">
        <v>211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208</v>
      </c>
      <c r="C87" s="51" t="s">
        <v>211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208</v>
      </c>
      <c r="C88" s="51" t="s">
        <v>211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208</v>
      </c>
      <c r="C89" s="51" t="s">
        <v>211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209</v>
      </c>
      <c r="C90" s="51" t="s">
        <v>211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209</v>
      </c>
      <c r="C91" s="51" t="s">
        <v>211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209</v>
      </c>
      <c r="C92" s="51" t="s">
        <v>211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209</v>
      </c>
      <c r="C93" s="51" t="s">
        <v>211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209</v>
      </c>
      <c r="C94" s="51" t="s">
        <v>211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209</v>
      </c>
      <c r="C95" s="51" t="s">
        <v>211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209</v>
      </c>
      <c r="C96" s="51" t="s">
        <v>211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209</v>
      </c>
      <c r="C97" s="51" t="s">
        <v>211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209</v>
      </c>
      <c r="C98" s="51" t="s">
        <v>211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209</v>
      </c>
      <c r="C99" s="51" t="s">
        <v>211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209</v>
      </c>
      <c r="C100" s="51" t="s">
        <v>211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36</v>
      </c>
      <c r="C101" s="51" t="s">
        <v>32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36</v>
      </c>
      <c r="C102" s="51" t="s">
        <v>32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36</v>
      </c>
      <c r="C103" s="51" t="s">
        <v>32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36</v>
      </c>
      <c r="C104" s="51" t="s">
        <v>32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36</v>
      </c>
      <c r="C105" s="51" t="s">
        <v>32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36</v>
      </c>
      <c r="C106" s="51" t="s">
        <v>32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36</v>
      </c>
      <c r="C107" s="51" t="s">
        <v>32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36</v>
      </c>
      <c r="C108" s="51" t="s">
        <v>32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36</v>
      </c>
      <c r="C109" s="51" t="s">
        <v>32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36</v>
      </c>
      <c r="C110" s="51" t="s">
        <v>32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36</v>
      </c>
      <c r="C111" s="51" t="s">
        <v>32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208</v>
      </c>
      <c r="C112" s="51" t="s">
        <v>32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208</v>
      </c>
      <c r="C113" s="51" t="s">
        <v>32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208</v>
      </c>
      <c r="C114" s="51" t="s">
        <v>32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208</v>
      </c>
      <c r="C115" s="51" t="s">
        <v>32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208</v>
      </c>
      <c r="C116" s="51" t="s">
        <v>32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208</v>
      </c>
      <c r="C117" s="51" t="s">
        <v>32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208</v>
      </c>
      <c r="C118" s="51" t="s">
        <v>32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208</v>
      </c>
      <c r="C119" s="51" t="s">
        <v>32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208</v>
      </c>
      <c r="C120" s="51" t="s">
        <v>32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208</v>
      </c>
      <c r="C121" s="51" t="s">
        <v>32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208</v>
      </c>
      <c r="C122" s="51" t="s">
        <v>32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209</v>
      </c>
      <c r="C123" s="51" t="s">
        <v>32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209</v>
      </c>
      <c r="C124" s="51" t="s">
        <v>32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209</v>
      </c>
      <c r="C125" s="51" t="s">
        <v>32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209</v>
      </c>
      <c r="C126" s="51" t="s">
        <v>32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209</v>
      </c>
      <c r="C127" s="51" t="s">
        <v>32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209</v>
      </c>
      <c r="C128" s="51" t="s">
        <v>32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209</v>
      </c>
      <c r="C129" s="51" t="s">
        <v>32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209</v>
      </c>
      <c r="C130" s="51" t="s">
        <v>32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209</v>
      </c>
      <c r="C131" s="51" t="s">
        <v>32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209</v>
      </c>
      <c r="C132" s="51" t="s">
        <v>32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209</v>
      </c>
      <c r="C133" s="51" t="s">
        <v>32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244</v>
      </c>
      <c r="B136" s="57" t="s">
        <v>245</v>
      </c>
      <c r="C136" s="50"/>
    </row>
    <row r="137" spans="1:5" x14ac:dyDescent="0.3">
      <c r="A137" s="58" t="s">
        <v>43</v>
      </c>
      <c r="B137" s="61">
        <v>3023.6659187519999</v>
      </c>
      <c r="C137" s="50"/>
    </row>
    <row r="138" spans="1:5" x14ac:dyDescent="0.3">
      <c r="A138" s="58" t="s">
        <v>246</v>
      </c>
      <c r="B138" s="61">
        <v>3462.3325584952004</v>
      </c>
      <c r="C138" s="50"/>
    </row>
    <row r="139" spans="1:5" x14ac:dyDescent="0.3">
      <c r="A139" s="58" t="s">
        <v>247</v>
      </c>
      <c r="B139" s="61">
        <v>1051.9666372200002</v>
      </c>
      <c r="C139" s="50"/>
    </row>
    <row r="140" spans="1:5" x14ac:dyDescent="0.3">
      <c r="A140" s="58" t="s">
        <v>248</v>
      </c>
      <c r="B140" s="61">
        <v>680.11092420000011</v>
      </c>
      <c r="C140" s="50"/>
    </row>
    <row r="141" spans="1:5" x14ac:dyDescent="0.3">
      <c r="A141" s="58" t="s">
        <v>249</v>
      </c>
      <c r="B141" s="61">
        <v>3969.2165201334001</v>
      </c>
      <c r="C141" s="50"/>
    </row>
    <row r="142" spans="1:5" x14ac:dyDescent="0.3">
      <c r="A142" s="58" t="s">
        <v>47</v>
      </c>
      <c r="B142" s="61">
        <v>3120.9100082900004</v>
      </c>
      <c r="C142" s="50"/>
    </row>
    <row r="143" spans="1:5" x14ac:dyDescent="0.3">
      <c r="A143" s="58" t="s">
        <v>41</v>
      </c>
      <c r="B143" s="61">
        <v>3118.3572501499998</v>
      </c>
      <c r="C143" s="50"/>
    </row>
    <row r="144" spans="1:5" x14ac:dyDescent="0.3">
      <c r="A144" s="58" t="s">
        <v>250</v>
      </c>
      <c r="B144" s="61">
        <v>2602.140331525</v>
      </c>
      <c r="C144" s="50"/>
    </row>
    <row r="145" spans="1:2" x14ac:dyDescent="0.3">
      <c r="A145" s="58" t="s">
        <v>251</v>
      </c>
      <c r="B145" s="61">
        <v>4557.9951523</v>
      </c>
    </row>
    <row r="146" spans="1:2" x14ac:dyDescent="0.3">
      <c r="A146" s="58" t="s">
        <v>252</v>
      </c>
      <c r="B146" s="61">
        <v>3047.448611238</v>
      </c>
    </row>
    <row r="147" spans="1:2" x14ac:dyDescent="0.3">
      <c r="A147" s="58" t="s">
        <v>253</v>
      </c>
      <c r="B147" s="61">
        <v>740.69039574999999</v>
      </c>
    </row>
    <row r="148" spans="1:2" x14ac:dyDescent="0.3">
      <c r="A148" s="58" t="s">
        <v>40</v>
      </c>
      <c r="B148" s="61">
        <v>897.80714540400004</v>
      </c>
    </row>
    <row r="149" spans="1:2" x14ac:dyDescent="0.3">
      <c r="A149" s="58" t="s">
        <v>254</v>
      </c>
      <c r="B149" s="61">
        <v>883.16209499700005</v>
      </c>
    </row>
    <row r="150" spans="1:2" x14ac:dyDescent="0.3">
      <c r="A150" s="58" t="s">
        <v>255</v>
      </c>
      <c r="B150" s="61">
        <v>1019.94225066</v>
      </c>
    </row>
    <row r="151" spans="1:2" x14ac:dyDescent="0.3">
      <c r="A151" s="58" t="s">
        <v>256</v>
      </c>
      <c r="B151" s="61">
        <v>889.46139315170001</v>
      </c>
    </row>
    <row r="152" spans="1:2" x14ac:dyDescent="0.3">
      <c r="A152" s="58" t="s">
        <v>257</v>
      </c>
      <c r="B152" s="61">
        <v>752.72081800977992</v>
      </c>
    </row>
    <row r="153" spans="1:2" x14ac:dyDescent="0.3">
      <c r="A153" s="58" t="s">
        <v>258</v>
      </c>
      <c r="B153" s="61">
        <v>946.9611047855999</v>
      </c>
    </row>
    <row r="154" spans="1:2" x14ac:dyDescent="0.3">
      <c r="A154" s="58" t="s">
        <v>259</v>
      </c>
      <c r="B154" s="61">
        <v>1074.1029483240002</v>
      </c>
    </row>
    <row r="155" spans="1:2" x14ac:dyDescent="0.3">
      <c r="A155" s="58" t="s">
        <v>260</v>
      </c>
      <c r="B155" s="61">
        <v>1420.210775454</v>
      </c>
    </row>
    <row r="156" spans="1:2" x14ac:dyDescent="0.3">
      <c r="A156" s="58" t="s">
        <v>261</v>
      </c>
      <c r="B156" s="61">
        <v>774.61553566148007</v>
      </c>
    </row>
    <row r="157" spans="1:2" x14ac:dyDescent="0.3">
      <c r="A157" s="58" t="s">
        <v>262</v>
      </c>
      <c r="B157" s="61">
        <v>765.12397890409</v>
      </c>
    </row>
    <row r="158" spans="1:2" x14ac:dyDescent="0.3">
      <c r="A158" s="58" t="s">
        <v>263</v>
      </c>
      <c r="B158" s="61">
        <v>1001.1849360304</v>
      </c>
    </row>
    <row r="159" spans="1:2" x14ac:dyDescent="0.3">
      <c r="A159" s="58" t="s">
        <v>264</v>
      </c>
      <c r="B159" s="61">
        <v>1279.8013208596001</v>
      </c>
    </row>
    <row r="160" spans="1:2" x14ac:dyDescent="0.3">
      <c r="A160" s="58" t="s">
        <v>265</v>
      </c>
      <c r="B160" s="61">
        <v>723.80564597088994</v>
      </c>
    </row>
    <row r="161" spans="1:2" x14ac:dyDescent="0.3">
      <c r="A161" s="58" t="s">
        <v>266</v>
      </c>
      <c r="B161" s="61">
        <v>1232.6787939830401</v>
      </c>
    </row>
    <row r="162" spans="1:2" x14ac:dyDescent="0.3">
      <c r="A162" s="58" t="s">
        <v>267</v>
      </c>
      <c r="B162" s="61">
        <v>1788.5815223822999</v>
      </c>
    </row>
    <row r="163" spans="1:2" x14ac:dyDescent="0.3">
      <c r="A163" s="58" t="s">
        <v>268</v>
      </c>
      <c r="B163" s="61">
        <v>626.40579813411489</v>
      </c>
    </row>
    <row r="164" spans="1:2" x14ac:dyDescent="0.3">
      <c r="A164" s="58" t="s">
        <v>269</v>
      </c>
      <c r="B164" s="61">
        <v>1886.3492469093001</v>
      </c>
    </row>
    <row r="165" spans="1:2" x14ac:dyDescent="0.3">
      <c r="A165" s="58" t="s">
        <v>270</v>
      </c>
      <c r="B165" s="61">
        <v>1245.7052980295</v>
      </c>
    </row>
    <row r="166" spans="1:2" x14ac:dyDescent="0.3">
      <c r="A166" s="58" t="s">
        <v>271</v>
      </c>
      <c r="B166" s="61">
        <v>1283.4653141729998</v>
      </c>
    </row>
    <row r="167" spans="1:2" x14ac:dyDescent="0.3">
      <c r="A167" s="58" t="s">
        <v>272</v>
      </c>
      <c r="B167" s="61">
        <v>1487.4535399215001</v>
      </c>
    </row>
    <row r="168" spans="1:2" x14ac:dyDescent="0.3">
      <c r="A168" s="58" t="s">
        <v>48</v>
      </c>
      <c r="B168" s="61">
        <v>1457.6311863044998</v>
      </c>
    </row>
    <row r="169" spans="1:2" x14ac:dyDescent="0.3">
      <c r="A169" s="58" t="s">
        <v>273</v>
      </c>
      <c r="B169" s="61">
        <v>1441.472337333</v>
      </c>
    </row>
    <row r="170" spans="1:2" x14ac:dyDescent="0.3">
      <c r="A170" s="58" t="s">
        <v>274</v>
      </c>
      <c r="B170" s="61">
        <v>2444.8047991999997</v>
      </c>
    </row>
    <row r="171" spans="1:2" x14ac:dyDescent="0.3">
      <c r="A171" s="58" t="s">
        <v>45</v>
      </c>
      <c r="B171" s="61">
        <v>3601.9636359103997</v>
      </c>
    </row>
    <row r="172" spans="1:2" x14ac:dyDescent="0.3">
      <c r="A172" s="58" t="s">
        <v>275</v>
      </c>
      <c r="B172" s="61">
        <f>25000*0.17</f>
        <v>4250</v>
      </c>
    </row>
    <row r="173" spans="1:2" x14ac:dyDescent="0.3">
      <c r="A173" s="58" t="s">
        <v>276</v>
      </c>
      <c r="B173" s="61">
        <v>2724.2246671013995</v>
      </c>
    </row>
    <row r="174" spans="1:2" x14ac:dyDescent="0.3">
      <c r="A174" s="58" t="s">
        <v>277</v>
      </c>
      <c r="B174" s="61">
        <v>2678.1548398122004</v>
      </c>
    </row>
    <row r="175" spans="1:2" x14ac:dyDescent="0.3">
      <c r="A175" s="58" t="s">
        <v>278</v>
      </c>
      <c r="B175" s="61">
        <v>925.39090928000007</v>
      </c>
    </row>
    <row r="176" spans="1:2" x14ac:dyDescent="0.3">
      <c r="A176" s="58" t="s">
        <v>279</v>
      </c>
      <c r="B176" s="61">
        <v>832.84025582999993</v>
      </c>
    </row>
    <row r="177" spans="1:2" x14ac:dyDescent="0.3">
      <c r="A177" s="58" t="s">
        <v>280</v>
      </c>
      <c r="B177" s="61">
        <v>3847.6402921410004</v>
      </c>
    </row>
    <row r="178" spans="1:2" x14ac:dyDescent="0.3">
      <c r="A178" s="58" t="s">
        <v>281</v>
      </c>
      <c r="B178" s="61">
        <v>3849.2868810089999</v>
      </c>
    </row>
    <row r="179" spans="1:2" x14ac:dyDescent="0.3">
      <c r="A179" s="58" t="s">
        <v>282</v>
      </c>
      <c r="B179" s="61">
        <v>3453.8088875220001</v>
      </c>
    </row>
    <row r="180" spans="1:2" x14ac:dyDescent="0.3">
      <c r="A180" s="58" t="s">
        <v>283</v>
      </c>
      <c r="B180" s="61">
        <v>3391.1981881470001</v>
      </c>
    </row>
    <row r="181" spans="1:2" x14ac:dyDescent="0.3">
      <c r="A181" s="58" t="s">
        <v>284</v>
      </c>
      <c r="B181" s="61">
        <v>3759.2860042549196</v>
      </c>
    </row>
    <row r="182" spans="1:2" x14ac:dyDescent="0.3">
      <c r="A182" s="58" t="s">
        <v>285</v>
      </c>
      <c r="B182" s="61">
        <v>2658.9292517203125</v>
      </c>
    </row>
    <row r="183" spans="1:2" x14ac:dyDescent="0.3">
      <c r="A183" s="58" t="s">
        <v>286</v>
      </c>
      <c r="B183" s="61">
        <v>4303.8993272226562</v>
      </c>
    </row>
    <row r="184" spans="1:2" x14ac:dyDescent="0.3">
      <c r="A184" s="58" t="s">
        <v>287</v>
      </c>
      <c r="B184" s="61">
        <v>4054.8428879156254</v>
      </c>
    </row>
    <row r="185" spans="1:2" x14ac:dyDescent="0.3">
      <c r="A185" s="58" t="s">
        <v>288</v>
      </c>
      <c r="B185" s="61">
        <v>3165.3350675625002</v>
      </c>
    </row>
    <row r="186" spans="1:2" x14ac:dyDescent="0.3">
      <c r="A186" s="58" t="s">
        <v>289</v>
      </c>
      <c r="B186" s="61">
        <v>21727.520374600001</v>
      </c>
    </row>
    <row r="187" spans="1:2" x14ac:dyDescent="0.3">
      <c r="A187" s="58" t="s">
        <v>290</v>
      </c>
      <c r="B187" s="61">
        <v>763729.18826415588</v>
      </c>
    </row>
    <row r="188" spans="1:2" x14ac:dyDescent="0.3">
      <c r="A188" s="58" t="s">
        <v>291</v>
      </c>
      <c r="B188" s="61">
        <v>28201.949841089998</v>
      </c>
    </row>
    <row r="189" spans="1:2" x14ac:dyDescent="0.3">
      <c r="A189" s="58" t="s">
        <v>292</v>
      </c>
      <c r="B189" s="61">
        <v>745475.31653372501</v>
      </c>
    </row>
    <row r="190" spans="1:2" x14ac:dyDescent="0.3">
      <c r="A190" s="58" t="s">
        <v>44</v>
      </c>
      <c r="B190" s="61">
        <v>1313.2063369499999</v>
      </c>
    </row>
    <row r="191" spans="1:2" x14ac:dyDescent="0.3">
      <c r="A191" s="58" t="s">
        <v>293</v>
      </c>
      <c r="B191" s="61">
        <v>864.20333642999981</v>
      </c>
    </row>
    <row r="192" spans="1:2" x14ac:dyDescent="0.3">
      <c r="A192" s="58" t="s">
        <v>39</v>
      </c>
      <c r="B192" s="61">
        <v>2605.9006745199999</v>
      </c>
    </row>
    <row r="194" spans="1:2" x14ac:dyDescent="0.3">
      <c r="A194" s="23" t="s">
        <v>244</v>
      </c>
      <c r="B194" s="62" t="s">
        <v>245</v>
      </c>
    </row>
    <row r="195" spans="1:2" x14ac:dyDescent="0.3">
      <c r="A195" t="s">
        <v>294</v>
      </c>
      <c r="B195" s="63">
        <v>5895.9797374104</v>
      </c>
    </row>
    <row r="196" spans="1:2" x14ac:dyDescent="0.3">
      <c r="A196" t="s">
        <v>295</v>
      </c>
      <c r="B196" s="63">
        <v>2576.2094178333336</v>
      </c>
    </row>
    <row r="197" spans="1:2" x14ac:dyDescent="0.3">
      <c r="A197" t="s">
        <v>296</v>
      </c>
      <c r="B197" s="63">
        <v>4062.9965796000001</v>
      </c>
    </row>
    <row r="198" spans="1:2" x14ac:dyDescent="0.3">
      <c r="A198" t="s">
        <v>297</v>
      </c>
      <c r="B198" s="63">
        <v>4011.4789508640006</v>
      </c>
    </row>
    <row r="199" spans="1:2" x14ac:dyDescent="0.3">
      <c r="A199" t="s">
        <v>298</v>
      </c>
      <c r="B199" s="63">
        <v>2682.7232290992001</v>
      </c>
    </row>
    <row r="200" spans="1:2" x14ac:dyDescent="0.3">
      <c r="A200" t="s">
        <v>299</v>
      </c>
      <c r="B200" s="63">
        <v>2548.7495763313045</v>
      </c>
    </row>
    <row r="201" spans="1:2" x14ac:dyDescent="0.3">
      <c r="A201" t="s">
        <v>300</v>
      </c>
      <c r="B201" s="63">
        <v>3366.7024762240003</v>
      </c>
    </row>
    <row r="202" spans="1:2" x14ac:dyDescent="0.3">
      <c r="A202" t="s">
        <v>301</v>
      </c>
      <c r="B202" s="63">
        <v>3370.0393371360001</v>
      </c>
    </row>
    <row r="203" spans="1:2" x14ac:dyDescent="0.3">
      <c r="A203" t="s">
        <v>302</v>
      </c>
      <c r="B203" s="63">
        <v>3392.0923222031997</v>
      </c>
    </row>
    <row r="204" spans="1:2" x14ac:dyDescent="0.3">
      <c r="A204" t="s">
        <v>303</v>
      </c>
      <c r="B204" s="63">
        <v>3141.3860726075795</v>
      </c>
    </row>
    <row r="206" spans="1:2" x14ac:dyDescent="0.3">
      <c r="A206" s="23" t="s">
        <v>304</v>
      </c>
      <c r="B206" s="23" t="s">
        <v>206</v>
      </c>
    </row>
    <row r="207" spans="1:2" x14ac:dyDescent="0.3">
      <c r="A207" t="s">
        <v>305</v>
      </c>
      <c r="B207">
        <v>1.6E-2</v>
      </c>
    </row>
    <row r="208" spans="1:2" x14ac:dyDescent="0.3">
      <c r="A208" t="s">
        <v>306</v>
      </c>
      <c r="B208">
        <v>6.0000000000000001E-3</v>
      </c>
    </row>
    <row r="209" spans="1:5" x14ac:dyDescent="0.3">
      <c r="A209" t="s">
        <v>307</v>
      </c>
      <c r="B209" s="64">
        <v>0.01</v>
      </c>
    </row>
    <row r="210" spans="1:5" x14ac:dyDescent="0.3">
      <c r="A210" t="s">
        <v>308</v>
      </c>
      <c r="B210" s="64">
        <v>1.0999999999999999E-2</v>
      </c>
    </row>
    <row r="211" spans="1:5" x14ac:dyDescent="0.3">
      <c r="A211" t="s">
        <v>309</v>
      </c>
      <c r="B211" s="64">
        <v>5.7000000000000002E-2</v>
      </c>
    </row>
    <row r="212" spans="1:5" x14ac:dyDescent="0.3">
      <c r="A212" t="s">
        <v>310</v>
      </c>
      <c r="B212" s="64">
        <v>4.51</v>
      </c>
    </row>
    <row r="213" spans="1:5" x14ac:dyDescent="0.3">
      <c r="A213" t="s">
        <v>311</v>
      </c>
      <c r="B213" s="64">
        <v>1.45</v>
      </c>
    </row>
    <row r="214" spans="1:5" x14ac:dyDescent="0.3">
      <c r="A214" t="s">
        <v>312</v>
      </c>
      <c r="B214" s="64">
        <v>0.71</v>
      </c>
    </row>
    <row r="215" spans="1:5" x14ac:dyDescent="0.3">
      <c r="A215" s="65" t="s">
        <v>313</v>
      </c>
      <c r="B215" s="64">
        <v>6.0090000000000003</v>
      </c>
    </row>
    <row r="216" spans="1:5" x14ac:dyDescent="0.3">
      <c r="A216" s="65" t="s">
        <v>314</v>
      </c>
      <c r="B216" s="64">
        <v>8.9849999999999994</v>
      </c>
    </row>
    <row r="217" spans="1:5" x14ac:dyDescent="0.3">
      <c r="A217" s="65" t="s">
        <v>315</v>
      </c>
      <c r="B217" s="64">
        <v>25.134</v>
      </c>
    </row>
    <row r="218" spans="1:5" x14ac:dyDescent="0.3">
      <c r="A218" s="66" t="s">
        <v>316</v>
      </c>
      <c r="B218" s="64">
        <v>8.4779999999999998</v>
      </c>
    </row>
    <row r="219" spans="1:5" x14ac:dyDescent="0.3">
      <c r="A219" s="67"/>
    </row>
    <row r="220" spans="1:5" x14ac:dyDescent="0.3">
      <c r="A220" t="s">
        <v>317</v>
      </c>
      <c r="B220">
        <v>0.11</v>
      </c>
    </row>
    <row r="221" spans="1:5" x14ac:dyDescent="0.3">
      <c r="A221" t="s">
        <v>318</v>
      </c>
      <c r="B221">
        <v>0.21</v>
      </c>
    </row>
    <row r="222" spans="1:5" x14ac:dyDescent="0.3">
      <c r="A222" s="68" t="s">
        <v>319</v>
      </c>
      <c r="B222">
        <v>0.24</v>
      </c>
    </row>
    <row r="224" spans="1:5" x14ac:dyDescent="0.3">
      <c r="A224" s="23" t="s">
        <v>320</v>
      </c>
      <c r="B224" s="23" t="s">
        <v>321</v>
      </c>
      <c r="C224" s="23" t="s">
        <v>322</v>
      </c>
      <c r="D224" s="23" t="s">
        <v>323</v>
      </c>
      <c r="E224" s="23" t="s">
        <v>324</v>
      </c>
    </row>
    <row r="225" spans="1:5" x14ac:dyDescent="0.3">
      <c r="A225" t="s">
        <v>131</v>
      </c>
      <c r="B225" t="s">
        <v>325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">
      <c r="A226" t="s">
        <v>136</v>
      </c>
      <c r="B226" t="s">
        <v>325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">
      <c r="A227" t="s">
        <v>326</v>
      </c>
      <c r="B227" t="s">
        <v>325</v>
      </c>
      <c r="C227">
        <f t="shared" si="7"/>
        <v>3.286</v>
      </c>
      <c r="D227">
        <v>2.698</v>
      </c>
      <c r="E227">
        <v>0.58799999999999997</v>
      </c>
    </row>
    <row r="228" spans="1:5" x14ac:dyDescent="0.3">
      <c r="A228" t="s">
        <v>135</v>
      </c>
      <c r="B228" t="s">
        <v>327</v>
      </c>
      <c r="C228">
        <f t="shared" si="7"/>
        <v>3.4169999999999998</v>
      </c>
      <c r="D228">
        <v>2.827</v>
      </c>
      <c r="E228">
        <v>0.59</v>
      </c>
    </row>
    <row r="229" spans="1:5" x14ac:dyDescent="0.3">
      <c r="A229" t="s">
        <v>135</v>
      </c>
      <c r="B229" t="s">
        <v>328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">
      <c r="A230" t="s">
        <v>329</v>
      </c>
      <c r="B230" t="s">
        <v>327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">
      <c r="A232" t="s">
        <v>330</v>
      </c>
      <c r="B232">
        <v>265</v>
      </c>
    </row>
    <row r="235" spans="1:5" ht="15" customHeight="1" x14ac:dyDescent="0.3">
      <c r="A235" s="38"/>
      <c r="B235" s="38" t="s">
        <v>331</v>
      </c>
      <c r="C235" s="38"/>
      <c r="D235" s="38" t="s">
        <v>332</v>
      </c>
      <c r="E235" s="38"/>
    </row>
    <row r="236" spans="1:5" ht="15.6" x14ac:dyDescent="0.35">
      <c r="A236" s="38" t="s">
        <v>333</v>
      </c>
      <c r="B236" s="38" t="s">
        <v>334</v>
      </c>
      <c r="C236" s="38" t="s">
        <v>335</v>
      </c>
      <c r="D236" s="38" t="s">
        <v>334</v>
      </c>
      <c r="E236" s="38" t="s">
        <v>335</v>
      </c>
    </row>
    <row r="237" spans="1:5" x14ac:dyDescent="0.3">
      <c r="A237" s="38" t="s">
        <v>36</v>
      </c>
      <c r="B237" s="38">
        <v>0</v>
      </c>
      <c r="C237" s="38" t="s">
        <v>336</v>
      </c>
      <c r="D237" s="38">
        <v>0</v>
      </c>
      <c r="E237" s="38" t="s">
        <v>336</v>
      </c>
    </row>
    <row r="238" spans="1:5" x14ac:dyDescent="0.3">
      <c r="A238" s="38" t="s">
        <v>208</v>
      </c>
      <c r="B238" s="38">
        <v>0</v>
      </c>
      <c r="C238" s="38" t="s">
        <v>336</v>
      </c>
      <c r="D238" s="38">
        <v>0</v>
      </c>
      <c r="E238" s="38" t="s">
        <v>336</v>
      </c>
    </row>
    <row r="239" spans="1:5" x14ac:dyDescent="0.3">
      <c r="A239" s="38" t="s">
        <v>209</v>
      </c>
      <c r="B239" s="38">
        <v>5</v>
      </c>
      <c r="C239" s="38" t="s">
        <v>337</v>
      </c>
      <c r="D239" s="38">
        <v>9.9</v>
      </c>
      <c r="E239" s="38" t="s">
        <v>338</v>
      </c>
    </row>
    <row r="240" spans="1:5" x14ac:dyDescent="0.3">
      <c r="A240" s="38" t="s">
        <v>339</v>
      </c>
      <c r="B240" s="38">
        <v>16</v>
      </c>
      <c r="C240" s="38" t="s">
        <v>337</v>
      </c>
      <c r="D240" s="38">
        <v>14.3</v>
      </c>
      <c r="E240" s="38" t="s">
        <v>338</v>
      </c>
    </row>
    <row r="242" spans="1:3" ht="15" customHeight="1" x14ac:dyDescent="0.3">
      <c r="A242" s="38"/>
      <c r="B242" s="38" t="s">
        <v>331</v>
      </c>
      <c r="C242" s="38" t="s">
        <v>332</v>
      </c>
    </row>
    <row r="243" spans="1:3" ht="18.75" customHeight="1" x14ac:dyDescent="0.4">
      <c r="A243" s="38" t="s">
        <v>340</v>
      </c>
      <c r="B243" s="38" t="s">
        <v>341</v>
      </c>
      <c r="C243" s="38" t="s">
        <v>341</v>
      </c>
    </row>
    <row r="244" spans="1:3" x14ac:dyDescent="0.3">
      <c r="A244" s="38">
        <v>1</v>
      </c>
      <c r="B244" s="38">
        <v>2.7</v>
      </c>
      <c r="C244" s="38">
        <v>2.4</v>
      </c>
    </row>
    <row r="245" spans="1:3" x14ac:dyDescent="0.3">
      <c r="A245" s="38">
        <v>2</v>
      </c>
      <c r="B245" s="38">
        <v>4.2</v>
      </c>
      <c r="C245" s="38">
        <v>3.72</v>
      </c>
    </row>
    <row r="246" spans="1:3" x14ac:dyDescent="0.3">
      <c r="A246" s="38">
        <v>3</v>
      </c>
      <c r="B246" s="38">
        <v>5.6</v>
      </c>
      <c r="C246" s="38">
        <v>5.04</v>
      </c>
    </row>
    <row r="247" spans="1:3" x14ac:dyDescent="0.3">
      <c r="A247" s="38">
        <v>4</v>
      </c>
      <c r="B247" s="38">
        <v>7.1</v>
      </c>
      <c r="C247" s="38">
        <v>6.36</v>
      </c>
    </row>
    <row r="248" spans="1:3" x14ac:dyDescent="0.3">
      <c r="A248" s="38">
        <v>5</v>
      </c>
      <c r="B248" s="38">
        <v>7.4</v>
      </c>
      <c r="C248" s="38">
        <v>6.6</v>
      </c>
    </row>
    <row r="249" spans="1:3" x14ac:dyDescent="0.3">
      <c r="A249" s="38">
        <v>6</v>
      </c>
      <c r="B249" s="38">
        <v>8.6</v>
      </c>
      <c r="C249" s="38">
        <v>7.7</v>
      </c>
    </row>
    <row r="250" spans="1:3" x14ac:dyDescent="0.3">
      <c r="A250" s="38">
        <v>7</v>
      </c>
      <c r="B250" s="38">
        <v>9.8000000000000007</v>
      </c>
      <c r="C250" s="38">
        <v>8.8000000000000007</v>
      </c>
    </row>
    <row r="251" spans="1:3" x14ac:dyDescent="0.3">
      <c r="A251" s="38">
        <v>8</v>
      </c>
      <c r="B251" s="38">
        <v>11.1</v>
      </c>
      <c r="C251" s="38">
        <v>9.9</v>
      </c>
    </row>
    <row r="252" spans="1:3" x14ac:dyDescent="0.3">
      <c r="A252" s="38">
        <v>9</v>
      </c>
      <c r="B252" s="38">
        <v>12.3</v>
      </c>
      <c r="C252" s="38">
        <v>11</v>
      </c>
    </row>
    <row r="253" spans="1:3" x14ac:dyDescent="0.3">
      <c r="A253" s="38">
        <v>10</v>
      </c>
      <c r="B253" s="38">
        <v>13.5</v>
      </c>
      <c r="C253" s="38">
        <v>12.1</v>
      </c>
    </row>
    <row r="254" spans="1:3" x14ac:dyDescent="0.3">
      <c r="A254" s="38">
        <v>11</v>
      </c>
      <c r="B254" s="38">
        <v>13.9</v>
      </c>
      <c r="C254" s="38">
        <v>12.46</v>
      </c>
    </row>
    <row r="255" spans="1:3" x14ac:dyDescent="0.3">
      <c r="A255" s="38">
        <v>12</v>
      </c>
      <c r="B255" s="38">
        <v>14.3</v>
      </c>
      <c r="C255" s="38">
        <v>12.82</v>
      </c>
    </row>
    <row r="256" spans="1:3" x14ac:dyDescent="0.3">
      <c r="A256" s="38">
        <v>13</v>
      </c>
      <c r="B256" s="38">
        <v>14.7</v>
      </c>
      <c r="C256" s="38">
        <v>13.18</v>
      </c>
    </row>
    <row r="257" spans="1:3" x14ac:dyDescent="0.3">
      <c r="A257" s="38">
        <v>14</v>
      </c>
      <c r="B257" s="38">
        <v>15.1</v>
      </c>
      <c r="C257" s="38">
        <v>13.54</v>
      </c>
    </row>
    <row r="258" spans="1:3" x14ac:dyDescent="0.3">
      <c r="A258" s="38">
        <v>15</v>
      </c>
      <c r="B258" s="38">
        <v>15.6</v>
      </c>
      <c r="C258" s="38">
        <v>13.9</v>
      </c>
    </row>
    <row r="259" spans="1:3" x14ac:dyDescent="0.3">
      <c r="A259" s="38">
        <v>16</v>
      </c>
      <c r="B259" s="38">
        <v>15.6</v>
      </c>
      <c r="C259" s="38">
        <v>13.98</v>
      </c>
    </row>
    <row r="260" spans="1:3" x14ac:dyDescent="0.3">
      <c r="A260" s="38">
        <v>17</v>
      </c>
      <c r="B260" s="38">
        <v>15.7</v>
      </c>
      <c r="C260" s="38">
        <v>14.06</v>
      </c>
    </row>
    <row r="261" spans="1:3" x14ac:dyDescent="0.3">
      <c r="A261" s="38">
        <v>18</v>
      </c>
      <c r="B261" s="38">
        <v>15.8</v>
      </c>
      <c r="C261" s="38">
        <v>14.14</v>
      </c>
    </row>
    <row r="262" spans="1:3" x14ac:dyDescent="0.3">
      <c r="A262" s="38">
        <v>19</v>
      </c>
      <c r="B262" s="38">
        <v>15.9</v>
      </c>
      <c r="C262" s="38">
        <v>14.22</v>
      </c>
    </row>
    <row r="263" spans="1:3" x14ac:dyDescent="0.3">
      <c r="A263" s="38">
        <v>20</v>
      </c>
      <c r="B263" s="38">
        <v>16</v>
      </c>
      <c r="C263" s="38">
        <v>14.3</v>
      </c>
    </row>
    <row r="265" spans="1:3" ht="15" customHeight="1" x14ac:dyDescent="0.3">
      <c r="A265" s="38" t="s">
        <v>35</v>
      </c>
      <c r="B265" s="38" t="s">
        <v>342</v>
      </c>
      <c r="C265" s="38" t="s">
        <v>343</v>
      </c>
    </row>
    <row r="266" spans="1:3" x14ac:dyDescent="0.3">
      <c r="A266" s="38" t="s">
        <v>209</v>
      </c>
      <c r="B266" s="38">
        <v>34.299999999999997</v>
      </c>
      <c r="C266" s="38">
        <v>34</v>
      </c>
    </row>
    <row r="267" spans="1:3" x14ac:dyDescent="0.3">
      <c r="A267" s="38" t="s">
        <v>208</v>
      </c>
      <c r="B267" s="38">
        <v>49.5</v>
      </c>
      <c r="C267" s="38">
        <v>85</v>
      </c>
    </row>
    <row r="268" spans="1:3" x14ac:dyDescent="0.3">
      <c r="A268" s="38" t="s">
        <v>36</v>
      </c>
      <c r="B268" s="38">
        <v>43.1</v>
      </c>
      <c r="C268" s="38">
        <v>52</v>
      </c>
    </row>
    <row r="269" spans="1:3" x14ac:dyDescent="0.3">
      <c r="A269" s="38" t="s">
        <v>344</v>
      </c>
      <c r="B269" s="38" t="s">
        <v>345</v>
      </c>
      <c r="C269" s="38" t="s">
        <v>346</v>
      </c>
    </row>
    <row r="271" spans="1:3" ht="15" customHeight="1" x14ac:dyDescent="0.3">
      <c r="A271" s="38" t="s">
        <v>35</v>
      </c>
      <c r="B271" s="38" t="s">
        <v>347</v>
      </c>
      <c r="C271" s="38" t="s">
        <v>343</v>
      </c>
    </row>
    <row r="272" spans="1:3" x14ac:dyDescent="0.3">
      <c r="A272" s="38" t="s">
        <v>339</v>
      </c>
      <c r="B272" s="38">
        <v>41.5</v>
      </c>
      <c r="C272" s="38">
        <v>47</v>
      </c>
    </row>
    <row r="273" spans="1:3" x14ac:dyDescent="0.3">
      <c r="A273" s="38" t="s">
        <v>344</v>
      </c>
      <c r="B273" s="38" t="s">
        <v>345</v>
      </c>
      <c r="C273" s="38" t="s">
        <v>346</v>
      </c>
    </row>
    <row r="276" spans="1:3" x14ac:dyDescent="0.3">
      <c r="A276" s="38" t="s">
        <v>348</v>
      </c>
      <c r="B276" s="38">
        <v>0.49</v>
      </c>
    </row>
    <row r="278" spans="1:3" x14ac:dyDescent="0.3">
      <c r="A278" s="38" t="s">
        <v>349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HENAFF Morgane</dc:creator>
  <cp:keywords/>
  <dc:description/>
  <cp:lastModifiedBy>Lucas Charpaud</cp:lastModifiedBy>
  <cp:revision/>
  <dcterms:created xsi:type="dcterms:W3CDTF">2020-09-28T09:31:11Z</dcterms:created>
  <dcterms:modified xsi:type="dcterms:W3CDTF">2025-07-21T14:58:40Z</dcterms:modified>
  <cp:category/>
  <cp:contentStatus/>
</cp:coreProperties>
</file>