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C020FE7B-1C85-470F-A647-E3792610E6E0}" xr6:coauthVersionLast="47" xr6:coauthVersionMax="47" xr10:uidLastSave="{00000000-0000-0000-0000-000000000000}"/>
  <bookViews>
    <workbookView xWindow="28680" yWindow="-120" windowWidth="15600" windowHeight="11160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51" i="2" l="1"/>
  <c r="BI147" i="2"/>
  <c r="BI157" i="2"/>
  <c r="BI96" i="2"/>
  <c r="BI78" i="2"/>
  <c r="BI75" i="2"/>
  <c r="BI9" i="2"/>
  <c r="BI90" i="2"/>
  <c r="BI130" i="2"/>
  <c r="BI64" i="2"/>
  <c r="BI141" i="2"/>
  <c r="BI73" i="2"/>
  <c r="BI8" i="2"/>
  <c r="BI40" i="2"/>
  <c r="BI160" i="2"/>
  <c r="BI123" i="2"/>
  <c r="BI10" i="2"/>
  <c r="BI26" i="2"/>
  <c r="BI60" i="2"/>
  <c r="BI109" i="2"/>
  <c r="BI106" i="2"/>
  <c r="BI121" i="2"/>
  <c r="BI91" i="2"/>
  <c r="BI162" i="2"/>
  <c r="BI5" i="2"/>
  <c r="BI25" i="2"/>
  <c r="BI195" i="2"/>
  <c r="BI85" i="2"/>
  <c r="BI148" i="2"/>
  <c r="BI135" i="2"/>
  <c r="BI38" i="2"/>
  <c r="BI156" i="2"/>
  <c r="BI115" i="2"/>
  <c r="BI102" i="2"/>
  <c r="BI28" i="2"/>
  <c r="BI143" i="2"/>
  <c r="BI48" i="2"/>
  <c r="BI184" i="2"/>
  <c r="BI180" i="2"/>
  <c r="BI105" i="2"/>
  <c r="BI82" i="2"/>
  <c r="BI122" i="2"/>
  <c r="BI46" i="2"/>
  <c r="BI193" i="2"/>
  <c r="BI93" i="2"/>
  <c r="BI49" i="2"/>
  <c r="BI29" i="2"/>
  <c r="BI80" i="2"/>
  <c r="BI69" i="2"/>
  <c r="BI39" i="2"/>
  <c r="BI133" i="2"/>
  <c r="BI17" i="2"/>
  <c r="BI120" i="2"/>
  <c r="BI165" i="2"/>
  <c r="BI168" i="2"/>
  <c r="BI47" i="2"/>
  <c r="BI167" i="2"/>
  <c r="BI202" i="2"/>
  <c r="BI98" i="2"/>
  <c r="BI201" i="2"/>
  <c r="BI37" i="2"/>
  <c r="BI126" i="2"/>
  <c r="BI68" i="2"/>
  <c r="BI171" i="2"/>
  <c r="BI70" i="2"/>
  <c r="BI71" i="2"/>
  <c r="BI74" i="2"/>
  <c r="BI31" i="2"/>
  <c r="BI16" i="2"/>
  <c r="BI136" i="2"/>
  <c r="BI58" i="2"/>
  <c r="BI52" i="2"/>
  <c r="BI199" i="2"/>
  <c r="BI53" i="2"/>
  <c r="BI150" i="2"/>
  <c r="BI81" i="2"/>
  <c r="BI86" i="2"/>
  <c r="BI11" i="2"/>
  <c r="BI22" i="2"/>
  <c r="BI166" i="2"/>
  <c r="BI177" i="2"/>
  <c r="BI145" i="2"/>
  <c r="BI56" i="2"/>
  <c r="BI172" i="2"/>
  <c r="BI32" i="2"/>
  <c r="BI3" i="2"/>
  <c r="C8" i="4" s="1"/>
  <c r="E8" i="4" s="1"/>
  <c r="F8" i="4" s="1"/>
  <c r="G8" i="4" s="1"/>
  <c r="L8" i="4" s="1"/>
  <c r="BI200" i="2"/>
  <c r="BI194" i="2"/>
  <c r="BI186" i="2"/>
  <c r="BI181" i="2"/>
  <c r="BI112" i="2"/>
  <c r="BI33" i="2"/>
  <c r="BI117" i="2"/>
  <c r="BI103" i="2"/>
  <c r="BI190" i="2"/>
  <c r="BI61" i="2"/>
  <c r="BI128" i="2"/>
  <c r="BI7" i="2"/>
  <c r="BI50" i="2"/>
  <c r="BI127" i="2"/>
  <c r="BI140" i="2"/>
  <c r="BI164" i="2"/>
  <c r="BI196" i="2"/>
  <c r="BI142" i="2"/>
  <c r="BI185" i="2"/>
  <c r="BI72" i="2"/>
  <c r="BI12" i="2"/>
  <c r="BI92" i="2"/>
  <c r="BI107" i="2"/>
  <c r="BI57" i="2"/>
  <c r="BI192" i="2"/>
  <c r="BI163" i="2"/>
  <c r="BI159" i="2"/>
  <c r="BI161" i="2"/>
  <c r="BI169" i="2"/>
  <c r="BI152" i="2"/>
  <c r="BI131" i="2"/>
  <c r="BI100" i="2"/>
  <c r="BI14" i="2"/>
  <c r="BI55" i="2"/>
  <c r="BI139" i="2"/>
  <c r="BI153" i="2"/>
  <c r="BI118" i="2"/>
  <c r="BI119" i="2"/>
  <c r="BI144" i="2"/>
  <c r="BI27" i="2"/>
  <c r="BI87" i="2"/>
  <c r="BI113" i="2"/>
  <c r="BI43" i="2"/>
  <c r="BI41" i="2"/>
  <c r="BI187" i="2"/>
  <c r="BI146" i="2"/>
  <c r="BI178" i="2"/>
  <c r="BI110" i="2"/>
  <c r="BI138" i="2"/>
  <c r="BI88" i="2"/>
  <c r="BI111" i="2"/>
  <c r="BI63" i="2"/>
  <c r="BI182" i="2"/>
  <c r="BI104" i="2"/>
  <c r="BI203" i="2"/>
  <c r="BI188" i="2"/>
  <c r="BI24" i="2"/>
  <c r="BI198" i="2"/>
  <c r="BI35" i="2"/>
  <c r="BI83" i="2"/>
  <c r="BI44" i="2"/>
  <c r="BI42" i="2"/>
  <c r="BI76" i="2"/>
  <c r="BI6" i="2"/>
  <c r="BI4" i="2"/>
  <c r="BI67" i="2"/>
  <c r="BI189" i="2"/>
  <c r="BI59" i="2"/>
  <c r="BI174" i="2"/>
  <c r="BI23" i="2"/>
  <c r="BI134" i="2"/>
  <c r="BI137" i="2"/>
  <c r="BI34" i="2"/>
  <c r="BI114" i="2"/>
  <c r="BI124" i="2"/>
  <c r="BI20" i="2"/>
  <c r="BI108" i="2"/>
  <c r="BI36" i="2"/>
  <c r="BI18" i="2"/>
  <c r="BI101" i="2"/>
  <c r="BI13" i="2"/>
  <c r="BI154" i="2"/>
  <c r="BI30" i="2"/>
  <c r="BI173" i="2"/>
  <c r="BI170" i="2"/>
  <c r="BI54" i="2"/>
  <c r="BI97" i="2"/>
  <c r="BI21" i="2"/>
  <c r="BI84" i="2"/>
  <c r="BI66" i="2"/>
  <c r="BI95" i="2"/>
  <c r="BI89" i="2"/>
  <c r="BI191" i="2"/>
  <c r="BI129" i="2"/>
  <c r="BI175" i="2"/>
  <c r="BI45" i="2"/>
  <c r="BI158" i="2"/>
  <c r="BI62" i="2"/>
  <c r="BI151" i="2"/>
  <c r="BI65" i="2"/>
  <c r="BI149" i="2"/>
  <c r="BI132" i="2"/>
  <c r="BI125" i="2"/>
  <c r="BI94" i="2"/>
  <c r="BI15" i="2"/>
  <c r="BI116" i="2"/>
  <c r="BI77" i="2"/>
  <c r="BI183" i="2"/>
  <c r="BI179" i="2"/>
  <c r="BI79" i="2"/>
  <c r="BI19" i="2"/>
  <c r="BI176" i="2"/>
  <c r="BI99" i="2"/>
  <c r="BI197" i="2"/>
  <c r="BI155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<sst xmlns="http://schemas.openxmlformats.org/spreadsheetml/2006/main" count="1177" uniqueCount="325">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</sst>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2.3793080898225729</c:v>
                </c:pt>
                <c:pt idx="2">
                  <c:v>3.0003642996210083</c:v>
                </c:pt>
                <c:pt idx="3">
                  <c:v>3.7841678017287599</c:v>
                </c:pt>
                <c:pt idx="4">
                  <c:v>4.7735237790966574</c:v>
                </c:pt>
                <c:pt idx="5">
                  <c:v>6.0225346181057935</c:v>
                </c:pt>
                <c:pt idx="6">
                  <c:v>7.5995909853256647</c:v>
                </c:pt>
                <c:pt idx="7">
                  <c:v>9.5911571523689911</c:v>
                </c:pt>
                <c:pt idx="8">
                  <c:v>12.106562038828912</c:v>
                </c:pt>
                <c:pt idx="9">
                  <c:v>15.284063885053456</c:v>
                </c:pt>
                <c:pt idx="10">
                  <c:v>19.298528006020888</c:v>
                </c:pt>
                <c:pt idx="11">
                  <c:v>24.371147761410047</c:v>
                </c:pt>
                <c:pt idx="12">
                  <c:v>30.781753838224574</c:v>
                </c:pt>
                <c:pt idx="13">
                  <c:v>38.884402692877721</c:v>
                </c:pt>
                <c:pt idx="14">
                  <c:v>49.127119800966483</c:v>
                </c:pt>
                <c:pt idx="15">
                  <c:v>62.076907697013901</c:v>
                </c:pt>
                <c:pt idx="16">
                  <c:v>56.52447903948589</c:v>
                </c:pt>
                <c:pt idx="17">
                  <c:v>75.417287743586172</c:v>
                </c:pt>
                <c:pt idx="18">
                  <c:v>94.18861383711068</c:v>
                </c:pt>
                <c:pt idx="19">
                  <c:v>112.86626694477626</c:v>
                </c:pt>
                <c:pt idx="20">
                  <c:v>131.46799611812642</c:v>
                </c:pt>
                <c:pt idx="21">
                  <c:v>106.75681222125495</c:v>
                </c:pt>
                <c:pt idx="22">
                  <c:v>126.98414944146755</c:v>
                </c:pt>
                <c:pt idx="23">
                  <c:v>147.13326273728035</c:v>
                </c:pt>
                <c:pt idx="24">
                  <c:v>167.2163927003555</c:v>
                </c:pt>
                <c:pt idx="25">
                  <c:v>187.24258760716546</c:v>
                </c:pt>
                <c:pt idx="26">
                  <c:v>161.4845145207187</c:v>
                </c:pt>
                <c:pt idx="27">
                  <c:v>180.25531254791363</c:v>
                </c:pt>
                <c:pt idx="28">
                  <c:v>198.98032494703705</c:v>
                </c:pt>
                <c:pt idx="29">
                  <c:v>217.6644679358476</c:v>
                </c:pt>
                <c:pt idx="30">
                  <c:v>236.31174371498548</c:v>
                </c:pt>
                <c:pt idx="31">
                  <c:v>209.11889593919315</c:v>
                </c:pt>
                <c:pt idx="32">
                  <c:v>226.20232842131611</c:v>
                </c:pt>
                <c:pt idx="33">
                  <c:v>243.2562184477562</c:v>
                </c:pt>
                <c:pt idx="34">
                  <c:v>260.28292868621458</c:v>
                </c:pt>
                <c:pt idx="35">
                  <c:v>277.28448730625314</c:v>
                </c:pt>
                <c:pt idx="36">
                  <c:v>248.30390605743386</c:v>
                </c:pt>
                <c:pt idx="37">
                  <c:v>263.43320731240294</c:v>
                </c:pt>
                <c:pt idx="38">
                  <c:v>278.54291135662532</c:v>
                </c:pt>
                <c:pt idx="39">
                  <c:v>293.63423101263402</c:v>
                </c:pt>
                <c:pt idx="40">
                  <c:v>308.70824422691641</c:v>
                </c:pt>
                <c:pt idx="41">
                  <c:v>277.59910531675143</c:v>
                </c:pt>
                <c:pt idx="42">
                  <c:v>290.49166725088827</c:v>
                </c:pt>
                <c:pt idx="43">
                  <c:v>303.37144778612083</c:v>
                </c:pt>
                <c:pt idx="44">
                  <c:v>316.23906615147223</c:v>
                </c:pt>
                <c:pt idx="45">
                  <c:v>329.09508705409189</c:v>
                </c:pt>
                <c:pt idx="46">
                  <c:v>305.88313923039249</c:v>
                </c:pt>
                <c:pt idx="47">
                  <c:v>317.1801373243116</c:v>
                </c:pt>
                <c:pt idx="48">
                  <c:v>328.46822517413659</c:v>
                </c:pt>
                <c:pt idx="49">
                  <c:v>339.74775226555511</c:v>
                </c:pt>
                <c:pt idx="50">
                  <c:v>351.01904297525942</c:v>
                </c:pt>
                <c:pt idx="51">
                  <c:v>333.79571492319059</c:v>
                </c:pt>
                <c:pt idx="52">
                  <c:v>343.1926172490393</c:v>
                </c:pt>
                <c:pt idx="53">
                  <c:v>352.58386588275084</c:v>
                </c:pt>
                <c:pt idx="54">
                  <c:v>361.96963273404782</c:v>
                </c:pt>
                <c:pt idx="55">
                  <c:v>371.35008006494354</c:v>
                </c:pt>
                <c:pt idx="56">
                  <c:v>359.15446843311406</c:v>
                </c:pt>
                <c:pt idx="57">
                  <c:v>367.28586264352111</c:v>
                </c:pt>
                <c:pt idx="58">
                  <c:v>375.41332750586366</c:v>
                </c:pt>
                <c:pt idx="59">
                  <c:v>383.53696014432609</c:v>
                </c:pt>
                <c:pt idx="60">
                  <c:v>391.65685323028885</c:v>
                </c:pt>
                <c:pt idx="61">
                  <c:v>379.78806142237414</c:v>
                </c:pt>
                <c:pt idx="62">
                  <c:v>386.66043357385661</c:v>
                </c:pt>
                <c:pt idx="63">
                  <c:v>393.53015307860801</c:v>
                </c:pt>
                <c:pt idx="64">
                  <c:v>400.39727281265851</c:v>
                </c:pt>
                <c:pt idx="65">
                  <c:v>407.26184368889852</c:v>
                </c:pt>
                <c:pt idx="66">
                  <c:v>396.02758560852732</c:v>
                </c:pt>
                <c:pt idx="67">
                  <c:v>401.95762458122334</c:v>
                </c:pt>
                <c:pt idx="68">
                  <c:v>407.88577090657145</c:v>
                </c:pt>
                <c:pt idx="69">
                  <c:v>413.81205599750388</c:v>
                </c:pt>
                <c:pt idx="70">
                  <c:v>419.73651029301612</c:v>
                </c:pt>
                <c:pt idx="71">
                  <c:v>409.44549880731046</c:v>
                </c:pt>
                <c:pt idx="72">
                  <c:v>414.74761709639341</c:v>
                </c:pt>
                <c:pt idx="73">
                  <c:v>420.04827352578349</c:v>
                </c:pt>
                <c:pt idx="74">
                  <c:v>425.34748916314447</c:v>
                </c:pt>
                <c:pt idx="75">
                  <c:v>430.64528450788202</c:v>
                </c:pt>
                <c:pt idx="76">
                  <c:v>420.98353332932419</c:v>
                </c:pt>
                <c:pt idx="77">
                  <c:v>425.34748916314447</c:v>
                </c:pt>
                <c:pt idx="78">
                  <c:v>429.71048176345192</c:v>
                </c:pt>
                <c:pt idx="79">
                  <c:v>434.07252230054763</c:v>
                </c:pt>
                <c:pt idx="80">
                  <c:v>438.43362170168325</c:v>
                </c:pt>
                <c:pt idx="81">
                  <c:v>425.9708325305989</c:v>
                </c:pt>
                <c:pt idx="82">
                  <c:v>425.9708325305989</c:v>
                </c:pt>
                <c:pt idx="83">
                  <c:v>425.9708325305989</c:v>
                </c:pt>
                <c:pt idx="84">
                  <c:v>425.9708325305989</c:v>
                </c:pt>
                <c:pt idx="85">
                  <c:v>425.9708325305989</c:v>
                </c:pt>
                <c:pt idx="86">
                  <c:v>425.9708325305989</c:v>
                </c:pt>
                <c:pt idx="87">
                  <c:v>425.9708325305989</c:v>
                </c:pt>
                <c:pt idx="88">
                  <c:v>425.9708325305989</c:v>
                </c:pt>
                <c:pt idx="89">
                  <c:v>425.9708325305989</c:v>
                </c:pt>
                <c:pt idx="90">
                  <c:v>425.9708325305989</c:v>
                </c:pt>
                <c:pt idx="91">
                  <c:v>425.9708325305989</c:v>
                </c:pt>
                <c:pt idx="92">
                  <c:v>425.9708325305989</c:v>
                </c:pt>
                <c:pt idx="93">
                  <c:v>425.9708325305989</c:v>
                </c:pt>
                <c:pt idx="94">
                  <c:v>425.9708325305989</c:v>
                </c:pt>
                <c:pt idx="95">
                  <c:v>425.9708325305989</c:v>
                </c:pt>
                <c:pt idx="96">
                  <c:v>425.9708325305989</c:v>
                </c:pt>
                <c:pt idx="97">
                  <c:v>425.9708325305989</c:v>
                </c:pt>
                <c:pt idx="98">
                  <c:v>425.9708325305989</c:v>
                </c:pt>
                <c:pt idx="99">
                  <c:v>425.9708325305989</c:v>
                </c:pt>
                <c:pt idx="100">
                  <c:v>425.9708325305989</c:v>
                </c:pt>
                <c:pt idx="101">
                  <c:v>425.9708325305989</c:v>
                </c:pt>
                <c:pt idx="102">
                  <c:v>425.9708325305989</c:v>
                </c:pt>
                <c:pt idx="103">
                  <c:v>425.9708325305989</c:v>
                </c:pt>
                <c:pt idx="104">
                  <c:v>425.9708325305989</c:v>
                </c:pt>
                <c:pt idx="105">
                  <c:v>425.9708325305989</c:v>
                </c:pt>
                <c:pt idx="106">
                  <c:v>425.9708325305989</c:v>
                </c:pt>
                <c:pt idx="107">
                  <c:v>425.9708325305989</c:v>
                </c:pt>
                <c:pt idx="108">
                  <c:v>425.9708325305989</c:v>
                </c:pt>
                <c:pt idx="109">
                  <c:v>425.9708325305989</c:v>
                </c:pt>
                <c:pt idx="110">
                  <c:v>425.9708325305989</c:v>
                </c:pt>
                <c:pt idx="111">
                  <c:v>425.9708325305989</c:v>
                </c:pt>
                <c:pt idx="112">
                  <c:v>425.9708325305989</c:v>
                </c:pt>
                <c:pt idx="113">
                  <c:v>425.9708325305989</c:v>
                </c:pt>
                <c:pt idx="114">
                  <c:v>425.9708325305989</c:v>
                </c:pt>
                <c:pt idx="115">
                  <c:v>425.9708325305989</c:v>
                </c:pt>
                <c:pt idx="116">
                  <c:v>425.9708325305989</c:v>
                </c:pt>
                <c:pt idx="117">
                  <c:v>425.9708325305989</c:v>
                </c:pt>
                <c:pt idx="118">
                  <c:v>425.9708325305989</c:v>
                </c:pt>
                <c:pt idx="119">
                  <c:v>425.9708325305989</c:v>
                </c:pt>
                <c:pt idx="120">
                  <c:v>425.9708325305989</c:v>
                </c:pt>
                <c:pt idx="121">
                  <c:v>425.9708325305989</c:v>
                </c:pt>
                <c:pt idx="122">
                  <c:v>425.9708325305989</c:v>
                </c:pt>
                <c:pt idx="123">
                  <c:v>425.9708325305989</c:v>
                </c:pt>
                <c:pt idx="124">
                  <c:v>425.9708325305989</c:v>
                </c:pt>
                <c:pt idx="125">
                  <c:v>425.9708325305989</c:v>
                </c:pt>
                <c:pt idx="126">
                  <c:v>425.9708325305989</c:v>
                </c:pt>
                <c:pt idx="127">
                  <c:v>425.9708325305989</c:v>
                </c:pt>
                <c:pt idx="128">
                  <c:v>425.9708325305989</c:v>
                </c:pt>
                <c:pt idx="129">
                  <c:v>425.9708325305989</c:v>
                </c:pt>
                <c:pt idx="130">
                  <c:v>425.9708325305989</c:v>
                </c:pt>
                <c:pt idx="131">
                  <c:v>425.9708325305989</c:v>
                </c:pt>
                <c:pt idx="132">
                  <c:v>425.9708325305989</c:v>
                </c:pt>
                <c:pt idx="133">
                  <c:v>425.9708325305989</c:v>
                </c:pt>
                <c:pt idx="134">
                  <c:v>425.9708325305989</c:v>
                </c:pt>
                <c:pt idx="135">
                  <c:v>425.9708325305989</c:v>
                </c:pt>
                <c:pt idx="136">
                  <c:v>425.9708325305989</c:v>
                </c:pt>
                <c:pt idx="137">
                  <c:v>425.9708325305989</c:v>
                </c:pt>
                <c:pt idx="138">
                  <c:v>425.9708325305989</c:v>
                </c:pt>
                <c:pt idx="139">
                  <c:v>425.9708325305989</c:v>
                </c:pt>
                <c:pt idx="140">
                  <c:v>425.9708325305989</c:v>
                </c:pt>
                <c:pt idx="141">
                  <c:v>425.9708325305989</c:v>
                </c:pt>
                <c:pt idx="142">
                  <c:v>425.9708325305989</c:v>
                </c:pt>
                <c:pt idx="143">
                  <c:v>425.9708325305989</c:v>
                </c:pt>
                <c:pt idx="144">
                  <c:v>425.9708325305989</c:v>
                </c:pt>
                <c:pt idx="145">
                  <c:v>425.9708325305989</c:v>
                </c:pt>
                <c:pt idx="146">
                  <c:v>425.9708325305989</c:v>
                </c:pt>
                <c:pt idx="147">
                  <c:v>425.9708325305989</c:v>
                </c:pt>
                <c:pt idx="148">
                  <c:v>425.9708325305989</c:v>
                </c:pt>
                <c:pt idx="149">
                  <c:v>425.9708325305989</c:v>
                </c:pt>
                <c:pt idx="150">
                  <c:v>425.9708325305989</c:v>
                </c:pt>
                <c:pt idx="151">
                  <c:v>425.9708325305989</c:v>
                </c:pt>
                <c:pt idx="152">
                  <c:v>425.9708325305989</c:v>
                </c:pt>
                <c:pt idx="153">
                  <c:v>425.9708325305989</c:v>
                </c:pt>
                <c:pt idx="154">
                  <c:v>425.9708325305989</c:v>
                </c:pt>
                <c:pt idx="155">
                  <c:v>425.9708325305989</c:v>
                </c:pt>
                <c:pt idx="156">
                  <c:v>425.9708325305989</c:v>
                </c:pt>
                <c:pt idx="157">
                  <c:v>425.9708325305989</c:v>
                </c:pt>
                <c:pt idx="158">
                  <c:v>425.9708325305989</c:v>
                </c:pt>
                <c:pt idx="159">
                  <c:v>425.9708325305989</c:v>
                </c:pt>
                <c:pt idx="160">
                  <c:v>425.9708325305989</c:v>
                </c:pt>
                <c:pt idx="161">
                  <c:v>425.9708325305989</c:v>
                </c:pt>
                <c:pt idx="162">
                  <c:v>425.9708325305989</c:v>
                </c:pt>
                <c:pt idx="163">
                  <c:v>425.9708325305989</c:v>
                </c:pt>
                <c:pt idx="164">
                  <c:v>425.9708325305989</c:v>
                </c:pt>
                <c:pt idx="165">
                  <c:v>425.9708325305989</c:v>
                </c:pt>
                <c:pt idx="166">
                  <c:v>425.9708325305989</c:v>
                </c:pt>
                <c:pt idx="167">
                  <c:v>425.9708325305989</c:v>
                </c:pt>
                <c:pt idx="168">
                  <c:v>425.9708325305989</c:v>
                </c:pt>
                <c:pt idx="169">
                  <c:v>425.9708325305989</c:v>
                </c:pt>
                <c:pt idx="170">
                  <c:v>425.9708325305989</c:v>
                </c:pt>
                <c:pt idx="171">
                  <c:v>425.9708325305989</c:v>
                </c:pt>
                <c:pt idx="172">
                  <c:v>425.9708325305989</c:v>
                </c:pt>
                <c:pt idx="173">
                  <c:v>425.9708325305989</c:v>
                </c:pt>
                <c:pt idx="174">
                  <c:v>425.9708325305989</c:v>
                </c:pt>
                <c:pt idx="175">
                  <c:v>425.9708325305989</c:v>
                </c:pt>
                <c:pt idx="176">
                  <c:v>425.9708325305989</c:v>
                </c:pt>
                <c:pt idx="177">
                  <c:v>425.9708325305989</c:v>
                </c:pt>
                <c:pt idx="178">
                  <c:v>425.9708325305989</c:v>
                </c:pt>
                <c:pt idx="179">
                  <c:v>425.9708325305989</c:v>
                </c:pt>
                <c:pt idx="180">
                  <c:v>425.9708325305989</c:v>
                </c:pt>
                <c:pt idx="181">
                  <c:v>425.9708325305989</c:v>
                </c:pt>
                <c:pt idx="182">
                  <c:v>425.9708325305989</c:v>
                </c:pt>
                <c:pt idx="183">
                  <c:v>425.9708325305989</c:v>
                </c:pt>
                <c:pt idx="184">
                  <c:v>425.9708325305989</c:v>
                </c:pt>
                <c:pt idx="185">
                  <c:v>425.9708325305989</c:v>
                </c:pt>
                <c:pt idx="186">
                  <c:v>425.9708325305989</c:v>
                </c:pt>
                <c:pt idx="187">
                  <c:v>425.9708325305989</c:v>
                </c:pt>
                <c:pt idx="188">
                  <c:v>425.9708325305989</c:v>
                </c:pt>
                <c:pt idx="189">
                  <c:v>425.9708325305989</c:v>
                </c:pt>
                <c:pt idx="190">
                  <c:v>425.9708325305989</c:v>
                </c:pt>
                <c:pt idx="191">
                  <c:v>425.9708325305989</c:v>
                </c:pt>
                <c:pt idx="192">
                  <c:v>425.9708325305989</c:v>
                </c:pt>
                <c:pt idx="193">
                  <c:v>425.9708325305989</c:v>
                </c:pt>
                <c:pt idx="194">
                  <c:v>425.9708325305989</c:v>
                </c:pt>
                <c:pt idx="195">
                  <c:v>425.9708325305989</c:v>
                </c:pt>
                <c:pt idx="196">
                  <c:v>425.9708325305989</c:v>
                </c:pt>
                <c:pt idx="197">
                  <c:v>425.9708325305989</c:v>
                </c:pt>
                <c:pt idx="198">
                  <c:v>425.9708325305989</c:v>
                </c:pt>
                <c:pt idx="199">
                  <c:v>425.9708325305989</c:v>
                </c:pt>
                <c:pt idx="200">
                  <c:v>425.9708325305989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2.7867032327331853</c:v>
                </c:pt>
                <c:pt idx="2">
                  <c:v>3.2017857634856668</c:v>
                </c:pt>
                <c:pt idx="3">
                  <c:v>3.6789163915487246</c:v>
                </c:pt>
                <c:pt idx="4">
                  <c:v>4.2274015269501595</c:v>
                </c:pt>
                <c:pt idx="5">
                  <c:v>4.8579478153128859</c:v>
                </c:pt>
                <c:pt idx="6">
                  <c:v>5.5828734326945169</c:v>
                </c:pt>
                <c:pt idx="7">
                  <c:v>6.4163513509010022</c:v>
                </c:pt>
                <c:pt idx="8">
                  <c:v>7.3746894226600324</c:v>
                </c:pt>
                <c:pt idx="9">
                  <c:v>8.4766528732812745</c:v>
                </c:pt>
                <c:pt idx="10">
                  <c:v>9.7438356349847108</c:v>
                </c:pt>
                <c:pt idx="11">
                  <c:v>11.201087939087543</c:v>
                </c:pt>
                <c:pt idx="12">
                  <c:v>12.87700870946709</c:v>
                </c:pt>
                <c:pt idx="13">
                  <c:v>14.804512600946547</c:v>
                </c:pt>
                <c:pt idx="14">
                  <c:v>17.021483024752712</c:v>
                </c:pt>
                <c:pt idx="15">
                  <c:v>19.571524230257339</c:v>
                </c:pt>
                <c:pt idx="16">
                  <c:v>22.504827502760673</c:v>
                </c:pt>
                <c:pt idx="17">
                  <c:v>25.879168831372866</c:v>
                </c:pt>
                <c:pt idx="18">
                  <c:v>29.761058045528703</c:v>
                </c:pt>
                <c:pt idx="19">
                  <c:v>34.227062466870414</c:v>
                </c:pt>
                <c:pt idx="20">
                  <c:v>39.365331636891675</c:v>
                </c:pt>
                <c:pt idx="21">
                  <c:v>45.277353731043483</c:v>
                </c:pt>
                <c:pt idx="22">
                  <c:v>52.079978939056673</c:v>
                </c:pt>
                <c:pt idx="23">
                  <c:v>59.907750473712277</c:v>
                </c:pt>
                <c:pt idx="24">
                  <c:v>68.915590075370019</c:v>
                </c:pt>
                <c:pt idx="25">
                  <c:v>79.281892033161512</c:v>
                </c:pt>
                <c:pt idx="26">
                  <c:v>91.21208799108463</c:v>
                </c:pt>
                <c:pt idx="27">
                  <c:v>104.94275431577547</c:v>
                </c:pt>
                <c:pt idx="28">
                  <c:v>120.74634476564098</c:v>
                </c:pt>
                <c:pt idx="29">
                  <c:v>138.9366438410932</c:v>
                </c:pt>
                <c:pt idx="30">
                  <c:v>159.87505076977902</c:v>
                </c:pt>
                <c:pt idx="31">
                  <c:v>176.5034967211302</c:v>
                </c:pt>
                <c:pt idx="32">
                  <c:v>193.09517808786177</c:v>
                </c:pt>
                <c:pt idx="33">
                  <c:v>209.6536996819755</c:v>
                </c:pt>
                <c:pt idx="34">
                  <c:v>226.18204972363321</c:v>
                </c:pt>
                <c:pt idx="35">
                  <c:v>242.68274365333079</c:v>
                </c:pt>
                <c:pt idx="36">
                  <c:v>259.15792669230871</c:v>
                </c:pt>
                <c:pt idx="37">
                  <c:v>275.60944890961423</c:v>
                </c:pt>
                <c:pt idx="38">
                  <c:v>292.03892140131967</c:v>
                </c:pt>
                <c:pt idx="39">
                  <c:v>308.44775915145914</c:v>
                </c:pt>
                <c:pt idx="40">
                  <c:v>324.83721428705093</c:v>
                </c:pt>
                <c:pt idx="41">
                  <c:v>341.20840226595675</c:v>
                </c:pt>
                <c:pt idx="42">
                  <c:v>357.56232277332794</c:v>
                </c:pt>
                <c:pt idx="43">
                  <c:v>289.88137043365134</c:v>
                </c:pt>
                <c:pt idx="44">
                  <c:v>310.1554702529707</c:v>
                </c:pt>
                <c:pt idx="45">
                  <c:v>330.40015899411554</c:v>
                </c:pt>
                <c:pt idx="46">
                  <c:v>350.61749143650815</c:v>
                </c:pt>
                <c:pt idx="47">
                  <c:v>370.80926610458528</c:v>
                </c:pt>
                <c:pt idx="48">
                  <c:v>390.97706972888363</c:v>
                </c:pt>
                <c:pt idx="49">
                  <c:v>411.12231205081048</c:v>
                </c:pt>
                <c:pt idx="50">
                  <c:v>431.24625344812353</c:v>
                </c:pt>
                <c:pt idx="51">
                  <c:v>379.69478570283377</c:v>
                </c:pt>
                <c:pt idx="52">
                  <c:v>400.19931453365422</c:v>
                </c:pt>
                <c:pt idx="53">
                  <c:v>420.68111268707526</c:v>
                </c:pt>
                <c:pt idx="54">
                  <c:v>441.14144183152825</c:v>
                </c:pt>
                <c:pt idx="55">
                  <c:v>461.58143712209585</c:v>
                </c:pt>
                <c:pt idx="56">
                  <c:v>482.00212504146936</c:v>
                </c:pt>
                <c:pt idx="57">
                  <c:v>502.40443806058096</c:v>
                </c:pt>
                <c:pt idx="58">
                  <c:v>522.78922679449545</c:v>
                </c:pt>
                <c:pt idx="59">
                  <c:v>451.83987363269057</c:v>
                </c:pt>
                <c:pt idx="60">
                  <c:v>471.52547298509126</c:v>
                </c:pt>
                <c:pt idx="61">
                  <c:v>491.19357865765318</c:v>
                </c:pt>
                <c:pt idx="62">
                  <c:v>510.84498920549476</c:v>
                </c:pt>
                <c:pt idx="63">
                  <c:v>530.48043677771761</c:v>
                </c:pt>
                <c:pt idx="64">
                  <c:v>550.10059494314157</c:v>
                </c:pt>
                <c:pt idx="65">
                  <c:v>569.70608534201574</c:v>
                </c:pt>
                <c:pt idx="66">
                  <c:v>589.29748337496153</c:v>
                </c:pt>
                <c:pt idx="67">
                  <c:v>507.52554473940489</c:v>
                </c:pt>
                <c:pt idx="68">
                  <c:v>526.18210722263063</c:v>
                </c:pt>
                <c:pt idx="69">
                  <c:v>544.82474249422387</c:v>
                </c:pt>
                <c:pt idx="70">
                  <c:v>563.45399385500889</c:v>
                </c:pt>
                <c:pt idx="71">
                  <c:v>582.070365776838</c:v>
                </c:pt>
                <c:pt idx="72">
                  <c:v>600.67432785603978</c:v>
                </c:pt>
                <c:pt idx="73">
                  <c:v>619.26631825191726</c:v>
                </c:pt>
                <c:pt idx="74">
                  <c:v>637.84674669111394</c:v>
                </c:pt>
                <c:pt idx="75">
                  <c:v>561.04725635732086</c:v>
                </c:pt>
                <c:pt idx="76">
                  <c:v>579.4452397637549</c:v>
                </c:pt>
                <c:pt idx="77">
                  <c:v>597.83104232022004</c:v>
                </c:pt>
                <c:pt idx="78">
                  <c:v>616.20509108793794</c:v>
                </c:pt>
                <c:pt idx="79">
                  <c:v>634.56778560392775</c:v>
                </c:pt>
                <c:pt idx="80">
                  <c:v>652.91950041628559</c:v>
                </c:pt>
                <c:pt idx="81">
                  <c:v>671.26058731982255</c:v>
                </c:pt>
                <c:pt idx="82">
                  <c:v>689.59137733484988</c:v>
                </c:pt>
                <c:pt idx="83">
                  <c:v>707.91218246480173</c:v>
                </c:pt>
                <c:pt idx="84">
                  <c:v>726.22329726260625</c:v>
                </c:pt>
                <c:pt idx="85">
                  <c:v>620.41708188206758</c:v>
                </c:pt>
                <c:pt idx="86">
                  <c:v>637.77054238181074</c:v>
                </c:pt>
                <c:pt idx="87">
                  <c:v>655.11425094453546</c:v>
                </c:pt>
                <c:pt idx="88">
                  <c:v>672.44850189738861</c:v>
                </c:pt>
                <c:pt idx="89">
                  <c:v>689.77357316880159</c:v>
                </c:pt>
                <c:pt idx="90">
                  <c:v>707.08972759949404</c:v>
                </c:pt>
                <c:pt idx="91">
                  <c:v>724.39721411848916</c:v>
                </c:pt>
                <c:pt idx="92">
                  <c:v>741.69626880099247</c:v>
                </c:pt>
                <c:pt idx="93">
                  <c:v>758.98711582253543</c:v>
                </c:pt>
                <c:pt idx="94">
                  <c:v>776.26996832173484</c:v>
                </c:pt>
                <c:pt idx="95">
                  <c:v>669.33939957367147</c:v>
                </c:pt>
                <c:pt idx="96">
                  <c:v>686.14748992644957</c:v>
                </c:pt>
                <c:pt idx="97">
                  <c:v>702.94713877016591</c:v>
                </c:pt>
                <c:pt idx="98">
                  <c:v>719.73857609232846</c:v>
                </c:pt>
                <c:pt idx="99">
                  <c:v>736.52202028376553</c:v>
                </c:pt>
                <c:pt idx="100">
                  <c:v>753.29767897969066</c:v>
                </c:pt>
                <c:pt idx="101">
                  <c:v>770.0657498220213</c:v>
                </c:pt>
                <c:pt idx="102">
                  <c:v>786.82642115191038</c:v>
                </c:pt>
                <c:pt idx="103">
                  <c:v>803.57987264026167</c:v>
                </c:pt>
                <c:pt idx="104">
                  <c:v>820.32627586298202</c:v>
                </c:pt>
                <c:pt idx="105">
                  <c:v>716.57179131854343</c:v>
                </c:pt>
                <c:pt idx="106">
                  <c:v>733.08277516601174</c:v>
                </c:pt>
                <c:pt idx="107">
                  <c:v>749.58618529982857</c:v>
                </c:pt>
                <c:pt idx="108">
                  <c:v>766.08221180654664</c:v>
                </c:pt>
                <c:pt idx="109">
                  <c:v>782.57103592666908</c:v>
                </c:pt>
                <c:pt idx="110">
                  <c:v>799.05283064783123</c:v>
                </c:pt>
                <c:pt idx="111">
                  <c:v>815.52776124654645</c:v>
                </c:pt>
                <c:pt idx="112">
                  <c:v>831.99598578394352</c:v>
                </c:pt>
                <c:pt idx="113">
                  <c:v>848.45765556025719</c:v>
                </c:pt>
                <c:pt idx="114">
                  <c:v>864.91291553224971</c:v>
                </c:pt>
                <c:pt idx="115">
                  <c:v>769.67220928607628</c:v>
                </c:pt>
                <c:pt idx="116">
                  <c:v>786.32322770283429</c:v>
                </c:pt>
                <c:pt idx="117">
                  <c:v>802.96711540661033</c:v>
                </c:pt>
                <c:pt idx="118">
                  <c:v>819.60404087686209</c:v>
                </c:pt>
                <c:pt idx="119">
                  <c:v>836.23416520256615</c:v>
                </c:pt>
                <c:pt idx="120">
                  <c:v>852.85764254992284</c:v>
                </c:pt>
                <c:pt idx="121">
                  <c:v>869.47462059174131</c:v>
                </c:pt>
                <c:pt idx="122">
                  <c:v>886.08524090233095</c:v>
                </c:pt>
                <c:pt idx="123">
                  <c:v>902.68963932127645</c:v>
                </c:pt>
                <c:pt idx="124">
                  <c:v>919.28794628908747</c:v>
                </c:pt>
                <c:pt idx="125">
                  <c:v>831.5472119910911</c:v>
                </c:pt>
                <c:pt idx="126">
                  <c:v>848.48756186322589</c:v>
                </c:pt>
                <c:pt idx="127">
                  <c:v>865.42112404699549</c:v>
                </c:pt>
                <c:pt idx="128">
                  <c:v>882.34804991885801</c:v>
                </c:pt>
                <c:pt idx="129">
                  <c:v>899.26848458034283</c:v>
                </c:pt>
                <c:pt idx="130">
                  <c:v>916.18256723373122</c:v>
                </c:pt>
                <c:pt idx="131">
                  <c:v>933.09043152857976</c:v>
                </c:pt>
                <c:pt idx="132">
                  <c:v>949.99220588186074</c:v>
                </c:pt>
                <c:pt idx="133">
                  <c:v>966.88801377415712</c:v>
                </c:pt>
                <c:pt idx="134">
                  <c:v>983.77797402410977</c:v>
                </c:pt>
                <c:pt idx="135">
                  <c:v>891.4733336198093</c:v>
                </c:pt>
                <c:pt idx="136">
                  <c:v>908.52173400484946</c:v>
                </c:pt>
                <c:pt idx="137">
                  <c:v>925.56375821803397</c:v>
                </c:pt>
                <c:pt idx="138">
                  <c:v>942.59954005955797</c:v>
                </c:pt>
                <c:pt idx="139">
                  <c:v>959.6292081048465</c:v>
                </c:pt>
                <c:pt idx="140">
                  <c:v>976.65288599955056</c:v>
                </c:pt>
                <c:pt idx="141">
                  <c:v>993.67069273293157</c:v>
                </c:pt>
                <c:pt idx="142">
                  <c:v>1010.6827428915725</c:v>
                </c:pt>
                <c:pt idx="143">
                  <c:v>1027.6891468951385</c:v>
                </c:pt>
                <c:pt idx="144">
                  <c:v>1044.6900112157455</c:v>
                </c:pt>
                <c:pt idx="145">
                  <c:v>950.77994669920588</c:v>
                </c:pt>
                <c:pt idx="146">
                  <c:v>968.19448388490548</c:v>
                </c:pt>
                <c:pt idx="147">
                  <c:v>985.60281812300855</c:v>
                </c:pt>
                <c:pt idx="148">
                  <c:v>1003.0050742657073</c:v>
                </c:pt>
                <c:pt idx="149">
                  <c:v>1020.4013724853284</c:v>
                </c:pt>
                <c:pt idx="150">
                  <c:v>1037.7918285281519</c:v>
                </c:pt>
                <c:pt idx="151">
                  <c:v>1055.1765539503567</c:v>
                </c:pt>
                <c:pt idx="152">
                  <c:v>1072.555656337629</c:v>
                </c:pt>
                <c:pt idx="153">
                  <c:v>1089.9292395098182</c:v>
                </c:pt>
                <c:pt idx="154">
                  <c:v>1107.2974037118893</c:v>
                </c:pt>
                <c:pt idx="155">
                  <c:v>1015.5263937745381</c:v>
                </c:pt>
                <c:pt idx="156">
                  <c:v>1033.1965112822061</c:v>
                </c:pt>
                <c:pt idx="157">
                  <c:v>1050.8606834143941</c:v>
                </c:pt>
                <c:pt idx="158">
                  <c:v>1068.5190240472964</c:v>
                </c:pt>
                <c:pt idx="159">
                  <c:v>1086.1716429917735</c:v>
                </c:pt>
                <c:pt idx="160">
                  <c:v>1103.8186462035235</c:v>
                </c:pt>
                <c:pt idx="161">
                  <c:v>1121.4601359791325</c:v>
                </c:pt>
                <c:pt idx="162">
                  <c:v>1139.0962111391655</c:v>
                </c:pt>
                <c:pt idx="163">
                  <c:v>1156.7269671993515</c:v>
                </c:pt>
                <c:pt idx="164">
                  <c:v>1174.3524965308004</c:v>
                </c:pt>
                <c:pt idx="165">
                  <c:v>1074.0241703384111</c:v>
                </c:pt>
                <c:pt idx="166">
                  <c:v>1091.8376998256288</c:v>
                </c:pt>
                <c:pt idx="167">
                  <c:v>1109.6455434167087</c:v>
                </c:pt>
                <c:pt idx="168">
                  <c:v>1127.4478050799985</c:v>
                </c:pt>
                <c:pt idx="169">
                  <c:v>1145.2445852378071</c:v>
                </c:pt>
                <c:pt idx="170">
                  <c:v>1163.0359809416784</c:v>
                </c:pt>
                <c:pt idx="171">
                  <c:v>1180.8220860363999</c:v>
                </c:pt>
                <c:pt idx="172">
                  <c:v>1198.6029913136304</c:v>
                </c:pt>
                <c:pt idx="173">
                  <c:v>1216.3787846559553</c:v>
                </c:pt>
                <c:pt idx="174">
                  <c:v>1234.1495511720962</c:v>
                </c:pt>
                <c:pt idx="175">
                  <c:v>802.92520007182975</c:v>
                </c:pt>
                <c:pt idx="176">
                  <c:v>798.39409096554948</c:v>
                </c:pt>
                <c:pt idx="177">
                  <c:v>793.86246237038677</c:v>
                </c:pt>
                <c:pt idx="178">
                  <c:v>561.66454376335207</c:v>
                </c:pt>
                <c:pt idx="179">
                  <c:v>560.19670351444768</c:v>
                </c:pt>
                <c:pt idx="180">
                  <c:v>558.72878275271478</c:v>
                </c:pt>
                <c:pt idx="181">
                  <c:v>400.32589187460462</c:v>
                </c:pt>
                <c:pt idx="182">
                  <c:v>398.72589044229511</c:v>
                </c:pt>
                <c:pt idx="183">
                  <c:v>397.12574994744926</c:v>
                </c:pt>
                <c:pt idx="184">
                  <c:v>47.637570428156316</c:v>
                </c:pt>
                <c:pt idx="185">
                  <c:v>47.637570428156316</c:v>
                </c:pt>
                <c:pt idx="186">
                  <c:v>47.637570428156316</c:v>
                </c:pt>
                <c:pt idx="187">
                  <c:v>47.637570428156316</c:v>
                </c:pt>
                <c:pt idx="188">
                  <c:v>47.637570428156316</c:v>
                </c:pt>
                <c:pt idx="189">
                  <c:v>47.637570428156316</c:v>
                </c:pt>
                <c:pt idx="190">
                  <c:v>47.637570428156316</c:v>
                </c:pt>
                <c:pt idx="191">
                  <c:v>47.637570428156316</c:v>
                </c:pt>
                <c:pt idx="192">
                  <c:v>47.637570428156316</c:v>
                </c:pt>
                <c:pt idx="193">
                  <c:v>47.637570428156316</c:v>
                </c:pt>
                <c:pt idx="194">
                  <c:v>47.637570428156316</c:v>
                </c:pt>
                <c:pt idx="195">
                  <c:v>47.637570428156316</c:v>
                </c:pt>
                <c:pt idx="196">
                  <c:v>47.637570428156316</c:v>
                </c:pt>
                <c:pt idx="197">
                  <c:v>47.637570428156316</c:v>
                </c:pt>
                <c:pt idx="198">
                  <c:v>47.637570428156316</c:v>
                </c:pt>
                <c:pt idx="199">
                  <c:v>47.637570428156316</c:v>
                </c:pt>
                <c:pt idx="200">
                  <c:v>47.637570428156316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2.9509973995419365</c:v>
                </c:pt>
                <c:pt idx="2">
                  <c:v>3.8993800326575379</c:v>
                </c:pt>
                <c:pt idx="3">
                  <c:v>5.1537861360321822</c:v>
                </c:pt>
                <c:pt idx="4">
                  <c:v>6.8133379322758998</c:v>
                </c:pt>
                <c:pt idx="5">
                  <c:v>9.0093769867322209</c:v>
                </c:pt>
                <c:pt idx="6">
                  <c:v>11.915971094051232</c:v>
                </c:pt>
                <c:pt idx="7">
                  <c:v>15.763857741989639</c:v>
                </c:pt>
                <c:pt idx="8">
                  <c:v>20.858951242140964</c:v>
                </c:pt>
                <c:pt idx="9">
                  <c:v>27.606911179441123</c:v>
                </c:pt>
                <c:pt idx="10">
                  <c:v>36.545762498237771</c:v>
                </c:pt>
                <c:pt idx="11">
                  <c:v>47.934246794954014</c:v>
                </c:pt>
                <c:pt idx="12">
                  <c:v>59.250271506484466</c:v>
                </c:pt>
                <c:pt idx="13">
                  <c:v>70.509737306549212</c:v>
                </c:pt>
                <c:pt idx="14">
                  <c:v>81.722993273441304</c:v>
                </c:pt>
                <c:pt idx="15">
                  <c:v>92.897294511118176</c:v>
                </c:pt>
                <c:pt idx="16">
                  <c:v>108.25587760652974</c:v>
                </c:pt>
                <c:pt idx="17">
                  <c:v>123.56076610518875</c:v>
                </c:pt>
                <c:pt idx="18">
                  <c:v>138.8195597916295</c:v>
                </c:pt>
                <c:pt idx="19">
                  <c:v>154.03804513155393</c:v>
                </c:pt>
                <c:pt idx="20">
                  <c:v>169.22076873606747</c:v>
                </c:pt>
                <c:pt idx="21">
                  <c:v>129.28787235572034</c:v>
                </c:pt>
                <c:pt idx="22">
                  <c:v>144.53094857798482</c:v>
                </c:pt>
                <c:pt idx="23">
                  <c:v>159.73554413485536</c:v>
                </c:pt>
                <c:pt idx="24">
                  <c:v>174.90584046860877</c:v>
                </c:pt>
                <c:pt idx="25">
                  <c:v>190.04523308883151</c:v>
                </c:pt>
                <c:pt idx="26">
                  <c:v>169.22076873606747</c:v>
                </c:pt>
                <c:pt idx="27">
                  <c:v>184.37139305479852</c:v>
                </c:pt>
                <c:pt idx="28">
                  <c:v>199.49292850815041</c:v>
                </c:pt>
                <c:pt idx="29">
                  <c:v>214.58789130305843</c:v>
                </c:pt>
                <c:pt idx="30">
                  <c:v>229.65841439261331</c:v>
                </c:pt>
                <c:pt idx="31">
                  <c:v>205.53397529366751</c:v>
                </c:pt>
                <c:pt idx="32">
                  <c:v>219.11152587483457</c:v>
                </c:pt>
                <c:pt idx="33">
                  <c:v>232.66975188863589</c:v>
                </c:pt>
                <c:pt idx="34">
                  <c:v>246.20993843849078</c:v>
                </c:pt>
                <c:pt idx="35">
                  <c:v>259.73321764902875</c:v>
                </c:pt>
                <c:pt idx="36">
                  <c:v>235.30394147234665</c:v>
                </c:pt>
                <c:pt idx="37">
                  <c:v>248.46496383915087</c:v>
                </c:pt>
                <c:pt idx="38">
                  <c:v>261.61017170872901</c:v>
                </c:pt>
                <c:pt idx="39">
                  <c:v>274.74047191396772</c:v>
                </c:pt>
                <c:pt idx="40">
                  <c:v>287.85667749117118</c:v>
                </c:pt>
                <c:pt idx="41">
                  <c:v>262.36086804994295</c:v>
                </c:pt>
                <c:pt idx="42">
                  <c:v>274.36551974723062</c:v>
                </c:pt>
                <c:pt idx="43">
                  <c:v>286.35837196420749</c:v>
                </c:pt>
                <c:pt idx="44">
                  <c:v>298.33998870460442</c:v>
                </c:pt>
                <c:pt idx="45">
                  <c:v>310.31088495066086</c:v>
                </c:pt>
                <c:pt idx="46">
                  <c:v>285.98376820295522</c:v>
                </c:pt>
                <c:pt idx="47">
                  <c:v>297.21717518827558</c:v>
                </c:pt>
                <c:pt idx="48">
                  <c:v>308.44111949657554</c:v>
                </c:pt>
                <c:pt idx="49">
                  <c:v>319.65599415471291</c:v>
                </c:pt>
                <c:pt idx="50">
                  <c:v>330.86216234726913</c:v>
                </c:pt>
                <c:pt idx="51">
                  <c:v>306.94512587259828</c:v>
                </c:pt>
                <c:pt idx="52">
                  <c:v>316.66622670451306</c:v>
                </c:pt>
                <c:pt idx="53">
                  <c:v>326.38071774395229</c:v>
                </c:pt>
                <c:pt idx="54">
                  <c:v>336.08882358493901</c:v>
                </c:pt>
                <c:pt idx="55">
                  <c:v>345.79075477962851</c:v>
                </c:pt>
                <c:pt idx="56">
                  <c:v>323.39233379750681</c:v>
                </c:pt>
                <c:pt idx="57">
                  <c:v>332.72903457884451</c:v>
                </c:pt>
                <c:pt idx="58">
                  <c:v>342.05996063814399</c:v>
                </c:pt>
                <c:pt idx="59">
                  <c:v>351.38529181133845</c:v>
                </c:pt>
                <c:pt idx="60">
                  <c:v>360.70519760433905</c:v>
                </c:pt>
                <c:pt idx="61">
                  <c:v>339.07468141574077</c:v>
                </c:pt>
                <c:pt idx="62">
                  <c:v>347.28282429814129</c:v>
                </c:pt>
                <c:pt idx="63">
                  <c:v>355.4867090941064</c:v>
                </c:pt>
                <c:pt idx="64">
                  <c:v>363.68644800338274</c:v>
                </c:pt>
                <c:pt idx="65">
                  <c:v>371.88214774985954</c:v>
                </c:pt>
                <c:pt idx="66">
                  <c:v>351.75819111537254</c:v>
                </c:pt>
                <c:pt idx="67">
                  <c:v>359.58708999068585</c:v>
                </c:pt>
                <c:pt idx="68">
                  <c:v>367.41226056988808</c:v>
                </c:pt>
                <c:pt idx="69">
                  <c:v>375.23379351840316</c:v>
                </c:pt>
                <c:pt idx="70">
                  <c:v>383.05177541071203</c:v>
                </c:pt>
                <c:pt idx="71">
                  <c:v>363.31382101236346</c:v>
                </c:pt>
                <c:pt idx="72">
                  <c:v>369.64735159591163</c:v>
                </c:pt>
                <c:pt idx="73">
                  <c:v>375.97851488636002</c:v>
                </c:pt>
                <c:pt idx="74">
                  <c:v>382.30735640887292</c:v>
                </c:pt>
                <c:pt idx="75">
                  <c:v>388.63392005694874</c:v>
                </c:pt>
                <c:pt idx="76">
                  <c:v>372.25458524998072</c:v>
                </c:pt>
                <c:pt idx="77">
                  <c:v>378.2124864803136</c:v>
                </c:pt>
                <c:pt idx="78">
                  <c:v>384.16834495549637</c:v>
                </c:pt>
                <c:pt idx="79">
                  <c:v>390.12219684408677</c:v>
                </c:pt>
                <c:pt idx="80">
                  <c:v>396.07407711953459</c:v>
                </c:pt>
                <c:pt idx="81">
                  <c:v>380.81842375711989</c:v>
                </c:pt>
                <c:pt idx="82">
                  <c:v>386.02913755517028</c:v>
                </c:pt>
                <c:pt idx="83">
                  <c:v>391.23832354179837</c:v>
                </c:pt>
                <c:pt idx="84">
                  <c:v>396.4460049513109</c:v>
                </c:pt>
                <c:pt idx="85">
                  <c:v>401.65220435716361</c:v>
                </c:pt>
                <c:pt idx="86">
                  <c:v>388.26183154386268</c:v>
                </c:pt>
                <c:pt idx="87">
                  <c:v>393.47036990588708</c:v>
                </c:pt>
                <c:pt idx="88">
                  <c:v>398.67741344442726</c:v>
                </c:pt>
                <c:pt idx="89">
                  <c:v>403.88298445816571</c:v>
                </c:pt>
                <c:pt idx="90">
                  <c:v>409.08710462349336</c:v>
                </c:pt>
                <c:pt idx="91">
                  <c:v>395.7021417186665</c:v>
                </c:pt>
                <c:pt idx="92">
                  <c:v>400.9085514815776</c:v>
                </c:pt>
                <c:pt idx="93">
                  <c:v>406.11349808426439</c:v>
                </c:pt>
                <c:pt idx="94">
                  <c:v>411.31700294422802</c:v>
                </c:pt>
                <c:pt idx="95">
                  <c:v>416.51908689232147</c:v>
                </c:pt>
                <c:pt idx="96">
                  <c:v>401.65220435716384</c:v>
                </c:pt>
                <c:pt idx="97">
                  <c:v>407.22865549260922</c:v>
                </c:pt>
                <c:pt idx="98">
                  <c:v>412.80345673799087</c:v>
                </c:pt>
                <c:pt idx="99">
                  <c:v>418.37663353903253</c:v>
                </c:pt>
                <c:pt idx="100">
                  <c:v>423.9482106076091</c:v>
                </c:pt>
                <c:pt idx="101">
                  <c:v>403.5112063253232</c:v>
                </c:pt>
                <c:pt idx="102">
                  <c:v>403.5112063253232</c:v>
                </c:pt>
                <c:pt idx="103">
                  <c:v>403.5112063253232</c:v>
                </c:pt>
                <c:pt idx="104">
                  <c:v>403.5112063253232</c:v>
                </c:pt>
                <c:pt idx="105">
                  <c:v>403.5112063253232</c:v>
                </c:pt>
                <c:pt idx="106">
                  <c:v>403.5112063253232</c:v>
                </c:pt>
                <c:pt idx="107">
                  <c:v>403.5112063253232</c:v>
                </c:pt>
                <c:pt idx="108">
                  <c:v>403.5112063253232</c:v>
                </c:pt>
                <c:pt idx="109">
                  <c:v>403.5112063253232</c:v>
                </c:pt>
                <c:pt idx="110">
                  <c:v>403.5112063253232</c:v>
                </c:pt>
                <c:pt idx="111">
                  <c:v>403.5112063253232</c:v>
                </c:pt>
                <c:pt idx="112">
                  <c:v>403.5112063253232</c:v>
                </c:pt>
                <c:pt idx="113">
                  <c:v>403.5112063253232</c:v>
                </c:pt>
                <c:pt idx="114">
                  <c:v>403.5112063253232</c:v>
                </c:pt>
                <c:pt idx="115">
                  <c:v>403.5112063253232</c:v>
                </c:pt>
                <c:pt idx="116">
                  <c:v>403.5112063253232</c:v>
                </c:pt>
                <c:pt idx="117">
                  <c:v>403.5112063253232</c:v>
                </c:pt>
                <c:pt idx="118">
                  <c:v>403.5112063253232</c:v>
                </c:pt>
                <c:pt idx="119">
                  <c:v>403.5112063253232</c:v>
                </c:pt>
                <c:pt idx="120">
                  <c:v>403.5112063253232</c:v>
                </c:pt>
                <c:pt idx="121">
                  <c:v>403.5112063253232</c:v>
                </c:pt>
                <c:pt idx="122">
                  <c:v>403.5112063253232</c:v>
                </c:pt>
                <c:pt idx="123">
                  <c:v>403.5112063253232</c:v>
                </c:pt>
                <c:pt idx="124">
                  <c:v>403.5112063253232</c:v>
                </c:pt>
                <c:pt idx="125">
                  <c:v>403.5112063253232</c:v>
                </c:pt>
                <c:pt idx="126">
                  <c:v>403.5112063253232</c:v>
                </c:pt>
                <c:pt idx="127">
                  <c:v>403.5112063253232</c:v>
                </c:pt>
                <c:pt idx="128">
                  <c:v>403.5112063253232</c:v>
                </c:pt>
                <c:pt idx="129">
                  <c:v>403.5112063253232</c:v>
                </c:pt>
                <c:pt idx="130">
                  <c:v>403.5112063253232</c:v>
                </c:pt>
                <c:pt idx="131">
                  <c:v>403.5112063253232</c:v>
                </c:pt>
                <c:pt idx="132">
                  <c:v>403.5112063253232</c:v>
                </c:pt>
                <c:pt idx="133">
                  <c:v>403.5112063253232</c:v>
                </c:pt>
                <c:pt idx="134">
                  <c:v>403.5112063253232</c:v>
                </c:pt>
                <c:pt idx="135">
                  <c:v>403.5112063253232</c:v>
                </c:pt>
                <c:pt idx="136">
                  <c:v>403.5112063253232</c:v>
                </c:pt>
                <c:pt idx="137">
                  <c:v>403.5112063253232</c:v>
                </c:pt>
                <c:pt idx="138">
                  <c:v>403.5112063253232</c:v>
                </c:pt>
                <c:pt idx="139">
                  <c:v>403.5112063253232</c:v>
                </c:pt>
                <c:pt idx="140">
                  <c:v>403.5112063253232</c:v>
                </c:pt>
                <c:pt idx="141">
                  <c:v>403.5112063253232</c:v>
                </c:pt>
                <c:pt idx="142">
                  <c:v>403.5112063253232</c:v>
                </c:pt>
                <c:pt idx="143">
                  <c:v>403.5112063253232</c:v>
                </c:pt>
                <c:pt idx="144">
                  <c:v>403.5112063253232</c:v>
                </c:pt>
                <c:pt idx="145">
                  <c:v>403.5112063253232</c:v>
                </c:pt>
                <c:pt idx="146">
                  <c:v>403.5112063253232</c:v>
                </c:pt>
                <c:pt idx="147">
                  <c:v>403.5112063253232</c:v>
                </c:pt>
                <c:pt idx="148">
                  <c:v>403.5112063253232</c:v>
                </c:pt>
                <c:pt idx="149">
                  <c:v>403.5112063253232</c:v>
                </c:pt>
                <c:pt idx="150">
                  <c:v>403.5112063253232</c:v>
                </c:pt>
                <c:pt idx="151">
                  <c:v>403.5112063253232</c:v>
                </c:pt>
                <c:pt idx="152">
                  <c:v>403.5112063253232</c:v>
                </c:pt>
                <c:pt idx="153">
                  <c:v>403.5112063253232</c:v>
                </c:pt>
                <c:pt idx="154">
                  <c:v>403.5112063253232</c:v>
                </c:pt>
                <c:pt idx="155">
                  <c:v>403.5112063253232</c:v>
                </c:pt>
                <c:pt idx="156">
                  <c:v>403.5112063253232</c:v>
                </c:pt>
                <c:pt idx="157">
                  <c:v>403.5112063253232</c:v>
                </c:pt>
                <c:pt idx="158">
                  <c:v>403.5112063253232</c:v>
                </c:pt>
                <c:pt idx="159">
                  <c:v>403.5112063253232</c:v>
                </c:pt>
                <c:pt idx="160">
                  <c:v>403.5112063253232</c:v>
                </c:pt>
                <c:pt idx="161">
                  <c:v>403.5112063253232</c:v>
                </c:pt>
                <c:pt idx="162">
                  <c:v>403.5112063253232</c:v>
                </c:pt>
                <c:pt idx="163">
                  <c:v>403.5112063253232</c:v>
                </c:pt>
                <c:pt idx="164">
                  <c:v>403.5112063253232</c:v>
                </c:pt>
                <c:pt idx="165">
                  <c:v>403.5112063253232</c:v>
                </c:pt>
                <c:pt idx="166">
                  <c:v>403.5112063253232</c:v>
                </c:pt>
                <c:pt idx="167">
                  <c:v>403.5112063253232</c:v>
                </c:pt>
                <c:pt idx="168">
                  <c:v>403.5112063253232</c:v>
                </c:pt>
                <c:pt idx="169">
                  <c:v>403.5112063253232</c:v>
                </c:pt>
                <c:pt idx="170">
                  <c:v>403.5112063253232</c:v>
                </c:pt>
                <c:pt idx="171">
                  <c:v>403.5112063253232</c:v>
                </c:pt>
                <c:pt idx="172">
                  <c:v>403.5112063253232</c:v>
                </c:pt>
                <c:pt idx="173">
                  <c:v>403.5112063253232</c:v>
                </c:pt>
                <c:pt idx="174">
                  <c:v>403.5112063253232</c:v>
                </c:pt>
                <c:pt idx="175">
                  <c:v>403.5112063253232</c:v>
                </c:pt>
                <c:pt idx="176">
                  <c:v>403.5112063253232</c:v>
                </c:pt>
                <c:pt idx="177">
                  <c:v>403.5112063253232</c:v>
                </c:pt>
                <c:pt idx="178">
                  <c:v>403.5112063253232</c:v>
                </c:pt>
                <c:pt idx="179">
                  <c:v>403.5112063253232</c:v>
                </c:pt>
                <c:pt idx="180">
                  <c:v>403.5112063253232</c:v>
                </c:pt>
                <c:pt idx="181">
                  <c:v>403.5112063253232</c:v>
                </c:pt>
                <c:pt idx="182">
                  <c:v>403.5112063253232</c:v>
                </c:pt>
                <c:pt idx="183">
                  <c:v>403.5112063253232</c:v>
                </c:pt>
                <c:pt idx="184">
                  <c:v>403.5112063253232</c:v>
                </c:pt>
                <c:pt idx="185">
                  <c:v>403.5112063253232</c:v>
                </c:pt>
                <c:pt idx="186">
                  <c:v>403.5112063253232</c:v>
                </c:pt>
                <c:pt idx="187">
                  <c:v>403.5112063253232</c:v>
                </c:pt>
                <c:pt idx="188">
                  <c:v>403.5112063253232</c:v>
                </c:pt>
                <c:pt idx="189">
                  <c:v>403.5112063253232</c:v>
                </c:pt>
                <c:pt idx="190">
                  <c:v>403.5112063253232</c:v>
                </c:pt>
                <c:pt idx="191">
                  <c:v>403.5112063253232</c:v>
                </c:pt>
                <c:pt idx="192">
                  <c:v>403.5112063253232</c:v>
                </c:pt>
                <c:pt idx="193">
                  <c:v>403.5112063253232</c:v>
                </c:pt>
                <c:pt idx="194">
                  <c:v>403.5112063253232</c:v>
                </c:pt>
                <c:pt idx="195">
                  <c:v>403.5112063253232</c:v>
                </c:pt>
                <c:pt idx="196">
                  <c:v>403.5112063253232</c:v>
                </c:pt>
                <c:pt idx="197">
                  <c:v>403.5112063253232</c:v>
                </c:pt>
                <c:pt idx="198">
                  <c:v>403.5112063253232</c:v>
                </c:pt>
                <c:pt idx="199">
                  <c:v>403.5112063253232</c:v>
                </c:pt>
                <c:pt idx="200">
                  <c:v>403.5112063253232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Normal="100" workbookViewId="0">
      <selection activeCell="E25" sqref="E25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3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3" t="s">
        <v>36</v>
      </c>
      <c r="C9" s="264">
        <v>0.69629600000000003</v>
      </c>
      <c r="D9" s="33">
        <f t="shared" ref="D9:D18" si="0">C9*$C$5</f>
        <v>2.0888879999999999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3" t="s">
        <v>8</v>
      </c>
      <c r="C10" s="264">
        <v>5.9258999999999999E-2</v>
      </c>
      <c r="D10" s="33">
        <f t="shared" si="0"/>
        <v>0.17777699999999999</v>
      </c>
      <c r="E10" s="265">
        <v>80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3" t="s">
        <v>6</v>
      </c>
      <c r="C11" s="264">
        <v>5.9258999999999999E-2</v>
      </c>
      <c r="D11" s="33">
        <f t="shared" si="0"/>
        <v>0.17777699999999999</v>
      </c>
      <c r="E11" s="265">
        <v>183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324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3" t="s">
        <v>13</v>
      </c>
      <c r="C12" s="264">
        <v>0.18518499999999999</v>
      </c>
      <c r="D12" s="33">
        <f t="shared" si="0"/>
        <v>0.55555500000000002</v>
      </c>
      <c r="E12" s="265">
        <v>100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0.99999899999999986</v>
      </c>
      <c r="D19" s="38">
        <f>SUM(D9:D18)</f>
        <v>2.9999969999999996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Châtaignier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61">
        <v>15</v>
      </c>
      <c r="B62" s="261">
        <v>37</v>
      </c>
      <c r="C62" s="261">
        <v>1</v>
      </c>
      <c r="D62" s="261">
        <v>15</v>
      </c>
      <c r="E62" s="260"/>
      <c r="F62" s="260"/>
      <c r="G62" s="260"/>
      <c r="H62" s="260">
        <v>1</v>
      </c>
      <c r="I62" s="53">
        <f>IFERROR(B62/A62,"")</f>
        <v>2.4666666666666668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61">
        <v>20</v>
      </c>
      <c r="B63" s="261">
        <v>80</v>
      </c>
      <c r="C63" s="261">
        <v>2</v>
      </c>
      <c r="D63" s="261">
        <v>28</v>
      </c>
      <c r="E63" s="260"/>
      <c r="F63" s="260"/>
      <c r="G63" s="260"/>
      <c r="H63" s="260">
        <v>1</v>
      </c>
      <c r="I63" s="49">
        <f>IF(A63&lt;&gt;0,(B63-(B62-D62))/(A63-A62),"")</f>
        <v>11.6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61">
        <v>25</v>
      </c>
      <c r="B64" s="261">
        <v>115</v>
      </c>
      <c r="C64" s="261">
        <v>3</v>
      </c>
      <c r="D64" s="261">
        <v>28</v>
      </c>
      <c r="E64" s="260"/>
      <c r="F64" s="260"/>
      <c r="G64" s="260"/>
      <c r="H64" s="260">
        <v>1</v>
      </c>
      <c r="I64" s="49">
        <f>IF(A64&lt;&gt;0,(B64-(B63-D63))/(A64-A63),"")</f>
        <v>12.6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61">
        <v>30</v>
      </c>
      <c r="B65" s="261">
        <v>146</v>
      </c>
      <c r="C65" s="261">
        <v>4</v>
      </c>
      <c r="D65" s="261">
        <v>28</v>
      </c>
      <c r="E65" s="260"/>
      <c r="F65" s="260"/>
      <c r="G65" s="260"/>
      <c r="H65" s="260">
        <v>1</v>
      </c>
      <c r="I65" s="49">
        <f>IF(A65&lt;&gt;0,(B65-(B64-D64))/(A65-A64),"")</f>
        <v>11.8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61">
        <v>35</v>
      </c>
      <c r="B66" s="261">
        <v>172</v>
      </c>
      <c r="C66" s="261">
        <v>5</v>
      </c>
      <c r="D66" s="261">
        <v>28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10.8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61">
        <v>40</v>
      </c>
      <c r="B67" s="261">
        <v>192</v>
      </c>
      <c r="C67" s="261">
        <v>6</v>
      </c>
      <c r="D67" s="261">
        <v>28</v>
      </c>
      <c r="E67" s="260">
        <v>1</v>
      </c>
      <c r="F67" s="260"/>
      <c r="G67" s="260"/>
      <c r="H67" s="260"/>
      <c r="I67" s="49">
        <f t="shared" si="2"/>
        <v>9.6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61">
        <v>45</v>
      </c>
      <c r="B68" s="261">
        <v>205</v>
      </c>
      <c r="C68" s="261">
        <v>7</v>
      </c>
      <c r="D68" s="261">
        <v>22</v>
      </c>
      <c r="E68" s="260">
        <v>1</v>
      </c>
      <c r="F68" s="260"/>
      <c r="G68" s="260"/>
      <c r="H68" s="260"/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50</v>
      </c>
      <c r="B69" s="261">
        <v>219</v>
      </c>
      <c r="C69" s="261">
        <v>8</v>
      </c>
      <c r="D69" s="261">
        <v>17</v>
      </c>
      <c r="E69" s="260">
        <v>1</v>
      </c>
      <c r="F69" s="260"/>
      <c r="G69" s="260"/>
      <c r="H69" s="260"/>
      <c r="I69" s="49">
        <f t="shared" si="2"/>
        <v>7.2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55</v>
      </c>
      <c r="B70" s="261">
        <v>232</v>
      </c>
      <c r="C70" s="261">
        <v>9</v>
      </c>
      <c r="D70" s="261">
        <v>13</v>
      </c>
      <c r="E70" s="260">
        <v>1</v>
      </c>
      <c r="F70" s="260"/>
      <c r="G70" s="260"/>
      <c r="H70" s="260"/>
      <c r="I70" s="49">
        <f t="shared" si="2"/>
        <v>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261">
        <v>60</v>
      </c>
      <c r="B71" s="261">
        <v>245</v>
      </c>
      <c r="C71" s="261">
        <v>10</v>
      </c>
      <c r="D71" s="261">
        <v>12</v>
      </c>
      <c r="E71" s="260">
        <v>1</v>
      </c>
      <c r="F71" s="260"/>
      <c r="G71" s="260"/>
      <c r="H71" s="260"/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261">
        <v>65</v>
      </c>
      <c r="B72" s="261">
        <v>255</v>
      </c>
      <c r="C72" s="261">
        <v>11</v>
      </c>
      <c r="D72" s="261">
        <v>11</v>
      </c>
      <c r="E72" s="260">
        <v>1</v>
      </c>
      <c r="F72" s="260"/>
      <c r="G72" s="260"/>
      <c r="H72" s="260"/>
      <c r="I72" s="49">
        <f t="shared" si="2"/>
        <v>4.4000000000000004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1">
        <v>70</v>
      </c>
      <c r="B73" s="261">
        <v>263</v>
      </c>
      <c r="C73" s="261">
        <v>12</v>
      </c>
      <c r="D73" s="261">
        <v>10</v>
      </c>
      <c r="E73" s="260">
        <v>1</v>
      </c>
      <c r="F73" s="260"/>
      <c r="G73" s="260"/>
      <c r="H73" s="260"/>
      <c r="I73" s="49">
        <f t="shared" si="2"/>
        <v>3.8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1">
        <v>75</v>
      </c>
      <c r="B74" s="261">
        <v>270</v>
      </c>
      <c r="C74" s="261">
        <v>13</v>
      </c>
      <c r="D74" s="261">
        <v>9</v>
      </c>
      <c r="E74" s="260">
        <v>1</v>
      </c>
      <c r="F74" s="260"/>
      <c r="G74" s="260"/>
      <c r="H74" s="260"/>
      <c r="I74" s="49">
        <f t="shared" si="2"/>
        <v>3.4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1">
        <v>80</v>
      </c>
      <c r="B75" s="261">
        <v>275</v>
      </c>
      <c r="C75" s="261">
        <v>14</v>
      </c>
      <c r="D75" s="261">
        <v>8</v>
      </c>
      <c r="E75" s="260">
        <v>1</v>
      </c>
      <c r="F75" s="260"/>
      <c r="G75" s="260"/>
      <c r="H75" s="260"/>
      <c r="I75" s="49">
        <f t="shared" si="2"/>
        <v>2.8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Charme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1">
        <v>30</v>
      </c>
      <c r="B88" s="261">
        <v>75.346153849999993</v>
      </c>
      <c r="C88" s="261"/>
      <c r="D88" s="261"/>
      <c r="E88" s="260"/>
      <c r="F88" s="260"/>
      <c r="G88" s="260"/>
      <c r="H88" s="260"/>
      <c r="I88" s="53">
        <f>IFERROR(B88/A88,"")</f>
        <v>2.5115384616666665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1">
        <v>42</v>
      </c>
      <c r="B89" s="261">
        <v>171.96</v>
      </c>
      <c r="C89" s="261">
        <v>1</v>
      </c>
      <c r="D89" s="261">
        <v>43.21</v>
      </c>
      <c r="E89" s="260">
        <v>1</v>
      </c>
      <c r="F89" s="260"/>
      <c r="G89" s="260"/>
      <c r="H89" s="260"/>
      <c r="I89" s="53">
        <f t="shared" ref="I89:I107" si="3">IF(A89&lt;&gt;0,(B89-(B88-D88))/(A89-A88),"")</f>
        <v>8.0511538458333352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1">
        <v>50</v>
      </c>
      <c r="B90" s="261">
        <v>208.33</v>
      </c>
      <c r="C90" s="261">
        <v>2</v>
      </c>
      <c r="D90" s="261">
        <v>35.58</v>
      </c>
      <c r="E90" s="260">
        <v>1</v>
      </c>
      <c r="F90" s="260"/>
      <c r="G90" s="260"/>
      <c r="H90" s="260"/>
      <c r="I90" s="53">
        <f t="shared" si="3"/>
        <v>9.9475000000000016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1">
        <v>58</v>
      </c>
      <c r="B91" s="261">
        <v>253.7</v>
      </c>
      <c r="C91" s="261">
        <v>3</v>
      </c>
      <c r="D91" s="261">
        <v>44.93</v>
      </c>
      <c r="E91" s="260">
        <v>1</v>
      </c>
      <c r="F91" s="260"/>
      <c r="G91" s="260"/>
      <c r="H91" s="260"/>
      <c r="I91" s="53">
        <f t="shared" si="3"/>
        <v>10.118749999999999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1">
        <v>66</v>
      </c>
      <c r="B92" s="261">
        <v>286.77</v>
      </c>
      <c r="C92" s="261">
        <v>4</v>
      </c>
      <c r="D92" s="261">
        <v>49.91</v>
      </c>
      <c r="E92" s="260">
        <v>1</v>
      </c>
      <c r="F92" s="260"/>
      <c r="G92" s="260"/>
      <c r="H92" s="260"/>
      <c r="I92" s="53">
        <f t="shared" si="3"/>
        <v>9.75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1">
        <v>74</v>
      </c>
      <c r="B93" s="261">
        <v>310.95999999999998</v>
      </c>
      <c r="C93" s="261">
        <v>5</v>
      </c>
      <c r="D93" s="261">
        <v>47.4</v>
      </c>
      <c r="E93" s="260">
        <v>1</v>
      </c>
      <c r="F93" s="260"/>
      <c r="G93" s="260"/>
      <c r="H93" s="260"/>
      <c r="I93" s="53">
        <f t="shared" si="3"/>
        <v>9.2624999999999993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1">
        <v>84</v>
      </c>
      <c r="B94" s="261">
        <v>355.09</v>
      </c>
      <c r="C94" s="261">
        <v>6</v>
      </c>
      <c r="D94" s="261">
        <v>61.47</v>
      </c>
      <c r="E94" s="260">
        <v>1</v>
      </c>
      <c r="F94" s="260"/>
      <c r="G94" s="260"/>
      <c r="H94" s="260"/>
      <c r="I94" s="53">
        <f t="shared" si="3"/>
        <v>9.1529999999999969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1">
        <v>94</v>
      </c>
      <c r="B95" s="261">
        <v>380.13</v>
      </c>
      <c r="C95" s="261">
        <v>7</v>
      </c>
      <c r="D95" s="261">
        <v>61.85</v>
      </c>
      <c r="E95" s="260">
        <v>1</v>
      </c>
      <c r="F95" s="260"/>
      <c r="G95" s="260"/>
      <c r="H95" s="260"/>
      <c r="I95" s="53">
        <f t="shared" si="3"/>
        <v>8.6509999999999998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1">
        <v>104</v>
      </c>
      <c r="B96" s="261">
        <v>402.2</v>
      </c>
      <c r="C96" s="261">
        <v>8</v>
      </c>
      <c r="D96" s="261">
        <v>60.19</v>
      </c>
      <c r="E96" s="260">
        <v>1</v>
      </c>
      <c r="F96" s="260"/>
      <c r="G96" s="260"/>
      <c r="H96" s="260"/>
      <c r="I96" s="53">
        <f t="shared" si="3"/>
        <v>8.3920000000000012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1">
        <v>114</v>
      </c>
      <c r="B97" s="261">
        <v>424.56</v>
      </c>
      <c r="C97" s="261">
        <v>9</v>
      </c>
      <c r="D97" s="261">
        <v>56.07</v>
      </c>
      <c r="E97" s="260">
        <v>1</v>
      </c>
      <c r="F97" s="260"/>
      <c r="G97" s="260"/>
      <c r="H97" s="260"/>
      <c r="I97" s="53">
        <f t="shared" si="3"/>
        <v>8.2550000000000008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1">
        <v>124</v>
      </c>
      <c r="B98" s="261">
        <v>451.86</v>
      </c>
      <c r="C98" s="261">
        <v>10</v>
      </c>
      <c r="D98" s="261">
        <v>52.53</v>
      </c>
      <c r="E98" s="260">
        <v>1</v>
      </c>
      <c r="F98" s="260"/>
      <c r="G98" s="260"/>
      <c r="H98" s="260"/>
      <c r="I98" s="53">
        <f t="shared" si="3"/>
        <v>8.3369999999999997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1">
        <v>134</v>
      </c>
      <c r="B99" s="261">
        <v>484.28</v>
      </c>
      <c r="C99" s="261">
        <v>11</v>
      </c>
      <c r="D99" s="261">
        <v>54.95</v>
      </c>
      <c r="E99" s="260">
        <v>1</v>
      </c>
      <c r="F99" s="260"/>
      <c r="G99" s="260"/>
      <c r="H99" s="260"/>
      <c r="I99" s="53">
        <f t="shared" si="3"/>
        <v>8.4949999999999939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1">
        <v>144</v>
      </c>
      <c r="B100" s="261">
        <v>514.94000000000005</v>
      </c>
      <c r="C100" s="261">
        <v>12</v>
      </c>
      <c r="D100" s="261">
        <v>56.01</v>
      </c>
      <c r="E100" s="260">
        <v>1</v>
      </c>
      <c r="F100" s="260"/>
      <c r="G100" s="260"/>
      <c r="H100" s="260"/>
      <c r="I100" s="53">
        <f t="shared" si="3"/>
        <v>8.561000000000007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1">
        <v>154</v>
      </c>
      <c r="B101" s="261">
        <v>546.49</v>
      </c>
      <c r="C101" s="261">
        <v>13</v>
      </c>
      <c r="D101" s="261">
        <v>55.13</v>
      </c>
      <c r="E101" s="260">
        <v>1</v>
      </c>
      <c r="F101" s="260"/>
      <c r="G101" s="260"/>
      <c r="H101" s="260"/>
      <c r="I101" s="53">
        <f t="shared" si="3"/>
        <v>8.7559999999999949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1">
        <v>164</v>
      </c>
      <c r="B102" s="261">
        <v>580.32000000000005</v>
      </c>
      <c r="C102" s="261">
        <v>14</v>
      </c>
      <c r="D102" s="261">
        <v>59.58</v>
      </c>
      <c r="E102" s="260">
        <v>1</v>
      </c>
      <c r="F102" s="260"/>
      <c r="G102" s="260"/>
      <c r="H102" s="260"/>
      <c r="I102" s="53">
        <f t="shared" si="3"/>
        <v>8.8960000000000043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>
        <v>174</v>
      </c>
      <c r="B103" s="257">
        <v>610.52</v>
      </c>
      <c r="C103" s="256">
        <v>15</v>
      </c>
      <c r="D103" s="256">
        <v>214.77</v>
      </c>
      <c r="E103" s="255">
        <v>1</v>
      </c>
      <c r="F103" s="255"/>
      <c r="G103" s="255"/>
      <c r="H103" s="255"/>
      <c r="I103" s="53">
        <f t="shared" si="3"/>
        <v>8.977999999999998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>
        <v>177</v>
      </c>
      <c r="B104" s="257">
        <v>388.94</v>
      </c>
      <c r="C104" s="256">
        <v>16</v>
      </c>
      <c r="D104" s="256">
        <v>115.19</v>
      </c>
      <c r="E104" s="255">
        <v>1</v>
      </c>
      <c r="F104" s="255"/>
      <c r="G104" s="255"/>
      <c r="H104" s="255"/>
      <c r="I104" s="53">
        <f t="shared" si="3"/>
        <v>-2.2700000000000009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>
        <v>180</v>
      </c>
      <c r="B105" s="257">
        <v>271.56</v>
      </c>
      <c r="C105" s="256">
        <v>17</v>
      </c>
      <c r="D105" s="256">
        <v>77.72</v>
      </c>
      <c r="E105" s="255">
        <v>1</v>
      </c>
      <c r="F105" s="255"/>
      <c r="G105" s="255"/>
      <c r="H105" s="255"/>
      <c r="I105" s="53">
        <f t="shared" si="3"/>
        <v>-0.72999999999999921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>
        <v>183</v>
      </c>
      <c r="B106" s="257">
        <v>191.47</v>
      </c>
      <c r="C106" s="256">
        <v>18</v>
      </c>
      <c r="D106" s="256">
        <v>169.76</v>
      </c>
      <c r="E106" s="255">
        <v>1</v>
      </c>
      <c r="F106" s="255"/>
      <c r="G106" s="255"/>
      <c r="H106" s="255"/>
      <c r="I106" s="53">
        <f t="shared" si="3"/>
        <v>-0.79000000000000148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Chêne rouge d'Amérique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1">
        <v>10</v>
      </c>
      <c r="B114" s="261">
        <v>18</v>
      </c>
      <c r="C114" s="261"/>
      <c r="D114" s="261">
        <v>0</v>
      </c>
      <c r="E114" s="260"/>
      <c r="F114" s="260"/>
      <c r="G114" s="260"/>
      <c r="H114" s="260"/>
      <c r="I114" s="53">
        <f>IFERROR(B114/A114,"")</f>
        <v>1.8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1">
        <v>15</v>
      </c>
      <c r="B115" s="261">
        <v>47</v>
      </c>
      <c r="C115" s="261"/>
      <c r="D115" s="261">
        <v>0</v>
      </c>
      <c r="E115" s="260"/>
      <c r="F115" s="260"/>
      <c r="G115" s="260"/>
      <c r="H115" s="260"/>
      <c r="I115" s="53">
        <f t="shared" ref="I115:I133" si="4">IF(A115&lt;&gt;0,(B115-(B114-D114))/(A115-A114),"")</f>
        <v>5.8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1">
        <v>20</v>
      </c>
      <c r="B116" s="261">
        <v>87</v>
      </c>
      <c r="C116" s="261">
        <v>1</v>
      </c>
      <c r="D116" s="261">
        <v>29</v>
      </c>
      <c r="E116" s="260"/>
      <c r="F116" s="260"/>
      <c r="G116" s="260"/>
      <c r="H116" s="260">
        <v>1</v>
      </c>
      <c r="I116" s="53">
        <f t="shared" si="4"/>
        <v>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1">
        <v>25</v>
      </c>
      <c r="B117" s="261">
        <v>98</v>
      </c>
      <c r="C117" s="261">
        <v>2</v>
      </c>
      <c r="D117" s="261">
        <v>19</v>
      </c>
      <c r="E117" s="260"/>
      <c r="F117" s="260"/>
      <c r="G117" s="260"/>
      <c r="H117" s="260">
        <v>1</v>
      </c>
      <c r="I117" s="53">
        <f t="shared" si="4"/>
        <v>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1">
        <v>30</v>
      </c>
      <c r="B118" s="261">
        <v>119</v>
      </c>
      <c r="C118" s="261">
        <v>3</v>
      </c>
      <c r="D118" s="261">
        <v>20</v>
      </c>
      <c r="E118" s="260"/>
      <c r="F118" s="260"/>
      <c r="G118" s="260"/>
      <c r="H118" s="260">
        <v>1</v>
      </c>
      <c r="I118" s="53">
        <f t="shared" si="4"/>
        <v>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1">
        <v>35</v>
      </c>
      <c r="B119" s="261">
        <v>135</v>
      </c>
      <c r="C119" s="261">
        <v>4</v>
      </c>
      <c r="D119" s="261">
        <v>20</v>
      </c>
      <c r="E119" s="260">
        <v>1</v>
      </c>
      <c r="F119" s="260"/>
      <c r="G119" s="260"/>
      <c r="H119" s="260"/>
      <c r="I119" s="53">
        <f t="shared" si="4"/>
        <v>7.2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1">
        <v>40</v>
      </c>
      <c r="B120" s="261">
        <v>150</v>
      </c>
      <c r="C120" s="261">
        <v>5</v>
      </c>
      <c r="D120" s="261">
        <v>20</v>
      </c>
      <c r="E120" s="260">
        <v>1</v>
      </c>
      <c r="F120" s="260"/>
      <c r="G120" s="260"/>
      <c r="H120" s="260"/>
      <c r="I120" s="53">
        <f t="shared" si="4"/>
        <v>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1">
        <v>45</v>
      </c>
      <c r="B121" s="261">
        <v>162</v>
      </c>
      <c r="C121" s="261">
        <v>6</v>
      </c>
      <c r="D121" s="261">
        <v>19</v>
      </c>
      <c r="E121" s="260">
        <v>1</v>
      </c>
      <c r="F121" s="260"/>
      <c r="G121" s="260"/>
      <c r="H121" s="260"/>
      <c r="I121" s="53">
        <f t="shared" si="4"/>
        <v>6.4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1">
        <v>50</v>
      </c>
      <c r="B122" s="261">
        <v>173</v>
      </c>
      <c r="C122" s="261">
        <v>7</v>
      </c>
      <c r="D122" s="261">
        <v>18</v>
      </c>
      <c r="E122" s="260">
        <v>1</v>
      </c>
      <c r="F122" s="260"/>
      <c r="G122" s="260"/>
      <c r="H122" s="260"/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1">
        <v>55</v>
      </c>
      <c r="B123" s="261">
        <v>181</v>
      </c>
      <c r="C123" s="261">
        <v>8</v>
      </c>
      <c r="D123" s="261">
        <v>17</v>
      </c>
      <c r="E123" s="260">
        <v>1</v>
      </c>
      <c r="F123" s="260"/>
      <c r="G123" s="260"/>
      <c r="H123" s="260"/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1">
        <v>60</v>
      </c>
      <c r="B124" s="261">
        <v>189</v>
      </c>
      <c r="C124" s="261">
        <v>9</v>
      </c>
      <c r="D124" s="261">
        <v>16</v>
      </c>
      <c r="E124" s="260">
        <v>1</v>
      </c>
      <c r="F124" s="260"/>
      <c r="G124" s="260"/>
      <c r="H124" s="260"/>
      <c r="I124" s="53">
        <f t="shared" si="4"/>
        <v>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1">
        <v>65</v>
      </c>
      <c r="B125" s="261">
        <v>195</v>
      </c>
      <c r="C125" s="261">
        <v>10</v>
      </c>
      <c r="D125" s="261">
        <v>15</v>
      </c>
      <c r="E125" s="260">
        <v>1</v>
      </c>
      <c r="F125" s="260"/>
      <c r="G125" s="260"/>
      <c r="H125" s="260"/>
      <c r="I125" s="53">
        <f t="shared" si="4"/>
        <v>4.4000000000000004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1">
        <v>70</v>
      </c>
      <c r="B126" s="261">
        <v>201</v>
      </c>
      <c r="C126" s="261">
        <v>11</v>
      </c>
      <c r="D126" s="261">
        <v>14</v>
      </c>
      <c r="E126" s="260">
        <v>1</v>
      </c>
      <c r="F126" s="260"/>
      <c r="G126" s="260"/>
      <c r="H126" s="260"/>
      <c r="I126" s="53">
        <f t="shared" si="4"/>
        <v>4.2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1">
        <v>75</v>
      </c>
      <c r="B127" s="261">
        <v>204</v>
      </c>
      <c r="C127" s="261">
        <v>12</v>
      </c>
      <c r="D127" s="261">
        <v>12</v>
      </c>
      <c r="E127" s="260">
        <v>1</v>
      </c>
      <c r="F127" s="260"/>
      <c r="G127" s="260"/>
      <c r="H127" s="260"/>
      <c r="I127" s="53">
        <f t="shared" si="4"/>
        <v>3.4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1">
        <v>80</v>
      </c>
      <c r="B128" s="261">
        <v>208</v>
      </c>
      <c r="C128" s="261">
        <v>13</v>
      </c>
      <c r="D128" s="261">
        <v>11</v>
      </c>
      <c r="E128" s="260">
        <v>1</v>
      </c>
      <c r="F128" s="260"/>
      <c r="G128" s="260"/>
      <c r="H128" s="260"/>
      <c r="I128" s="53">
        <f t="shared" si="4"/>
        <v>3.2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1">
        <v>85</v>
      </c>
      <c r="B129" s="261">
        <v>211</v>
      </c>
      <c r="C129" s="261">
        <v>14</v>
      </c>
      <c r="D129" s="261">
        <v>10</v>
      </c>
      <c r="E129" s="260">
        <v>1</v>
      </c>
      <c r="F129" s="260"/>
      <c r="G129" s="260"/>
      <c r="H129" s="260"/>
      <c r="I129" s="53">
        <f t="shared" si="4"/>
        <v>2.8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1">
        <v>90</v>
      </c>
      <c r="B130" s="261">
        <v>215</v>
      </c>
      <c r="C130" s="261">
        <v>15</v>
      </c>
      <c r="D130" s="261">
        <v>10</v>
      </c>
      <c r="E130" s="260">
        <v>1</v>
      </c>
      <c r="F130" s="260"/>
      <c r="G130" s="260"/>
      <c r="H130" s="260"/>
      <c r="I130" s="53">
        <f t="shared" si="4"/>
        <v>2.8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1">
        <v>95</v>
      </c>
      <c r="B131" s="261">
        <v>219</v>
      </c>
      <c r="C131" s="261">
        <v>16</v>
      </c>
      <c r="D131" s="261">
        <v>11</v>
      </c>
      <c r="E131" s="260">
        <v>1</v>
      </c>
      <c r="F131" s="260"/>
      <c r="G131" s="260"/>
      <c r="H131" s="260"/>
      <c r="I131" s="53">
        <f t="shared" si="4"/>
        <v>2.8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1">
        <v>100</v>
      </c>
      <c r="B132" s="261">
        <v>223</v>
      </c>
      <c r="C132" s="261">
        <v>17</v>
      </c>
      <c r="D132" s="261">
        <v>11</v>
      </c>
      <c r="E132" s="260">
        <v>1</v>
      </c>
      <c r="F132" s="260"/>
      <c r="G132" s="260"/>
      <c r="H132" s="260"/>
      <c r="I132" s="53">
        <f t="shared" si="4"/>
        <v>3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="115" zoomScaleNormal="115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Châtaignier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Charme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Chêne rouge d'Amérique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6">
        <f>(B3+E3+F3)*44/12+(C3+D3)*0.475*44/12</f>
        <v>183.33333333333334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189.76714074331781</v>
      </c>
      <c r="T3" s="59">
        <f>IF('Données projet'!E9&gt;30,$R$33-$H$33,LOOKUP('Données projet'!$E$9,$A$3:$A$203,R3:R203)-LOOKUP('Données projet'!$E$9,$A$3:$A$203,$H$3:$H$203))</f>
        <v>458.38901659119472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302.36110224755532</v>
      </c>
      <c r="AO3" s="59">
        <f>IF('Données projet'!E10&gt;30,$AM$33-$H$33,LOOKUP('Données projet'!$E$10,$A$3:$A$203,AM3:AM203)-LOOKUP('Données projet'!$E$10,$A$3:$A$203,$H$3:$H$203))</f>
        <v>292.08583531469412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697.21496579331188</v>
      </c>
      <c r="BJ3" s="59">
        <f>IF('Données projet'!E11&gt;30,$BH$33-$H$33,LOOKUP('Données projet'!$E$11,$A$3:$A$203,BH3:BH203)-LOOKUP('Données projet'!$E$11,$A$3:$A$203,$H$3:$H$203))</f>
        <v>215.64914236948769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330.58463337575432</v>
      </c>
      <c r="CE3" s="59">
        <f>IF('Données projet'!E12&gt;30,$CC$33-$H$33,LOOKUP('Données projet'!$E$12,$A$3:$A$203,CC3:CC203)-LOOKUP('Données projet'!$E$12,$A$3:$A$203,$H$3:$H$203))</f>
        <v>285.43250599232192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6">
        <f t="shared" ref="H4:H67" si="1">(B4+E4+F4)*44/12+(C4+D4)*0.475*44/12</f>
        <v>183.33333333333334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170.09557353603046</v>
      </c>
      <c r="S4" s="59">
        <f ca="1">AVERAGE(OFFSET($R$3,0,0,'Données projet'!$E$9+1,1))-AVERAGE(OFFSET($H$3,0,0,'Données projet'!$E$9+1,1))</f>
        <v>189.76714074331781</v>
      </c>
      <c r="T4" s="59">
        <f>$T$3</f>
        <v>458.38901659119472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2.4666666666666668</v>
      </c>
      <c r="AI4" s="13">
        <f>IF('Données projet'!$A$62&gt;35,AI3+AH4-AQ3,IF(A4&lt;'Données projet'!$A$62,$AF$205^A4,IF(A4='Données projet'!$A$62,'Données projet'!$B$62,AI3+AH4-AQ3)))</f>
        <v>1.2721747796233518</v>
      </c>
      <c r="AJ4" s="13">
        <f>AI4*VLOOKUP('Données projet'!$B$10,Paramètres!$A$1:$I$89,3,0)*VLOOKUP('Données projet'!$B$10,Paramètres!$A$1:$I$89,5,0)</f>
        <v>0.9327585484198414</v>
      </c>
      <c r="AK4" s="13">
        <f>EXP(-1.0587+0.8836*LN(AJ4)+0.284)</f>
        <v>0.43335135961225768</v>
      </c>
      <c r="AL4" s="20">
        <f t="shared" ref="AL4:AL67" si="4">(AJ4+AK4)*0.475*44/12</f>
        <v>2.3793080898225729</v>
      </c>
      <c r="AM4" s="59">
        <f t="shared" ref="AM4:AM67" si="5">AL4+(AD4+AE4)*44/12</f>
        <v>170.19174204274643</v>
      </c>
      <c r="AN4" s="59">
        <f ca="1">AVERAGE(OFFSET($AM$3,0,0,'Données projet'!$E$10+1,1))-AVERAGE(OFFSET($H$3,0,0,'Données projet'!$E$10+1,1))</f>
        <v>302.36110224755532</v>
      </c>
      <c r="AO4" s="59">
        <f>$AO$3</f>
        <v>292.08583531469412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2.5115384616666665</v>
      </c>
      <c r="BD4" s="12">
        <f>IF('Données projet'!$A$88&gt;35,BD3+BC4-BL3,IF(A4&lt;'Données projet'!$A$88,$BA$205^A4,IF(A4='Données projet'!$A$88,'Données projet'!$B$88,BD3+BC4-BL3)))</f>
        <v>1.1549646791293957</v>
      </c>
      <c r="BE4" s="13">
        <f>BD4*VLOOKUP('Données projet'!$B$11,Paramètres!$A$1:$I$89,3,0)*VLOOKUP('Données projet'!$B$11,Paramètres!$A$1:$I$89,5,0)</f>
        <v>1.099064388659533</v>
      </c>
      <c r="BF4" s="13">
        <f>EXP(-1.0587+0.8836*LN(BE4)+0.284)</f>
        <v>0.50095660621119575</v>
      </c>
      <c r="BG4" s="20">
        <f t="shared" ref="BG4:BG67" si="7">(BE4+BF4)*0.475*44/12</f>
        <v>2.7867032327331853</v>
      </c>
      <c r="BH4" s="59">
        <f t="shared" ref="BH4:BH67" si="8">BG4+(AY4+AZ4)*44/12</f>
        <v>170.59913718565701</v>
      </c>
      <c r="BI4" s="59">
        <f ca="1">AVERAGE(OFFSET($BH$3,0,0,'Données projet'!$E$11+1,1))-AVERAGE(OFFSET($H$3,0,0,'Données projet'!$E$11+1,1))</f>
        <v>697.21496579331188</v>
      </c>
      <c r="BJ4" s="59">
        <f>$BJ$3</f>
        <v>215.64914236948769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1.8</v>
      </c>
      <c r="BY4" s="12">
        <f>IF('Données projet'!$A$114&gt;35,BY3+BX4-CG3,IF(A4&lt;'Données projet'!$A$114,$BV$205^A4,IF(A4='Données projet'!$A$114,'Données projet'!$B$114,BY3+BX4-CG3)))</f>
        <v>1.335141362540313</v>
      </c>
      <c r="BZ4" s="13">
        <f>BY4*VLOOKUP('Données projet'!$B$12,Paramètres!$A$1:$I$89,3,0)*VLOOKUP('Données projet'!$B$12,Paramètres!$A$1:$I$89,5,0)</f>
        <v>1.1663794943152175</v>
      </c>
      <c r="CA4" s="13">
        <f>EXP(-1.0587+0.8836*LN(BZ4)+0.284)</f>
        <v>0.52797307958445927</v>
      </c>
      <c r="CB4" s="20">
        <f t="shared" ref="CB4:CB67" si="10">(BZ4+CA4)*0.475*44/12</f>
        <v>2.9509973995419365</v>
      </c>
      <c r="CC4" s="59">
        <f t="shared" ref="CC4:CC67" si="11">CB4+(BT4+BU4)*44/12</f>
        <v>170.76343135246577</v>
      </c>
      <c r="CD4" s="59">
        <f ca="1">AVERAGE(OFFSET($CC$3,0,0,'Données projet'!$E$12+1,1))-AVERAGE(OFFSET($H$3,0,0,'Données projet'!$E$12+1,1))</f>
        <v>330.58463337575432</v>
      </c>
      <c r="CE4" s="59">
        <f>$CE$3</f>
        <v>285.43250599232192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6">
        <f t="shared" si="1"/>
        <v>183.33333333333334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173.95955280063649</v>
      </c>
      <c r="S5" s="59">
        <f ca="1">AVERAGE(OFFSET($R$3,0,0,'Données projet'!$E$9+1,1))-AVERAGE(OFFSET($H$3,0,0,'Données projet'!$E$9+1,1))</f>
        <v>189.76714074331781</v>
      </c>
      <c r="T5" s="59">
        <f t="shared" ref="T5:T68" si="34">$T$3</f>
        <v>458.38901659119472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2.4666666666666668</v>
      </c>
      <c r="AI5" s="13">
        <f>IF('Données projet'!$A$62&gt;35,AI4+AH5-AQ4,IF(A5&lt;'Données projet'!$A$62,$AF$205^A5,IF(A5='Données projet'!$A$62,'Données projet'!$B$62,AI4+AH5-AQ4)))</f>
        <v>1.6184286699097237</v>
      </c>
      <c r="AJ5" s="13">
        <f>AI5*VLOOKUP('Données projet'!$B$10,Paramètres!$A$1:$I$89,3,0)*VLOOKUP('Données projet'!$B$10,Paramètres!$A$1:$I$89,5,0)</f>
        <v>1.1866319007778094</v>
      </c>
      <c r="AK5" s="13">
        <f t="shared" ref="AK5:AK68" si="35">EXP(-1.0587+0.8836*LN(AJ5)+0.284)</f>
        <v>0.53606530474621483</v>
      </c>
      <c r="AL5" s="20">
        <f t="shared" si="4"/>
        <v>3.0003642996210083</v>
      </c>
      <c r="AM5" s="59">
        <f t="shared" si="5"/>
        <v>173.59764558712183</v>
      </c>
      <c r="AN5" s="59">
        <f ca="1">AVERAGE(OFFSET($AM$3,0,0,'Données projet'!$E$10+1,1))-AVERAGE(OFFSET($H$3,0,0,'Données projet'!$E$10+1,1))</f>
        <v>302.36110224755532</v>
      </c>
      <c r="AO5" s="59">
        <f t="shared" ref="AO5:AO68" si="36">$AO$3</f>
        <v>292.08583531469412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2.5115384616666665</v>
      </c>
      <c r="BD5" s="12">
        <f>IF('Données projet'!$A$88&gt;35,BD4+BC5-BL4,IF(A5&lt;'Données projet'!$A$88,$BA$205^A5,IF(A5='Données projet'!$A$88,'Données projet'!$B$88,BD4+BC5-BL4)))</f>
        <v>1.333943410036468</v>
      </c>
      <c r="BE5" s="13">
        <f>BD5*VLOOKUP('Données projet'!$B$11,Paramètres!$A$1:$I$89,3,0)*VLOOKUP('Données projet'!$B$11,Paramètres!$A$1:$I$89,5,0)</f>
        <v>1.2693805489907029</v>
      </c>
      <c r="BF5" s="13">
        <f t="shared" ref="BF5:BF68" si="37">EXP(-1.0587+0.8836*LN(BE5)+0.284)</f>
        <v>0.56896534391972775</v>
      </c>
      <c r="BG5" s="20">
        <f t="shared" si="7"/>
        <v>3.2017857634856668</v>
      </c>
      <c r="BH5" s="59">
        <f t="shared" si="8"/>
        <v>173.79906705098651</v>
      </c>
      <c r="BI5" s="59">
        <f ca="1">AVERAGE(OFFSET($BH$3,0,0,'Données projet'!$E$11+1,1))-AVERAGE(OFFSET($H$3,0,0,'Données projet'!$E$11+1,1))</f>
        <v>697.21496579331188</v>
      </c>
      <c r="BJ5" s="59">
        <f t="shared" ref="BJ5:BJ68" si="38">$BJ$3</f>
        <v>215.64914236948769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1.8</v>
      </c>
      <c r="BY5" s="12">
        <f>IF('Données projet'!$A$114&gt;35,BY4+BX5-CG4,IF(A5&lt;'Données projet'!$A$114,$BV$205^A5,IF(A5='Données projet'!$A$114,'Données projet'!$B$114,BY4+BX5-CG4)))</f>
        <v>1.7826024579660036</v>
      </c>
      <c r="BZ5" s="13">
        <f>BY5*VLOOKUP('Données projet'!$B$12,Paramètres!$A$1:$I$89,3,0)*VLOOKUP('Données projet'!$B$12,Paramètres!$A$1:$I$89,5,0)</f>
        <v>1.5572815072791011</v>
      </c>
      <c r="CA5" s="13">
        <f t="shared" ref="CA5:CA68" si="39">EXP(-1.0587+0.8836*LN(BZ5)+0.284)</f>
        <v>0.68159698037116012</v>
      </c>
      <c r="CB5" s="20">
        <f t="shared" si="10"/>
        <v>3.8993800326575379</v>
      </c>
      <c r="CC5" s="59">
        <f t="shared" si="11"/>
        <v>174.49666132015838</v>
      </c>
      <c r="CD5" s="59">
        <f ca="1">AVERAGE(OFFSET($CC$3,0,0,'Données projet'!$E$12+1,1))-AVERAGE(OFFSET($H$3,0,0,'Données projet'!$E$12+1,1))</f>
        <v>330.58463337575432</v>
      </c>
      <c r="CE5" s="59">
        <f t="shared" ref="CE5:CE68" si="40">$CE$3</f>
        <v>285.43250599232192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6">
        <f t="shared" si="1"/>
        <v>183.33333333333334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178.3087873905549</v>
      </c>
      <c r="S6" s="59">
        <f ca="1">AVERAGE(OFFSET($R$3,0,0,'Données projet'!$E$9+1,1))-AVERAGE(OFFSET($H$3,0,0,'Données projet'!$E$9+1,1))</f>
        <v>189.76714074331781</v>
      </c>
      <c r="T6" s="59">
        <f t="shared" si="34"/>
        <v>458.38901659119472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2.4666666666666668</v>
      </c>
      <c r="AI6" s="13">
        <f>IF('Données projet'!$A$62&gt;35,AI5+AH6-AQ5,IF(A6&lt;'Données projet'!$A$62,$AF$205^A6,IF(A6='Données projet'!$A$62,'Données projet'!$B$62,AI5+AH6-AQ5)))</f>
        <v>2.0589241364785171</v>
      </c>
      <c r="AJ6" s="13">
        <f>AI6*VLOOKUP('Données projet'!$B$10,Paramètres!$A$1:$I$89,3,0)*VLOOKUP('Données projet'!$B$10,Paramètres!$A$1:$I$89,5,0)</f>
        <v>1.5096031768660487</v>
      </c>
      <c r="AK6" s="13">
        <f t="shared" si="35"/>
        <v>0.66312474757151718</v>
      </c>
      <c r="AL6" s="20">
        <f t="shared" si="4"/>
        <v>3.7841678017287599</v>
      </c>
      <c r="AM6" s="59">
        <f t="shared" si="5"/>
        <v>177.13918837161364</v>
      </c>
      <c r="AN6" s="59">
        <f ca="1">AVERAGE(OFFSET($AM$3,0,0,'Données projet'!$E$10+1,1))-AVERAGE(OFFSET($H$3,0,0,'Données projet'!$E$10+1,1))</f>
        <v>302.36110224755532</v>
      </c>
      <c r="AO6" s="59">
        <f t="shared" si="36"/>
        <v>292.08583531469412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2.5115384616666665</v>
      </c>
      <c r="BD6" s="12">
        <f>IF('Données projet'!$A$88&gt;35,BD5+BC6-BL5,IF(A6&lt;'Données projet'!$A$88,$BA$205^A6,IF(A6='Données projet'!$A$88,'Données projet'!$B$88,BD5+BC6-BL5)))</f>
        <v>1.5406575225495411</v>
      </c>
      <c r="BE6" s="13">
        <f>BD6*VLOOKUP('Données projet'!$B$11,Paramètres!$A$1:$I$89,3,0)*VLOOKUP('Données projet'!$B$11,Paramètres!$A$1:$I$89,5,0)</f>
        <v>1.4660896984581433</v>
      </c>
      <c r="BF6" s="13">
        <f t="shared" si="37"/>
        <v>0.64620679429710526</v>
      </c>
      <c r="BG6" s="20">
        <f t="shared" si="7"/>
        <v>3.6789163915487246</v>
      </c>
      <c r="BH6" s="59">
        <f t="shared" si="8"/>
        <v>177.0339369614336</v>
      </c>
      <c r="BI6" s="59">
        <f ca="1">AVERAGE(OFFSET($BH$3,0,0,'Données projet'!$E$11+1,1))-AVERAGE(OFFSET($H$3,0,0,'Données projet'!$E$11+1,1))</f>
        <v>697.21496579331188</v>
      </c>
      <c r="BJ6" s="59">
        <f t="shared" si="38"/>
        <v>215.64914236948769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1.8</v>
      </c>
      <c r="BY6" s="12">
        <f>IF('Données projet'!$A$114&gt;35,BY5+BX6-CG5,IF(A6&lt;'Données projet'!$A$114,$BV$205^A6,IF(A6='Données projet'!$A$114,'Données projet'!$B$114,BY5+BX6-CG5)))</f>
        <v>2.3800262745964411</v>
      </c>
      <c r="BZ6" s="13">
        <f>BY6*VLOOKUP('Données projet'!$B$12,Paramètres!$A$1:$I$89,3,0)*VLOOKUP('Données projet'!$B$12,Paramètres!$A$1:$I$89,5,0)</f>
        <v>2.0791909534874513</v>
      </c>
      <c r="CA6" s="13">
        <f t="shared" si="39"/>
        <v>0.87992070356451979</v>
      </c>
      <c r="CB6" s="20">
        <f t="shared" si="10"/>
        <v>5.1537861360321822</v>
      </c>
      <c r="CC6" s="59">
        <f t="shared" si="11"/>
        <v>178.50880670591707</v>
      </c>
      <c r="CD6" s="59">
        <f ca="1">AVERAGE(OFFSET($CC$3,0,0,'Données projet'!$E$12+1,1))-AVERAGE(OFFSET($H$3,0,0,'Données projet'!$E$12+1,1))</f>
        <v>330.58463337575432</v>
      </c>
      <c r="CE6" s="59">
        <f t="shared" si="40"/>
        <v>285.43250599232192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6">
        <f t="shared" si="1"/>
        <v>183.33333333333334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183.38804273934522</v>
      </c>
      <c r="S7" s="59">
        <f ca="1">AVERAGE(OFFSET($R$3,0,0,'Données projet'!$E$9+1,1))-AVERAGE(OFFSET($H$3,0,0,'Données projet'!$E$9+1,1))</f>
        <v>189.76714074331781</v>
      </c>
      <c r="T7" s="59">
        <f t="shared" si="34"/>
        <v>458.38901659119472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2.4666666666666668</v>
      </c>
      <c r="AI7" s="13">
        <f>IF('Données projet'!$A$62&gt;35,AI6+AH7-AQ6,IF(A7&lt;'Données projet'!$A$62,$AF$205^A7,IF(A7='Données projet'!$A$62,'Données projet'!$B$62,AI6+AH7-AQ6)))</f>
        <v>2.6193113595857573</v>
      </c>
      <c r="AJ7" s="13">
        <f>AI7*VLOOKUP('Données projet'!$B$10,Paramètres!$A$1:$I$89,3,0)*VLOOKUP('Données projet'!$B$10,Paramètres!$A$1:$I$89,5,0)</f>
        <v>1.9204790888482772</v>
      </c>
      <c r="AK7" s="13">
        <f t="shared" si="35"/>
        <v>0.82030011446080875</v>
      </c>
      <c r="AL7" s="20">
        <f t="shared" si="4"/>
        <v>4.7735237790966574</v>
      </c>
      <c r="AM7" s="59">
        <f t="shared" si="5"/>
        <v>180.8596458432736</v>
      </c>
      <c r="AN7" s="59">
        <f ca="1">AVERAGE(OFFSET($AM$3,0,0,'Données projet'!$E$10+1,1))-AVERAGE(OFFSET($H$3,0,0,'Données projet'!$E$10+1,1))</f>
        <v>302.36110224755532</v>
      </c>
      <c r="AO7" s="59">
        <f t="shared" si="36"/>
        <v>292.08583531469412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2.5115384616666665</v>
      </c>
      <c r="BD7" s="12">
        <f>IF('Données projet'!$A$88&gt;35,BD6+BC7-BL6,IF(A7&lt;'Données projet'!$A$88,$BA$205^A7,IF(A7='Données projet'!$A$88,'Données projet'!$B$88,BD6+BC7-BL6)))</f>
        <v>1.7794050211797205</v>
      </c>
      <c r="BE7" s="13">
        <f>BD7*VLOOKUP('Données projet'!$B$11,Paramètres!$A$1:$I$89,3,0)*VLOOKUP('Données projet'!$B$11,Paramètres!$A$1:$I$89,5,0)</f>
        <v>1.6932818181546221</v>
      </c>
      <c r="BF7" s="13">
        <f t="shared" si="37"/>
        <v>0.7339343695679571</v>
      </c>
      <c r="BG7" s="20">
        <f t="shared" si="7"/>
        <v>4.2274015269501595</v>
      </c>
      <c r="BH7" s="59">
        <f t="shared" si="8"/>
        <v>180.31352359112711</v>
      </c>
      <c r="BI7" s="59">
        <f ca="1">AVERAGE(OFFSET($BH$3,0,0,'Données projet'!$E$11+1,1))-AVERAGE(OFFSET($H$3,0,0,'Données projet'!$E$11+1,1))</f>
        <v>697.21496579331188</v>
      </c>
      <c r="BJ7" s="59">
        <f t="shared" si="38"/>
        <v>215.64914236948769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1.8</v>
      </c>
      <c r="BY7" s="12">
        <f>IF('Données projet'!$A$114&gt;35,BY6+BX7-CG6,IF(A7&lt;'Données projet'!$A$114,$BV$205^A7,IF(A7='Données projet'!$A$114,'Données projet'!$B$114,BY6+BX7-CG6)))</f>
        <v>3.1776715231464374</v>
      </c>
      <c r="BZ7" s="13">
        <f>BY7*VLOOKUP('Données projet'!$B$12,Paramètres!$A$1:$I$89,3,0)*VLOOKUP('Données projet'!$B$12,Paramètres!$A$1:$I$89,5,0)</f>
        <v>2.7760138426207281</v>
      </c>
      <c r="CA7" s="13">
        <f t="shared" si="39"/>
        <v>1.135950520408497</v>
      </c>
      <c r="CB7" s="20">
        <f t="shared" si="10"/>
        <v>6.8133379322758998</v>
      </c>
      <c r="CC7" s="59">
        <f t="shared" si="11"/>
        <v>182.89945999645283</v>
      </c>
      <c r="CD7" s="59">
        <f ca="1">AVERAGE(OFFSET($CC$3,0,0,'Données projet'!$E$12+1,1))-AVERAGE(OFFSET($H$3,0,0,'Données projet'!$E$12+1,1))</f>
        <v>330.58463337575432</v>
      </c>
      <c r="CE7" s="59">
        <f t="shared" si="40"/>
        <v>285.43250599232192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6">
        <f t="shared" si="1"/>
        <v>183.33333333333334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189.55901279530556</v>
      </c>
      <c r="S8" s="59">
        <f ca="1">AVERAGE(OFFSET($R$3,0,0,'Données projet'!$E$9+1,1))-AVERAGE(OFFSET($H$3,0,0,'Données projet'!$E$9+1,1))</f>
        <v>189.76714074331781</v>
      </c>
      <c r="T8" s="59">
        <f t="shared" si="34"/>
        <v>458.38901659119472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2.4666666666666668</v>
      </c>
      <c r="AI8" s="13">
        <f>IF('Données projet'!$A$62&gt;35,AI7+AH8-AQ7,IF(A8&lt;'Données projet'!$A$62,$AF$205^A8,IF(A8='Données projet'!$A$62,'Données projet'!$B$62,AI7+AH8-AQ7)))</f>
        <v>3.332221851645953</v>
      </c>
      <c r="AJ8" s="13">
        <f>AI8*VLOOKUP('Données projet'!$B$10,Paramètres!$A$1:$I$89,3,0)*VLOOKUP('Données projet'!$B$10,Paramètres!$A$1:$I$89,5,0)</f>
        <v>2.4431850616268127</v>
      </c>
      <c r="AK8" s="13">
        <f t="shared" si="35"/>
        <v>1.0147295516396715</v>
      </c>
      <c r="AL8" s="20">
        <f t="shared" si="4"/>
        <v>6.0225346181057935</v>
      </c>
      <c r="AM8" s="59">
        <f t="shared" si="5"/>
        <v>184.81358249455315</v>
      </c>
      <c r="AN8" s="59">
        <f ca="1">AVERAGE(OFFSET($AM$3,0,0,'Données projet'!$E$10+1,1))-AVERAGE(OFFSET($H$3,0,0,'Données projet'!$E$10+1,1))</f>
        <v>302.36110224755532</v>
      </c>
      <c r="AO8" s="59">
        <f t="shared" si="36"/>
        <v>292.08583531469412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2.5115384616666665</v>
      </c>
      <c r="BD8" s="12">
        <f>IF('Données projet'!$A$88&gt;35,BD7+BC8-BL7,IF(A8&lt;'Données projet'!$A$88,$BA$205^A8,IF(A8='Données projet'!$A$88,'Données projet'!$B$88,BD7+BC8-BL7)))</f>
        <v>2.0551499493280714</v>
      </c>
      <c r="BE8" s="13">
        <f>BD8*VLOOKUP('Données projet'!$B$11,Paramètres!$A$1:$I$89,3,0)*VLOOKUP('Données projet'!$B$11,Paramètres!$A$1:$I$89,5,0)</f>
        <v>1.9556806917805927</v>
      </c>
      <c r="BF8" s="13">
        <f t="shared" si="37"/>
        <v>0.83357164237034642</v>
      </c>
      <c r="BG8" s="20">
        <f t="shared" si="7"/>
        <v>4.8579478153128859</v>
      </c>
      <c r="BH8" s="59">
        <f t="shared" si="8"/>
        <v>183.64899569176023</v>
      </c>
      <c r="BI8" s="59">
        <f ca="1">AVERAGE(OFFSET($BH$3,0,0,'Données projet'!$E$11+1,1))-AVERAGE(OFFSET($H$3,0,0,'Données projet'!$E$11+1,1))</f>
        <v>697.21496579331188</v>
      </c>
      <c r="BJ8" s="59">
        <f t="shared" si="38"/>
        <v>215.64914236948769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1.8</v>
      </c>
      <c r="BY8" s="12">
        <f>IF('Données projet'!$A$114&gt;35,BY7+BX8-CG7,IF(A8&lt;'Données projet'!$A$114,$BV$205^A8,IF(A8='Données projet'!$A$114,'Données projet'!$B$114,BY7+BX8-CG7)))</f>
        <v>4.2426406871192865</v>
      </c>
      <c r="BZ8" s="13">
        <f>BY8*VLOOKUP('Données projet'!$B$12,Paramètres!$A$1:$I$89,3,0)*VLOOKUP('Données projet'!$B$12,Paramètres!$A$1:$I$89,5,0)</f>
        <v>3.7063709042674091</v>
      </c>
      <c r="CA8" s="13">
        <f t="shared" si="39"/>
        <v>1.4664771263922398</v>
      </c>
      <c r="CB8" s="20">
        <f t="shared" si="10"/>
        <v>9.0093769867322209</v>
      </c>
      <c r="CC8" s="59">
        <f t="shared" si="11"/>
        <v>187.80042486317956</v>
      </c>
      <c r="CD8" s="59">
        <f ca="1">AVERAGE(OFFSET($CC$3,0,0,'Données projet'!$E$12+1,1))-AVERAGE(OFFSET($H$3,0,0,'Données projet'!$E$12+1,1))</f>
        <v>330.58463337575432</v>
      </c>
      <c r="CE8" s="59">
        <f t="shared" si="40"/>
        <v>285.43250599232192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6">
        <f t="shared" si="1"/>
        <v>183.33333333333334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197.35649592680269</v>
      </c>
      <c r="S9" s="59">
        <f ca="1">AVERAGE(OFFSET($R$3,0,0,'Données projet'!$E$9+1,1))-AVERAGE(OFFSET($H$3,0,0,'Données projet'!$E$9+1,1))</f>
        <v>189.76714074331781</v>
      </c>
      <c r="T9" s="59">
        <f t="shared" si="34"/>
        <v>458.38901659119472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2.4666666666666668</v>
      </c>
      <c r="AI9" s="13">
        <f>IF('Données projet'!$A$62&gt;35,AI8+AH9-AQ8,IF(A9&lt;'Données projet'!$A$62,$AF$205^A9,IF(A9='Données projet'!$A$62,'Données projet'!$B$62,AI8+AH9-AQ8)))</f>
        <v>4.2391685997738069</v>
      </c>
      <c r="AJ9" s="13">
        <f>AI9*VLOOKUP('Données projet'!$B$10,Paramètres!$A$1:$I$89,3,0)*VLOOKUP('Données projet'!$B$10,Paramètres!$A$1:$I$89,5,0)</f>
        <v>3.1081584173541552</v>
      </c>
      <c r="AK9" s="13">
        <f t="shared" si="35"/>
        <v>1.2552431053208675</v>
      </c>
      <c r="AL9" s="20">
        <f t="shared" si="4"/>
        <v>7.5995909853256647</v>
      </c>
      <c r="AM9" s="59">
        <f t="shared" si="5"/>
        <v>189.06984308158465</v>
      </c>
      <c r="AN9" s="59">
        <f ca="1">AVERAGE(OFFSET($AM$3,0,0,'Données projet'!$E$10+1,1))-AVERAGE(OFFSET($H$3,0,0,'Données projet'!$E$10+1,1))</f>
        <v>302.36110224755532</v>
      </c>
      <c r="AO9" s="59">
        <f t="shared" si="36"/>
        <v>292.08583531469412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2.5115384616666665</v>
      </c>
      <c r="BD9" s="12">
        <f>IF('Données projet'!$A$88&gt;35,BD8+BC9-BL8,IF(A9&lt;'Données projet'!$A$88,$BA$205^A9,IF(A9='Données projet'!$A$88,'Données projet'!$B$88,BD8+BC9-BL8)))</f>
        <v>2.3736256017884898</v>
      </c>
      <c r="BE9" s="13">
        <f>BD9*VLOOKUP('Données projet'!$B$11,Paramètres!$A$1:$I$89,3,0)*VLOOKUP('Données projet'!$B$11,Paramètres!$A$1:$I$89,5,0)</f>
        <v>2.2587421226619266</v>
      </c>
      <c r="BF9" s="13">
        <f t="shared" si="37"/>
        <v>0.9467354463492792</v>
      </c>
      <c r="BG9" s="20">
        <f t="shared" si="7"/>
        <v>5.5828734326945169</v>
      </c>
      <c r="BH9" s="59">
        <f t="shared" si="8"/>
        <v>187.0531255289535</v>
      </c>
      <c r="BI9" s="59">
        <f ca="1">AVERAGE(OFFSET($BH$3,0,0,'Données projet'!$E$11+1,1))-AVERAGE(OFFSET($H$3,0,0,'Données projet'!$E$11+1,1))</f>
        <v>697.21496579331188</v>
      </c>
      <c r="BJ9" s="59">
        <f t="shared" si="38"/>
        <v>215.64914236948769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1.8</v>
      </c>
      <c r="BY9" s="12">
        <f>IF('Données projet'!$A$114&gt;35,BY8+BX9-CG8,IF(A9&lt;'Données projet'!$A$114,$BV$205^A9,IF(A9='Données projet'!$A$114,'Données projet'!$B$114,BY8+BX9-CG8)))</f>
        <v>5.6645250677694134</v>
      </c>
      <c r="BZ9" s="13">
        <f>BY9*VLOOKUP('Données projet'!$B$12,Paramètres!$A$1:$I$89,3,0)*VLOOKUP('Données projet'!$B$12,Paramètres!$A$1:$I$89,5,0)</f>
        <v>4.9485290992033608</v>
      </c>
      <c r="CA9" s="13">
        <f t="shared" si="39"/>
        <v>1.8931767921179217</v>
      </c>
      <c r="CB9" s="20">
        <f t="shared" si="10"/>
        <v>11.915971094051232</v>
      </c>
      <c r="CC9" s="59">
        <f t="shared" si="11"/>
        <v>193.3862231903102</v>
      </c>
      <c r="CD9" s="59">
        <f ca="1">AVERAGE(OFFSET($CC$3,0,0,'Données projet'!$E$12+1,1))-AVERAGE(OFFSET($H$3,0,0,'Données projet'!$E$12+1,1))</f>
        <v>330.58463337575432</v>
      </c>
      <c r="CE9" s="59">
        <f t="shared" si="40"/>
        <v>285.43250599232192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6">
        <f t="shared" si="1"/>
        <v>183.33333333333334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207.57164615004444</v>
      </c>
      <c r="S10" s="59">
        <f ca="1">AVERAGE(OFFSET($R$3,0,0,'Données projet'!$E$9+1,1))-AVERAGE(OFFSET($H$3,0,0,'Données projet'!$E$9+1,1))</f>
        <v>189.76714074331781</v>
      </c>
      <c r="T10" s="59">
        <f t="shared" si="34"/>
        <v>458.38901659119472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2.4666666666666668</v>
      </c>
      <c r="AI10" s="13">
        <f>IF('Données projet'!$A$62&gt;35,AI9+AH10-AQ9,IF(A10&lt;'Données projet'!$A$62,$AF$205^A10,IF(A10='Données projet'!$A$62,'Données projet'!$B$62,AI9+AH10-AQ9)))</f>
        <v>5.3929633792034757</v>
      </c>
      <c r="AJ10" s="13">
        <f>AI10*VLOOKUP('Données projet'!$B$10,Paramètres!$A$1:$I$89,3,0)*VLOOKUP('Données projet'!$B$10,Paramètres!$A$1:$I$89,5,0)</f>
        <v>3.9541207496319881</v>
      </c>
      <c r="AK10" s="13">
        <f t="shared" si="35"/>
        <v>1.5527637397664751</v>
      </c>
      <c r="AL10" s="20">
        <f t="shared" si="4"/>
        <v>9.5911571523689911</v>
      </c>
      <c r="AM10" s="59">
        <f t="shared" si="5"/>
        <v>193.71533808810523</v>
      </c>
      <c r="AN10" s="59">
        <f ca="1">AVERAGE(OFFSET($AM$3,0,0,'Données projet'!$E$10+1,1))-AVERAGE(OFFSET($H$3,0,0,'Données projet'!$E$10+1,1))</f>
        <v>302.36110224755532</v>
      </c>
      <c r="AO10" s="59">
        <f t="shared" si="36"/>
        <v>292.08583531469412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2.5115384616666665</v>
      </c>
      <c r="BD10" s="12">
        <f>IF('Données projet'!$A$88&gt;35,BD9+BC10-BL9,IF(A10&lt;'Données projet'!$A$88,$BA$205^A10,IF(A10='Données projet'!$A$88,'Données projet'!$B$88,BD9+BC10-BL9)))</f>
        <v>2.7414537315429621</v>
      </c>
      <c r="BE10" s="13">
        <f>BD10*VLOOKUP('Données projet'!$B$11,Paramètres!$A$1:$I$89,3,0)*VLOOKUP('Données projet'!$B$11,Paramètres!$A$1:$I$89,5,0)</f>
        <v>2.6087673709362829</v>
      </c>
      <c r="BF10" s="13">
        <f t="shared" si="37"/>
        <v>1.0752621128346274</v>
      </c>
      <c r="BG10" s="20">
        <f t="shared" si="7"/>
        <v>6.4163513509010022</v>
      </c>
      <c r="BH10" s="59">
        <f t="shared" si="8"/>
        <v>190.54053228663724</v>
      </c>
      <c r="BI10" s="59">
        <f ca="1">AVERAGE(OFFSET($BH$3,0,0,'Données projet'!$E$11+1,1))-AVERAGE(OFFSET($H$3,0,0,'Données projet'!$E$11+1,1))</f>
        <v>697.21496579331188</v>
      </c>
      <c r="BJ10" s="59">
        <f t="shared" si="38"/>
        <v>215.64914236948769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1.8</v>
      </c>
      <c r="BY10" s="12">
        <f>IF('Données projet'!$A$114&gt;35,BY9+BX10-CG9,IF(A10&lt;'Données projet'!$A$114,$BV$205^A10,IF(A10='Données projet'!$A$114,'Données projet'!$B$114,BY9+BX10-CG9)))</f>
        <v>7.5629417171254145</v>
      </c>
      <c r="BZ10" s="13">
        <f>BY10*VLOOKUP('Données projet'!$B$12,Paramètres!$A$1:$I$89,3,0)*VLOOKUP('Données projet'!$B$12,Paramètres!$A$1:$I$89,5,0)</f>
        <v>6.6069858840807631</v>
      </c>
      <c r="CA10" s="13">
        <f t="shared" si="39"/>
        <v>2.4440329151477385</v>
      </c>
      <c r="CB10" s="20">
        <f t="shared" si="10"/>
        <v>15.763857741989639</v>
      </c>
      <c r="CC10" s="59">
        <f t="shared" si="11"/>
        <v>199.88803867772589</v>
      </c>
      <c r="CD10" s="59">
        <f ca="1">AVERAGE(OFFSET($CC$3,0,0,'Données projet'!$E$12+1,1))-AVERAGE(OFFSET($H$3,0,0,'Données projet'!$E$12+1,1))</f>
        <v>330.58463337575432</v>
      </c>
      <c r="CE10" s="59">
        <f t="shared" si="40"/>
        <v>285.43250599232192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6">
        <f t="shared" si="1"/>
        <v>183.33333333333334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221.37538824755967</v>
      </c>
      <c r="S11" s="59">
        <f ca="1">AVERAGE(OFFSET($R$3,0,0,'Données projet'!$E$9+1,1))-AVERAGE(OFFSET($H$3,0,0,'Données projet'!$E$9+1,1))</f>
        <v>189.76714074331781</v>
      </c>
      <c r="T11" s="59">
        <f t="shared" si="34"/>
        <v>458.38901659119472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2.4666666666666668</v>
      </c>
      <c r="AI11" s="13">
        <f>IF('Données projet'!$A$62&gt;35,AI10+AH11-AQ10,IF(A11&lt;'Données projet'!$A$62,$AF$205^A11,IF(A11='Données projet'!$A$62,'Données projet'!$B$62,AI10+AH11-AQ10)))</f>
        <v>6.8607919984549888</v>
      </c>
      <c r="AJ11" s="13">
        <f>AI11*VLOOKUP('Données projet'!$B$10,Paramètres!$A$1:$I$89,3,0)*VLOOKUP('Données projet'!$B$10,Paramètres!$A$1:$I$89,5,0)</f>
        <v>5.0303326932671979</v>
      </c>
      <c r="AK11" s="13">
        <f t="shared" si="35"/>
        <v>1.9208034055819379</v>
      </c>
      <c r="AL11" s="20">
        <f t="shared" si="4"/>
        <v>12.106562038828912</v>
      </c>
      <c r="AM11" s="59">
        <f t="shared" si="5"/>
        <v>198.85983490504947</v>
      </c>
      <c r="AN11" s="59">
        <f ca="1">AVERAGE(OFFSET($AM$3,0,0,'Données projet'!$E$10+1,1))-AVERAGE(OFFSET($H$3,0,0,'Données projet'!$E$10+1,1))</f>
        <v>302.36110224755532</v>
      </c>
      <c r="AO11" s="59">
        <f t="shared" si="36"/>
        <v>292.08583531469412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2.5115384616666665</v>
      </c>
      <c r="BD11" s="12">
        <f>IF('Données projet'!$A$88&gt;35,BD10+BC11-BL10,IF(A11&lt;'Données projet'!$A$88,$BA$205^A11,IF(A11='Données projet'!$A$88,'Données projet'!$B$88,BD10+BC11-BL10)))</f>
        <v>3.1662822293996018</v>
      </c>
      <c r="BE11" s="13">
        <f>BD11*VLOOKUP('Données projet'!$B$11,Paramètres!$A$1:$I$89,3,0)*VLOOKUP('Données projet'!$B$11,Paramètres!$A$1:$I$89,5,0)</f>
        <v>3.0130341694966614</v>
      </c>
      <c r="BF11" s="13">
        <f t="shared" si="37"/>
        <v>1.2212372693512039</v>
      </c>
      <c r="BG11" s="20">
        <f t="shared" si="7"/>
        <v>7.3746894226600324</v>
      </c>
      <c r="BH11" s="59">
        <f t="shared" si="8"/>
        <v>194.12796228888058</v>
      </c>
      <c r="BI11" s="59">
        <f ca="1">AVERAGE(OFFSET($BH$3,0,0,'Données projet'!$E$11+1,1))-AVERAGE(OFFSET($H$3,0,0,'Données projet'!$E$11+1,1))</f>
        <v>697.21496579331188</v>
      </c>
      <c r="BJ11" s="59">
        <f t="shared" si="38"/>
        <v>215.64914236948769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1.8</v>
      </c>
      <c r="BY11" s="12">
        <f>IF('Données projet'!$A$114&gt;35,BY10+BX11-CG10,IF(A11&lt;'Données projet'!$A$114,$BV$205^A11,IF(A11='Données projet'!$A$114,'Données projet'!$B$114,BY10+BX11-CG10)))</f>
        <v>10.097596309015799</v>
      </c>
      <c r="BZ11" s="13">
        <f>BY11*VLOOKUP('Données projet'!$B$12,Paramètres!$A$1:$I$89,3,0)*VLOOKUP('Données projet'!$B$12,Paramètres!$A$1:$I$89,5,0)</f>
        <v>8.8212601355562033</v>
      </c>
      <c r="CA11" s="13">
        <f t="shared" si="39"/>
        <v>3.1551711996443523</v>
      </c>
      <c r="CB11" s="20">
        <f t="shared" si="10"/>
        <v>20.858951242140964</v>
      </c>
      <c r="CC11" s="59">
        <f t="shared" si="11"/>
        <v>207.61222410836152</v>
      </c>
      <c r="CD11" s="59">
        <f ca="1">AVERAGE(OFFSET($CC$3,0,0,'Données projet'!$E$12+1,1))-AVERAGE(OFFSET($H$3,0,0,'Données projet'!$E$12+1,1))</f>
        <v>330.58463337575432</v>
      </c>
      <c r="CE11" s="59">
        <f t="shared" si="40"/>
        <v>285.43250599232192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6">
        <f t="shared" si="1"/>
        <v>183.33333333333334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240.50142954872942</v>
      </c>
      <c r="S12" s="59">
        <f ca="1">AVERAGE(OFFSET($R$3,0,0,'Données projet'!$E$9+1,1))-AVERAGE(OFFSET($H$3,0,0,'Données projet'!$E$9+1,1))</f>
        <v>189.76714074331781</v>
      </c>
      <c r="T12" s="59">
        <f t="shared" si="34"/>
        <v>458.38901659119472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2.4666666666666668</v>
      </c>
      <c r="AI12" s="13">
        <f>IF('Données projet'!$A$62&gt;35,AI11+AH12-AQ11,IF(A12&lt;'Données projet'!$A$62,$AF$205^A12,IF(A12='Données projet'!$A$62,'Données projet'!$B$62,AI11+AH12-AQ11)))</f>
        <v>8.7281265486761299</v>
      </c>
      <c r="AJ12" s="13">
        <f>AI12*VLOOKUP('Données projet'!$B$10,Paramètres!$A$1:$I$89,3,0)*VLOOKUP('Données projet'!$B$10,Paramètres!$A$1:$I$89,5,0)</f>
        <v>6.399462385489338</v>
      </c>
      <c r="AK12" s="13">
        <f t="shared" si="35"/>
        <v>2.3760766872686268</v>
      </c>
      <c r="AL12" s="20">
        <f t="shared" si="4"/>
        <v>15.284063885053456</v>
      </c>
      <c r="AM12" s="59">
        <f t="shared" si="5"/>
        <v>204.64202263760953</v>
      </c>
      <c r="AN12" s="59">
        <f ca="1">AVERAGE(OFFSET($AM$3,0,0,'Données projet'!$E$10+1,1))-AVERAGE(OFFSET($H$3,0,0,'Données projet'!$E$10+1,1))</f>
        <v>302.36110224755532</v>
      </c>
      <c r="AO12" s="59">
        <f t="shared" si="36"/>
        <v>292.08583531469412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2.5115384616666665</v>
      </c>
      <c r="BD12" s="12">
        <f>IF('Données projet'!$A$88&gt;35,BD11+BC12-BL11,IF(A12&lt;'Données projet'!$A$88,$BA$205^A12,IF(A12='Données projet'!$A$88,'Données projet'!$B$88,BD11+BC12-BL11)))</f>
        <v>3.6569441391116189</v>
      </c>
      <c r="BE12" s="13">
        <f>BD12*VLOOKUP('Données projet'!$B$11,Paramètres!$A$1:$I$89,3,0)*VLOOKUP('Données projet'!$B$11,Paramètres!$A$1:$I$89,5,0)</f>
        <v>3.4799480427786169</v>
      </c>
      <c r="BF12" s="13">
        <f t="shared" si="37"/>
        <v>1.3870296835072826</v>
      </c>
      <c r="BG12" s="20">
        <f t="shared" si="7"/>
        <v>8.4766528732812745</v>
      </c>
      <c r="BH12" s="59">
        <f t="shared" si="8"/>
        <v>197.83461162583734</v>
      </c>
      <c r="BI12" s="59">
        <f ca="1">AVERAGE(OFFSET($BH$3,0,0,'Données projet'!$E$11+1,1))-AVERAGE(OFFSET($H$3,0,0,'Données projet'!$E$11+1,1))</f>
        <v>697.21496579331188</v>
      </c>
      <c r="BJ12" s="59">
        <f t="shared" si="38"/>
        <v>215.64914236948769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1.8</v>
      </c>
      <c r="BY12" s="12">
        <f>IF('Données projet'!$A$114&gt;35,BY11+BX12-CG11,IF(A12&lt;'Données projet'!$A$114,$BV$205^A12,IF(A12='Données projet'!$A$114,'Données projet'!$B$114,BY11+BX12-CG11)))</f>
        <v>13.48171849440139</v>
      </c>
      <c r="BZ12" s="13">
        <f>BY12*VLOOKUP('Données projet'!$B$12,Paramètres!$A$1:$I$89,3,0)*VLOOKUP('Données projet'!$B$12,Paramètres!$A$1:$I$89,5,0)</f>
        <v>11.777629276709055</v>
      </c>
      <c r="CA12" s="13">
        <f t="shared" si="39"/>
        <v>4.0732288167499631</v>
      </c>
      <c r="CB12" s="20">
        <f t="shared" si="10"/>
        <v>27.606911179441123</v>
      </c>
      <c r="CC12" s="59">
        <f t="shared" si="11"/>
        <v>216.96486993199719</v>
      </c>
      <c r="CD12" s="59">
        <f ca="1">AVERAGE(OFFSET($CC$3,0,0,'Données projet'!$E$12+1,1))-AVERAGE(OFFSET($H$3,0,0,'Données projet'!$E$12+1,1))</f>
        <v>330.58463337575432</v>
      </c>
      <c r="CE12" s="59">
        <f t="shared" si="40"/>
        <v>285.43250599232192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6">
        <f t="shared" si="1"/>
        <v>183.33333333333334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267.51772788210866</v>
      </c>
      <c r="S13" s="59">
        <f ca="1">AVERAGE(OFFSET($R$3,0,0,'Données projet'!$E$9+1,1))-AVERAGE(OFFSET($H$3,0,0,'Données projet'!$E$9+1,1))</f>
        <v>189.76714074331781</v>
      </c>
      <c r="T13" s="59">
        <f t="shared" si="34"/>
        <v>458.38901659119472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2.4666666666666668</v>
      </c>
      <c r="AI13" s="13">
        <f>IF('Données projet'!$A$62&gt;35,AI12+AH13-AQ12,IF(A13&lt;'Données projet'!$A$62,$AF$205^A13,IF(A13='Données projet'!$A$62,'Données projet'!$B$62,AI12+AH13-AQ12)))</f>
        <v>11.103702468586782</v>
      </c>
      <c r="AJ13" s="13">
        <f>AI13*VLOOKUP('Données projet'!$B$10,Paramètres!$A$1:$I$89,3,0)*VLOOKUP('Données projet'!$B$10,Paramètres!$A$1:$I$89,5,0)</f>
        <v>8.1412346499678296</v>
      </c>
      <c r="AK13" s="13">
        <f t="shared" si="35"/>
        <v>2.9392598989436851</v>
      </c>
      <c r="AL13" s="20">
        <f t="shared" si="4"/>
        <v>19.298528006020888</v>
      </c>
      <c r="AM13" s="59">
        <f t="shared" si="5"/>
        <v>211.23718999106578</v>
      </c>
      <c r="AN13" s="59">
        <f ca="1">AVERAGE(OFFSET($AM$3,0,0,'Données projet'!$E$10+1,1))-AVERAGE(OFFSET($H$3,0,0,'Données projet'!$E$10+1,1))</f>
        <v>302.36110224755532</v>
      </c>
      <c r="AO13" s="59">
        <f t="shared" si="36"/>
        <v>292.08583531469412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2.5115384616666665</v>
      </c>
      <c r="BD13" s="12">
        <f>IF('Données projet'!$A$88&gt;35,BD12+BC13-BL12,IF(A13&lt;'Données projet'!$A$88,$BA$205^A13,IF(A13='Données projet'!$A$88,'Données projet'!$B$88,BD12+BC13-BL12)))</f>
        <v>4.2236413142231752</v>
      </c>
      <c r="BE13" s="13">
        <f>BD13*VLOOKUP('Données projet'!$B$11,Paramètres!$A$1:$I$89,3,0)*VLOOKUP('Données projet'!$B$11,Paramètres!$A$1:$I$89,5,0)</f>
        <v>4.0192170746147742</v>
      </c>
      <c r="BF13" s="13">
        <f t="shared" si="37"/>
        <v>1.5753297014530023</v>
      </c>
      <c r="BG13" s="20">
        <f t="shared" si="7"/>
        <v>9.7438356349847108</v>
      </c>
      <c r="BH13" s="59">
        <f t="shared" si="8"/>
        <v>201.68249762002961</v>
      </c>
      <c r="BI13" s="59">
        <f ca="1">AVERAGE(OFFSET($BH$3,0,0,'Données projet'!$E$11+1,1))-AVERAGE(OFFSET($H$3,0,0,'Données projet'!$E$11+1,1))</f>
        <v>697.21496579331188</v>
      </c>
      <c r="BJ13" s="59">
        <f t="shared" si="38"/>
        <v>215.64914236948769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18</v>
      </c>
      <c r="BW13" s="12">
        <f>VLOOKUP(A13,'Données projet'!$A$113:$I$133,9,0)</f>
        <v>1.8</v>
      </c>
      <c r="BX13" s="12">
        <f t="array" ref="BX13">INDEX(BW:BW,MIN(IF(ISNUMBER(BW13:BW209),ROW(BW13:BW209),"")))</f>
        <v>1.8</v>
      </c>
      <c r="BY13" s="12">
        <f>IF('Données projet'!$A$114&gt;35,BY12+BX13-CG12,IF(A13&lt;'Données projet'!$A$114,$BV$205^A13,IF(A13='Données projet'!$A$114,'Données projet'!$B$114,BY12+BX13-CG12)))</f>
        <v>18</v>
      </c>
      <c r="BZ13" s="13">
        <f>BY13*VLOOKUP('Données projet'!$B$12,Paramètres!$A$1:$I$89,3,0)*VLOOKUP('Données projet'!$B$12,Paramètres!$A$1:$I$89,5,0)</f>
        <v>15.724800000000004</v>
      </c>
      <c r="CA13" s="13">
        <f t="shared" si="39"/>
        <v>5.2584129176484753</v>
      </c>
      <c r="CB13" s="20">
        <f t="shared" si="10"/>
        <v>36.545762498237771</v>
      </c>
      <c r="CC13" s="59">
        <f t="shared" si="11"/>
        <v>228.48442448328265</v>
      </c>
      <c r="CD13" s="59">
        <f ca="1">AVERAGE(OFFSET($CC$3,0,0,'Données projet'!$E$12+1,1))-AVERAGE(OFFSET($H$3,0,0,'Données projet'!$E$12+1,1))</f>
        <v>330.58463337575432</v>
      </c>
      <c r="CE13" s="59">
        <f t="shared" si="40"/>
        <v>285.43250599232192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6">
        <f t="shared" si="1"/>
        <v>183.33333333333334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306.22928545502106</v>
      </c>
      <c r="S14" s="59">
        <f ca="1">AVERAGE(OFFSET($R$3,0,0,'Données projet'!$E$9+1,1))-AVERAGE(OFFSET($H$3,0,0,'Données projet'!$E$9+1,1))</f>
        <v>189.76714074331781</v>
      </c>
      <c r="T14" s="59">
        <f t="shared" si="34"/>
        <v>458.38901659119472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2.4666666666666668</v>
      </c>
      <c r="AI14" s="13">
        <f>IF('Données projet'!$A$62&gt;35,AI13+AH14-AQ13,IF(A14&lt;'Données projet'!$A$62,$AF$205^A14,IF(A14='Données projet'!$A$62,'Données projet'!$B$62,AI13+AH14-AQ13)))</f>
        <v>14.125850240977657</v>
      </c>
      <c r="AJ14" s="13">
        <f>AI14*VLOOKUP('Données projet'!$B$10,Paramètres!$A$1:$I$89,3,0)*VLOOKUP('Données projet'!$B$10,Paramètres!$A$1:$I$89,5,0)</f>
        <v>10.357073396684818</v>
      </c>
      <c r="AK14" s="13">
        <f t="shared" si="35"/>
        <v>3.6359301026893722</v>
      </c>
      <c r="AL14" s="20">
        <f t="shared" si="4"/>
        <v>24.371147761410047</v>
      </c>
      <c r="AM14" s="59">
        <f t="shared" si="5"/>
        <v>218.86694637052418</v>
      </c>
      <c r="AN14" s="59">
        <f ca="1">AVERAGE(OFFSET($AM$3,0,0,'Données projet'!$E$10+1,1))-AVERAGE(OFFSET($H$3,0,0,'Données projet'!$E$10+1,1))</f>
        <v>302.36110224755532</v>
      </c>
      <c r="AO14" s="59">
        <f t="shared" si="36"/>
        <v>292.08583531469412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2.5115384616666665</v>
      </c>
      <c r="BD14" s="12">
        <f>IF('Données projet'!$A$88&gt;35,BD13+BC14-BL13,IF(A14&lt;'Données projet'!$A$88,$BA$205^A14,IF(A14='Données projet'!$A$88,'Données projet'!$B$88,BD13+BC14-BL13)))</f>
        <v>4.8781565352394285</v>
      </c>
      <c r="BE14" s="13">
        <f>BD14*VLOOKUP('Données projet'!$B$11,Paramètres!$A$1:$I$89,3,0)*VLOOKUP('Données projet'!$B$11,Paramètres!$A$1:$I$89,5,0)</f>
        <v>4.64205375893384</v>
      </c>
      <c r="BF14" s="13">
        <f t="shared" si="37"/>
        <v>1.7891929046570942</v>
      </c>
      <c r="BG14" s="20">
        <f t="shared" si="7"/>
        <v>11.201087939087543</v>
      </c>
      <c r="BH14" s="59">
        <f t="shared" si="8"/>
        <v>205.69688654820169</v>
      </c>
      <c r="BI14" s="59">
        <f ca="1">AVERAGE(OFFSET($BH$3,0,0,'Données projet'!$E$11+1,1))-AVERAGE(OFFSET($H$3,0,0,'Données projet'!$E$11+1,1))</f>
        <v>697.21496579331188</v>
      </c>
      <c r="BJ14" s="59">
        <f t="shared" si="38"/>
        <v>215.64914236948769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5.8</v>
      </c>
      <c r="BY14" s="12">
        <f>IF('Données projet'!$A$114&gt;35,BY13+BX14-CG13,IF(A14&lt;'Données projet'!$A$114,$BV$205^A14,IF(A14='Données projet'!$A$114,'Données projet'!$B$114,BY13+BX14-CG13)))</f>
        <v>23.8</v>
      </c>
      <c r="BZ14" s="13">
        <f>BY14*VLOOKUP('Données projet'!$B$12,Paramètres!$A$1:$I$89,3,0)*VLOOKUP('Données projet'!$B$12,Paramètres!$A$1:$I$89,5,0)</f>
        <v>20.791680000000003</v>
      </c>
      <c r="CA14" s="13">
        <f t="shared" si="39"/>
        <v>6.7303755760501467</v>
      </c>
      <c r="CB14" s="20">
        <f t="shared" si="10"/>
        <v>47.934246794954014</v>
      </c>
      <c r="CC14" s="59">
        <f t="shared" si="11"/>
        <v>242.43004540406815</v>
      </c>
      <c r="CD14" s="59">
        <f ca="1">AVERAGE(OFFSET($CC$3,0,0,'Données projet'!$E$12+1,1))-AVERAGE(OFFSET($H$3,0,0,'Données projet'!$E$12+1,1))</f>
        <v>330.58463337575432</v>
      </c>
      <c r="CE14" s="59">
        <f t="shared" si="40"/>
        <v>285.43250599232192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6">
        <f t="shared" si="1"/>
        <v>183.33333333333334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338.81904206751307</v>
      </c>
      <c r="S15" s="59">
        <f ca="1">AVERAGE(OFFSET($R$3,0,0,'Données projet'!$E$9+1,1))-AVERAGE(OFFSET($H$3,0,0,'Données projet'!$E$9+1,1))</f>
        <v>189.76714074331781</v>
      </c>
      <c r="T15" s="59">
        <f t="shared" si="34"/>
        <v>458.38901659119472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2.4666666666666668</v>
      </c>
      <c r="AI15" s="13">
        <f>IF('Données projet'!$A$62&gt;35,AI14+AH15-AQ14,IF(A15&lt;'Données projet'!$A$62,$AF$205^A15,IF(A15='Données projet'!$A$62,'Données projet'!$B$62,AI14+AH15-AQ14)))</f>
        <v>17.970550417308221</v>
      </c>
      <c r="AJ15" s="13">
        <f>AI15*VLOOKUP('Données projet'!$B$10,Paramètres!$A$1:$I$89,3,0)*VLOOKUP('Données projet'!$B$10,Paramètres!$A$1:$I$89,5,0)</f>
        <v>13.176007565970389</v>
      </c>
      <c r="AK15" s="13">
        <f t="shared" si="35"/>
        <v>4.4977266952111856</v>
      </c>
      <c r="AL15" s="20">
        <f t="shared" si="4"/>
        <v>30.781753838224574</v>
      </c>
      <c r="AM15" s="59">
        <f t="shared" si="5"/>
        <v>227.81153129095745</v>
      </c>
      <c r="AN15" s="59">
        <f ca="1">AVERAGE(OFFSET($AM$3,0,0,'Données projet'!$E$10+1,1))-AVERAGE(OFFSET($H$3,0,0,'Données projet'!$E$10+1,1))</f>
        <v>302.36110224755532</v>
      </c>
      <c r="AO15" s="59">
        <f t="shared" si="36"/>
        <v>292.08583531469412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2.5115384616666665</v>
      </c>
      <c r="BD15" s="12">
        <f>IF('Données projet'!$A$88&gt;35,BD14+BC15-BL14,IF(A15&lt;'Données projet'!$A$88,$BA$205^A15,IF(A15='Données projet'!$A$88,'Données projet'!$B$88,BD14+BC15-BL14)))</f>
        <v>5.6340984974657715</v>
      </c>
      <c r="BE15" s="13">
        <f>BD15*VLOOKUP('Données projet'!$B$11,Paramètres!$A$1:$I$89,3,0)*VLOOKUP('Données projet'!$B$11,Paramètres!$A$1:$I$89,5,0)</f>
        <v>5.361408130188428</v>
      </c>
      <c r="BF15" s="13">
        <f t="shared" si="37"/>
        <v>2.0320896934290391</v>
      </c>
      <c r="BG15" s="20">
        <f t="shared" si="7"/>
        <v>12.87700870946709</v>
      </c>
      <c r="BH15" s="59">
        <f t="shared" si="8"/>
        <v>209.90678616219995</v>
      </c>
      <c r="BI15" s="59">
        <f ca="1">AVERAGE(OFFSET($BH$3,0,0,'Données projet'!$E$11+1,1))-AVERAGE(OFFSET($H$3,0,0,'Données projet'!$E$11+1,1))</f>
        <v>697.21496579331188</v>
      </c>
      <c r="BJ15" s="59">
        <f t="shared" si="38"/>
        <v>215.64914236948769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5.8</v>
      </c>
      <c r="BY15" s="12">
        <f>IF('Données projet'!$A$114&gt;35,BY14+BX15-CG14,IF(A15&lt;'Données projet'!$A$114,$BV$205^A15,IF(A15='Données projet'!$A$114,'Données projet'!$B$114,BY14+BX15-CG14)))</f>
        <v>29.6</v>
      </c>
      <c r="BZ15" s="13">
        <f>BY15*VLOOKUP('Données projet'!$B$12,Paramètres!$A$1:$I$89,3,0)*VLOOKUP('Données projet'!$B$12,Paramètres!$A$1:$I$89,5,0)</f>
        <v>25.858560000000008</v>
      </c>
      <c r="CA15" s="13">
        <f t="shared" si="39"/>
        <v>8.1607346448714608</v>
      </c>
      <c r="CB15" s="20">
        <f t="shared" si="10"/>
        <v>59.250271506484466</v>
      </c>
      <c r="CC15" s="59">
        <f t="shared" si="11"/>
        <v>256.28004895921731</v>
      </c>
      <c r="CD15" s="59">
        <f ca="1">AVERAGE(OFFSET($CC$3,0,0,'Données projet'!$E$12+1,1))-AVERAGE(OFFSET($H$3,0,0,'Données projet'!$E$12+1,1))</f>
        <v>330.58463337575432</v>
      </c>
      <c r="CE15" s="59">
        <f t="shared" si="40"/>
        <v>285.43250599232192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6">
        <f t="shared" si="1"/>
        <v>183.33333333333334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319.13220559873872</v>
      </c>
      <c r="S16" s="59">
        <f ca="1">AVERAGE(OFFSET($R$3,0,0,'Données projet'!$E$9+1,1))-AVERAGE(OFFSET($H$3,0,0,'Données projet'!$E$9+1,1))</f>
        <v>189.76714074331781</v>
      </c>
      <c r="T16" s="59">
        <f t="shared" si="34"/>
        <v>458.38901659119472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2.4666666666666668</v>
      </c>
      <c r="AI16" s="13">
        <f>IF('Données projet'!$A$62&gt;35,AI15+AH16-AQ15,IF(A16&lt;'Données projet'!$A$62,$AF$205^A16,IF(A16='Données projet'!$A$62,'Données projet'!$B$62,AI15+AH16-AQ15)))</f>
        <v>22.86168101684942</v>
      </c>
      <c r="AJ16" s="13">
        <f>AI16*VLOOKUP('Données projet'!$B$10,Paramètres!$A$1:$I$89,3,0)*VLOOKUP('Données projet'!$B$10,Paramètres!$A$1:$I$89,5,0)</f>
        <v>16.762184521553994</v>
      </c>
      <c r="AK16" s="13">
        <f t="shared" si="35"/>
        <v>5.5637883164619248</v>
      </c>
      <c r="AL16" s="20">
        <f t="shared" si="4"/>
        <v>38.884402692877721</v>
      </c>
      <c r="AM16" s="59">
        <f t="shared" si="5"/>
        <v>238.42540294449654</v>
      </c>
      <c r="AN16" s="59">
        <f ca="1">AVERAGE(OFFSET($AM$3,0,0,'Données projet'!$E$10+1,1))-AVERAGE(OFFSET($H$3,0,0,'Données projet'!$E$10+1,1))</f>
        <v>302.36110224755532</v>
      </c>
      <c r="AO16" s="59">
        <f t="shared" si="36"/>
        <v>292.08583531469412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2.5115384616666665</v>
      </c>
      <c r="BD16" s="12">
        <f>IF('Données projet'!$A$88&gt;35,BD15+BC16-BL15,IF(A16&lt;'Données projet'!$A$88,$BA$205^A16,IF(A16='Données projet'!$A$88,'Données projet'!$B$88,BD15+BC16-BL15)))</f>
        <v>6.5071847633089641</v>
      </c>
      <c r="BE16" s="13">
        <f>BD16*VLOOKUP('Données projet'!$B$11,Paramètres!$A$1:$I$89,3,0)*VLOOKUP('Données projet'!$B$11,Paramètres!$A$1:$I$89,5,0)</f>
        <v>6.1922370207648108</v>
      </c>
      <c r="BF16" s="13">
        <f t="shared" si="37"/>
        <v>2.307961601788231</v>
      </c>
      <c r="BG16" s="20">
        <f t="shared" si="7"/>
        <v>14.804512600946547</v>
      </c>
      <c r="BH16" s="59">
        <f t="shared" si="8"/>
        <v>214.34551285256535</v>
      </c>
      <c r="BI16" s="59">
        <f ca="1">AVERAGE(OFFSET($BH$3,0,0,'Données projet'!$E$11+1,1))-AVERAGE(OFFSET($H$3,0,0,'Données projet'!$E$11+1,1))</f>
        <v>697.21496579331188</v>
      </c>
      <c r="BJ16" s="59">
        <f t="shared" si="38"/>
        <v>215.64914236948769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5.8</v>
      </c>
      <c r="BY16" s="12">
        <f>IF('Données projet'!$A$114&gt;35,BY15+BX16-CG15,IF(A16&lt;'Données projet'!$A$114,$BV$205^A16,IF(A16='Données projet'!$A$114,'Données projet'!$B$114,BY15+BX16-CG15)))</f>
        <v>35.4</v>
      </c>
      <c r="BZ16" s="13">
        <f>BY16*VLOOKUP('Données projet'!$B$12,Paramètres!$A$1:$I$89,3,0)*VLOOKUP('Données projet'!$B$12,Paramètres!$A$1:$I$89,5,0)</f>
        <v>30.925440000000002</v>
      </c>
      <c r="CA16" s="13">
        <f t="shared" si="39"/>
        <v>9.5586196975402125</v>
      </c>
      <c r="CB16" s="20">
        <f t="shared" si="10"/>
        <v>70.509737306549212</v>
      </c>
      <c r="CC16" s="59">
        <f t="shared" si="11"/>
        <v>270.05073755816801</v>
      </c>
      <c r="CD16" s="59">
        <f ca="1">AVERAGE(OFFSET($CC$3,0,0,'Données projet'!$E$12+1,1))-AVERAGE(OFFSET($H$3,0,0,'Données projet'!$E$12+1,1))</f>
        <v>330.58463337575432</v>
      </c>
      <c r="CE16" s="59">
        <f t="shared" si="40"/>
        <v>285.43250599232192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6">
        <f t="shared" si="1"/>
        <v>183.33333333333334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349.02952525768535</v>
      </c>
      <c r="S17" s="59">
        <f ca="1">AVERAGE(OFFSET($R$3,0,0,'Données projet'!$E$9+1,1))-AVERAGE(OFFSET($H$3,0,0,'Données projet'!$E$9+1,1))</f>
        <v>189.76714074331781</v>
      </c>
      <c r="T17" s="59">
        <f t="shared" si="34"/>
        <v>458.38901659119472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2.4666666666666668</v>
      </c>
      <c r="AI17" s="13">
        <f>IF('Données projet'!$A$62&gt;35,AI16+AH17-AQ16,IF(A17&lt;'Données projet'!$A$62,$AF$205^A17,IF(A17='Données projet'!$A$62,'Données projet'!$B$62,AI16+AH17-AQ16)))</f>
        <v>29.084054009429774</v>
      </c>
      <c r="AJ17" s="13">
        <f>AI17*VLOOKUP('Données projet'!$B$10,Paramètres!$A$1:$I$89,3,0)*VLOOKUP('Données projet'!$B$10,Paramètres!$A$1:$I$89,5,0)</f>
        <v>21.324428399713909</v>
      </c>
      <c r="AK17" s="13">
        <f t="shared" si="35"/>
        <v>6.8825303376831179</v>
      </c>
      <c r="AL17" s="20">
        <f t="shared" si="4"/>
        <v>49.127119800966483</v>
      </c>
      <c r="AM17" s="59">
        <f t="shared" si="5"/>
        <v>251.15698157323968</v>
      </c>
      <c r="AN17" s="59">
        <f ca="1">AVERAGE(OFFSET($AM$3,0,0,'Données projet'!$E$10+1,1))-AVERAGE(OFFSET($H$3,0,0,'Données projet'!$E$10+1,1))</f>
        <v>302.36110224755532</v>
      </c>
      <c r="AO17" s="59">
        <f t="shared" si="36"/>
        <v>292.08583531469412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2.5115384616666665</v>
      </c>
      <c r="BD17" s="12">
        <f>IF('Données projet'!$A$88&gt;35,BD16+BC17-BL16,IF(A17&lt;'Données projet'!$A$88,$BA$205^A17,IF(A17='Données projet'!$A$88,'Données projet'!$B$88,BD16+BC17-BL16)))</f>
        <v>7.5155685621908308</v>
      </c>
      <c r="BE17" s="13">
        <f>BD17*VLOOKUP('Données projet'!$B$11,Paramètres!$A$1:$I$89,3,0)*VLOOKUP('Données projet'!$B$11,Paramètres!$A$1:$I$89,5,0)</f>
        <v>7.151815043780795</v>
      </c>
      <c r="BF17" s="13">
        <f t="shared" si="37"/>
        <v>2.6212852575126289</v>
      </c>
      <c r="BG17" s="20">
        <f t="shared" si="7"/>
        <v>17.021483024752712</v>
      </c>
      <c r="BH17" s="59">
        <f t="shared" si="8"/>
        <v>219.05134479702591</v>
      </c>
      <c r="BI17" s="59">
        <f ca="1">AVERAGE(OFFSET($BH$3,0,0,'Données projet'!$E$11+1,1))-AVERAGE(OFFSET($H$3,0,0,'Données projet'!$E$11+1,1))</f>
        <v>697.21496579331188</v>
      </c>
      <c r="BJ17" s="59">
        <f t="shared" si="38"/>
        <v>215.64914236948769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5.8</v>
      </c>
      <c r="BY17" s="12">
        <f>IF('Données projet'!$A$114&gt;35,BY16+BX17-CG16,IF(A17&lt;'Données projet'!$A$114,$BV$205^A17,IF(A17='Données projet'!$A$114,'Données projet'!$B$114,BY16+BX17-CG16)))</f>
        <v>41.199999999999996</v>
      </c>
      <c r="BZ17" s="13">
        <f>BY17*VLOOKUP('Données projet'!$B$12,Paramètres!$A$1:$I$89,3,0)*VLOOKUP('Données projet'!$B$12,Paramètres!$A$1:$I$89,5,0)</f>
        <v>35.992319999999999</v>
      </c>
      <c r="CA17" s="13">
        <f t="shared" si="39"/>
        <v>10.929972788578748</v>
      </c>
      <c r="CB17" s="20">
        <f t="shared" si="10"/>
        <v>81.722993273441304</v>
      </c>
      <c r="CC17" s="59">
        <f t="shared" si="11"/>
        <v>283.75285504571451</v>
      </c>
      <c r="CD17" s="59">
        <f ca="1">AVERAGE(OFFSET($CC$3,0,0,'Données projet'!$E$12+1,1))-AVERAGE(OFFSET($H$3,0,0,'Données projet'!$E$12+1,1))</f>
        <v>330.58463337575432</v>
      </c>
      <c r="CE17" s="59">
        <f t="shared" si="40"/>
        <v>285.43250599232192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6">
        <f t="shared" si="1"/>
        <v>183.33333333333334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378.78240954149101</v>
      </c>
      <c r="S18" s="59">
        <f ca="1">AVERAGE(OFFSET($R$3,0,0,'Données projet'!$E$9+1,1))-AVERAGE(OFFSET($H$3,0,0,'Données projet'!$E$9+1,1))</f>
        <v>189.76714074331781</v>
      </c>
      <c r="T18" s="59">
        <f t="shared" si="34"/>
        <v>458.38901659119472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37</v>
      </c>
      <c r="AG18" s="12">
        <f>VLOOKUP(A18,'Données projet'!$A$61:$I$81,9,0)</f>
        <v>2.4666666666666668</v>
      </c>
      <c r="AH18" s="12">
        <f t="array" ref="AH18">INDEX(AG:AG,MIN(IF(ISNUMBER(AG18:AG214),ROW(AG18:AG214),"")))</f>
        <v>2.4666666666666668</v>
      </c>
      <c r="AI18" s="13">
        <f>IF('Données projet'!$A$62&gt;35,AI17+AH18-AQ17,IF(A18&lt;'Données projet'!$A$62,$AF$205^A18,IF(A18='Données projet'!$A$62,'Données projet'!$B$62,AI17+AH18-AQ17)))</f>
        <v>37</v>
      </c>
      <c r="AJ18" s="13">
        <f>AI18*VLOOKUP('Données projet'!$B$10,Paramètres!$A$1:$I$89,3,0)*VLOOKUP('Données projet'!$B$10,Paramètres!$A$1:$I$89,5,0)</f>
        <v>27.128400000000003</v>
      </c>
      <c r="AK18" s="13">
        <f t="shared" si="35"/>
        <v>8.5138436537878839</v>
      </c>
      <c r="AL18" s="20">
        <f t="shared" si="4"/>
        <v>62.076907697013901</v>
      </c>
      <c r="AM18" s="59">
        <f t="shared" si="5"/>
        <v>266.57365762989497</v>
      </c>
      <c r="AN18" s="59">
        <f ca="1">AVERAGE(OFFSET($AM$3,0,0,'Données projet'!$E$10+1,1))-AVERAGE(OFFSET($H$3,0,0,'Données projet'!$E$10+1,1))</f>
        <v>302.36110224755532</v>
      </c>
      <c r="AO18" s="59">
        <f t="shared" si="36"/>
        <v>292.08583531469412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15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2.5115384616666665</v>
      </c>
      <c r="BD18" s="12">
        <f>IF('Données projet'!$A$88&gt;35,BD17+BC18-BL17,IF(A18&lt;'Données projet'!$A$88,$BA$205^A18,IF(A18='Données projet'!$A$88,'Données projet'!$B$88,BD17+BC18-BL17)))</f>
        <v>8.6802162329057069</v>
      </c>
      <c r="BE18" s="13">
        <f>BD18*VLOOKUP('Données projet'!$B$11,Paramètres!$A$1:$I$89,3,0)*VLOOKUP('Données projet'!$B$11,Paramètres!$A$1:$I$89,5,0)</f>
        <v>8.2600937672330694</v>
      </c>
      <c r="BF18" s="13">
        <f t="shared" si="37"/>
        <v>2.9771450252591833</v>
      </c>
      <c r="BG18" s="20">
        <f t="shared" si="7"/>
        <v>19.571524230257339</v>
      </c>
      <c r="BH18" s="59">
        <f t="shared" si="8"/>
        <v>224.06827416313837</v>
      </c>
      <c r="BI18" s="59">
        <f ca="1">AVERAGE(OFFSET($BH$3,0,0,'Données projet'!$E$11+1,1))-AVERAGE(OFFSET($H$3,0,0,'Données projet'!$E$11+1,1))</f>
        <v>697.21496579331188</v>
      </c>
      <c r="BJ18" s="59">
        <f t="shared" si="38"/>
        <v>215.64914236948769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47</v>
      </c>
      <c r="BW18" s="12">
        <f>VLOOKUP(A18,'Données projet'!$A$113:$I$133,9,0)</f>
        <v>5.8</v>
      </c>
      <c r="BX18" s="12">
        <f t="array" ref="BX18">INDEX(BW:BW,MIN(IF(ISNUMBER(BW18:BW214),ROW(BW18:BW214),"")))</f>
        <v>5.8</v>
      </c>
      <c r="BY18" s="12">
        <f>IF('Données projet'!$A$114&gt;35,BY17+BX18-CG17,IF(A18&lt;'Données projet'!$A$114,$BV$205^A18,IF(A18='Données projet'!$A$114,'Données projet'!$B$114,BY17+BX18-CG17)))</f>
        <v>46.999999999999993</v>
      </c>
      <c r="BZ18" s="13">
        <f>BY18*VLOOKUP('Données projet'!$B$12,Paramètres!$A$1:$I$89,3,0)*VLOOKUP('Données projet'!$B$12,Paramètres!$A$1:$I$89,5,0)</f>
        <v>41.059200000000004</v>
      </c>
      <c r="CA18" s="13">
        <f t="shared" si="39"/>
        <v>12.278959527914743</v>
      </c>
      <c r="CB18" s="20">
        <f t="shared" si="10"/>
        <v>92.897294511118176</v>
      </c>
      <c r="CC18" s="59">
        <f t="shared" si="11"/>
        <v>297.39404444399923</v>
      </c>
      <c r="CD18" s="59">
        <f ca="1">AVERAGE(OFFSET($CC$3,0,0,'Données projet'!$E$12+1,1))-AVERAGE(OFFSET($H$3,0,0,'Données projet'!$E$12+1,1))</f>
        <v>330.58463337575432</v>
      </c>
      <c r="CE18" s="59">
        <f t="shared" si="40"/>
        <v>285.43250599232192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6">
        <f t="shared" si="1"/>
        <v>183.33333333333334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409.70547867834216</v>
      </c>
      <c r="S19" s="59">
        <f ca="1">AVERAGE(OFFSET($R$3,0,0,'Données projet'!$E$9+1,1))-AVERAGE(OFFSET($H$3,0,0,'Données projet'!$E$9+1,1))</f>
        <v>189.76714074331781</v>
      </c>
      <c r="T19" s="59">
        <f t="shared" si="34"/>
        <v>458.38901659119472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11.6</v>
      </c>
      <c r="AI19" s="13">
        <f>IF('Données projet'!$A$62&gt;35,AI18+AH19-AQ18,IF(A19&lt;'Données projet'!$A$62,$AF$205^A19,IF(A19='Données projet'!$A$62,'Données projet'!$B$62,AI18+AH19-AQ18)))</f>
        <v>33.6</v>
      </c>
      <c r="AJ19" s="13">
        <f>AI19*VLOOKUP('Données projet'!$B$10,Paramètres!$A$1:$I$89,3,0)*VLOOKUP('Données projet'!$B$10,Paramètres!$A$1:$I$89,5,0)</f>
        <v>24.63552</v>
      </c>
      <c r="AK19" s="13">
        <f t="shared" si="35"/>
        <v>7.8187263384607988</v>
      </c>
      <c r="AL19" s="20">
        <f t="shared" si="4"/>
        <v>56.52447903948589</v>
      </c>
      <c r="AM19" s="59">
        <f t="shared" si="5"/>
        <v>263.46652496159993</v>
      </c>
      <c r="AN19" s="59">
        <f ca="1">AVERAGE(OFFSET($AM$3,0,0,'Données projet'!$E$10+1,1))-AVERAGE(OFFSET($H$3,0,0,'Données projet'!$E$10+1,1))</f>
        <v>302.36110224755532</v>
      </c>
      <c r="AO19" s="59">
        <f t="shared" si="36"/>
        <v>292.08583531469412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2.5115384616666665</v>
      </c>
      <c r="BD19" s="12">
        <f>IF('Données projet'!$A$88&gt;35,BD18+BC19-BL18,IF(A19&lt;'Données projet'!$A$88,$BA$205^A19,IF(A19='Données projet'!$A$88,'Données projet'!$B$88,BD18+BC19-BL18)))</f>
        <v>10.025343156211713</v>
      </c>
      <c r="BE19" s="13">
        <f>BD19*VLOOKUP('Données projet'!$B$11,Paramètres!$A$1:$I$89,3,0)*VLOOKUP('Données projet'!$B$11,Paramètres!$A$1:$I$89,5,0)</f>
        <v>9.540116547451067</v>
      </c>
      <c r="BF19" s="13">
        <f t="shared" si="37"/>
        <v>3.3813155115502744</v>
      </c>
      <c r="BG19" s="20">
        <f t="shared" si="7"/>
        <v>22.504827502760673</v>
      </c>
      <c r="BH19" s="59">
        <f t="shared" si="8"/>
        <v>229.44687342487472</v>
      </c>
      <c r="BI19" s="59">
        <f ca="1">AVERAGE(OFFSET($BH$3,0,0,'Données projet'!$E$11+1,1))-AVERAGE(OFFSET($H$3,0,0,'Données projet'!$E$11+1,1))</f>
        <v>697.21496579331188</v>
      </c>
      <c r="BJ19" s="59">
        <f t="shared" si="38"/>
        <v>215.64914236948769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8</v>
      </c>
      <c r="BY19" s="12">
        <f>IF('Données projet'!$A$114&gt;35,BY18+BX19-CG18,IF(A19&lt;'Données projet'!$A$114,$BV$205^A19,IF(A19='Données projet'!$A$114,'Données projet'!$B$114,BY18+BX19-CG18)))</f>
        <v>54.999999999999993</v>
      </c>
      <c r="BZ19" s="13">
        <f>BY19*VLOOKUP('Données projet'!$B$12,Paramètres!$A$1:$I$89,3,0)*VLOOKUP('Données projet'!$B$12,Paramètres!$A$1:$I$89,5,0)</f>
        <v>48.048000000000002</v>
      </c>
      <c r="CA19" s="13">
        <f t="shared" si="39"/>
        <v>14.108484750160615</v>
      </c>
      <c r="CB19" s="20">
        <f t="shared" si="10"/>
        <v>108.25587760652974</v>
      </c>
      <c r="CC19" s="59">
        <f t="shared" si="11"/>
        <v>315.1979235286438</v>
      </c>
      <c r="CD19" s="59">
        <f ca="1">AVERAGE(OFFSET($CC$3,0,0,'Données projet'!$E$12+1,1))-AVERAGE(OFFSET($H$3,0,0,'Données projet'!$E$12+1,1))</f>
        <v>330.58463337575432</v>
      </c>
      <c r="CE19" s="59">
        <f t="shared" si="40"/>
        <v>285.43250599232192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6">
        <f t="shared" si="1"/>
        <v>183.33333333333334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441.80288798887403</v>
      </c>
      <c r="S20" s="59">
        <f ca="1">AVERAGE(OFFSET($R$3,0,0,'Données projet'!$E$9+1,1))-AVERAGE(OFFSET($H$3,0,0,'Données projet'!$E$9+1,1))</f>
        <v>189.76714074331781</v>
      </c>
      <c r="T20" s="59">
        <f t="shared" si="34"/>
        <v>458.38901659119472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11.6</v>
      </c>
      <c r="AI20" s="13">
        <f>IF('Données projet'!$A$62&gt;35,AI19+AH20-AQ19,IF(A20&lt;'Données projet'!$A$62,$AF$205^A20,IF(A20='Données projet'!$A$62,'Données projet'!$B$62,AI19+AH20-AQ19)))</f>
        <v>45.2</v>
      </c>
      <c r="AJ20" s="13">
        <f>AI20*VLOOKUP('Données projet'!$B$10,Paramètres!$A$1:$I$89,3,0)*VLOOKUP('Données projet'!$B$10,Paramètres!$A$1:$I$89,5,0)</f>
        <v>33.140639999999998</v>
      </c>
      <c r="AK20" s="13">
        <f t="shared" si="35"/>
        <v>10.161152005886803</v>
      </c>
      <c r="AL20" s="20">
        <f t="shared" si="4"/>
        <v>75.417287743586172</v>
      </c>
      <c r="AM20" s="59">
        <f t="shared" si="5"/>
        <v>284.7834120594589</v>
      </c>
      <c r="AN20" s="59">
        <f ca="1">AVERAGE(OFFSET($AM$3,0,0,'Données projet'!$E$10+1,1))-AVERAGE(OFFSET($H$3,0,0,'Données projet'!$E$10+1,1))</f>
        <v>302.36110224755532</v>
      </c>
      <c r="AO20" s="59">
        <f t="shared" si="36"/>
        <v>292.08583531469412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2.5115384616666665</v>
      </c>
      <c r="BD20" s="12">
        <f>IF('Données projet'!$A$88&gt;35,BD19+BC20-BL19,IF(A20&lt;'Données projet'!$A$88,$BA$205^A20,IF(A20='Données projet'!$A$88,'Données projet'!$B$88,BD19+BC20-BL19)))</f>
        <v>11.578917241576145</v>
      </c>
      <c r="BE20" s="13">
        <f>BD20*VLOOKUP('Données projet'!$B$11,Paramètres!$A$1:$I$89,3,0)*VLOOKUP('Données projet'!$B$11,Paramètres!$A$1:$I$89,5,0)</f>
        <v>11.01849764708386</v>
      </c>
      <c r="BF20" s="13">
        <f t="shared" si="37"/>
        <v>3.8403552704508019</v>
      </c>
      <c r="BG20" s="20">
        <f t="shared" si="7"/>
        <v>25.879168831372866</v>
      </c>
      <c r="BH20" s="59">
        <f t="shared" si="8"/>
        <v>235.2452931472456</v>
      </c>
      <c r="BI20" s="59">
        <f ca="1">AVERAGE(OFFSET($BH$3,0,0,'Données projet'!$E$11+1,1))-AVERAGE(OFFSET($H$3,0,0,'Données projet'!$E$11+1,1))</f>
        <v>697.21496579331188</v>
      </c>
      <c r="BJ20" s="59">
        <f t="shared" si="38"/>
        <v>215.64914236948769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8</v>
      </c>
      <c r="BY20" s="12">
        <f>IF('Données projet'!$A$114&gt;35,BY19+BX20-CG19,IF(A20&lt;'Données projet'!$A$114,$BV$205^A20,IF(A20='Données projet'!$A$114,'Données projet'!$B$114,BY19+BX20-CG19)))</f>
        <v>62.999999999999993</v>
      </c>
      <c r="BZ20" s="13">
        <f>BY20*VLOOKUP('Données projet'!$B$12,Paramètres!$A$1:$I$89,3,0)*VLOOKUP('Données projet'!$B$12,Paramètres!$A$1:$I$89,5,0)</f>
        <v>55.036800000000007</v>
      </c>
      <c r="CA20" s="13">
        <f t="shared" si="39"/>
        <v>15.907180538864345</v>
      </c>
      <c r="CB20" s="20">
        <f t="shared" si="10"/>
        <v>123.56076610518875</v>
      </c>
      <c r="CC20" s="59">
        <f t="shared" si="11"/>
        <v>332.92689042106144</v>
      </c>
      <c r="CD20" s="59">
        <f ca="1">AVERAGE(OFFSET($CC$3,0,0,'Données projet'!$E$12+1,1))-AVERAGE(OFFSET($H$3,0,0,'Données projet'!$E$12+1,1))</f>
        <v>330.58463337575432</v>
      </c>
      <c r="CE20" s="59">
        <f t="shared" si="40"/>
        <v>285.43250599232192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6">
        <f t="shared" si="1"/>
        <v>183.33333333333334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411.94795361957813</v>
      </c>
      <c r="S21" s="59">
        <f ca="1">AVERAGE(OFFSET($R$3,0,0,'Données projet'!$E$9+1,1))-AVERAGE(OFFSET($H$3,0,0,'Données projet'!$E$9+1,1))</f>
        <v>189.76714074331781</v>
      </c>
      <c r="T21" s="59">
        <f t="shared" si="34"/>
        <v>458.38901659119472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11.6</v>
      </c>
      <c r="AI21" s="13">
        <f>IF('Données projet'!$A$62&gt;35,AI20+AH21-AQ20,IF(A21&lt;'Données projet'!$A$62,$AF$205^A21,IF(A21='Données projet'!$A$62,'Données projet'!$B$62,AI20+AH21-AQ20)))</f>
        <v>56.800000000000004</v>
      </c>
      <c r="AJ21" s="13">
        <f>AI21*VLOOKUP('Données projet'!$B$10,Paramètres!$A$1:$I$89,3,0)*VLOOKUP('Données projet'!$B$10,Paramètres!$A$1:$I$89,5,0)</f>
        <v>41.645760000000003</v>
      </c>
      <c r="AK21" s="13">
        <f t="shared" si="35"/>
        <v>12.433826892120967</v>
      </c>
      <c r="AL21" s="20">
        <f t="shared" si="4"/>
        <v>94.18861383711068</v>
      </c>
      <c r="AM21" s="59">
        <f t="shared" si="5"/>
        <v>305.95796702911377</v>
      </c>
      <c r="AN21" s="59">
        <f ca="1">AVERAGE(OFFSET($AM$3,0,0,'Données projet'!$E$10+1,1))-AVERAGE(OFFSET($H$3,0,0,'Données projet'!$E$10+1,1))</f>
        <v>302.36110224755532</v>
      </c>
      <c r="AO21" s="59">
        <f t="shared" si="36"/>
        <v>292.08583531469412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2.5115384616666665</v>
      </c>
      <c r="BD21" s="12">
        <f>IF('Données projet'!$A$88&gt;35,BD20+BC21-BL20,IF(A21&lt;'Données projet'!$A$88,$BA$205^A21,IF(A21='Données projet'!$A$88,'Données projet'!$B$88,BD20+BC21-BL20)))</f>
        <v>13.373240436582819</v>
      </c>
      <c r="BE21" s="13">
        <f>BD21*VLOOKUP('Données projet'!$B$11,Paramètres!$A$1:$I$89,3,0)*VLOOKUP('Données projet'!$B$11,Paramètres!$A$1:$I$89,5,0)</f>
        <v>12.725975599452209</v>
      </c>
      <c r="BF21" s="13">
        <f t="shared" si="37"/>
        <v>4.3617132305164237</v>
      </c>
      <c r="BG21" s="20">
        <f t="shared" si="7"/>
        <v>29.761058045528703</v>
      </c>
      <c r="BH21" s="59">
        <f t="shared" si="8"/>
        <v>241.53041123753181</v>
      </c>
      <c r="BI21" s="59">
        <f ca="1">AVERAGE(OFFSET($BH$3,0,0,'Données projet'!$E$11+1,1))-AVERAGE(OFFSET($H$3,0,0,'Données projet'!$E$11+1,1))</f>
        <v>697.21496579331188</v>
      </c>
      <c r="BJ21" s="59">
        <f t="shared" si="38"/>
        <v>215.64914236948769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8</v>
      </c>
      <c r="BY21" s="12">
        <f>IF('Données projet'!$A$114&gt;35,BY20+BX21-CG20,IF(A21&lt;'Données projet'!$A$114,$BV$205^A21,IF(A21='Données projet'!$A$114,'Données projet'!$B$114,BY20+BX21-CG20)))</f>
        <v>71</v>
      </c>
      <c r="BZ21" s="13">
        <f>BY21*VLOOKUP('Données projet'!$B$12,Paramètres!$A$1:$I$89,3,0)*VLOOKUP('Données projet'!$B$12,Paramètres!$A$1:$I$89,5,0)</f>
        <v>62.025600000000011</v>
      </c>
      <c r="CA21" s="13">
        <f t="shared" si="39"/>
        <v>17.679410406677221</v>
      </c>
      <c r="CB21" s="20">
        <f t="shared" si="10"/>
        <v>138.8195597916295</v>
      </c>
      <c r="CC21" s="59">
        <f t="shared" si="11"/>
        <v>350.58891298363261</v>
      </c>
      <c r="CD21" s="59">
        <f ca="1">AVERAGE(OFFSET($CC$3,0,0,'Données projet'!$E$12+1,1))-AVERAGE(OFFSET($H$3,0,0,'Données projet'!$E$12+1,1))</f>
        <v>330.58463337575432</v>
      </c>
      <c r="CE21" s="59">
        <f t="shared" si="40"/>
        <v>285.43250599232192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6">
        <f t="shared" si="1"/>
        <v>183.33333333333334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440.14594319477544</v>
      </c>
      <c r="S22" s="59">
        <f ca="1">AVERAGE(OFFSET($R$3,0,0,'Données projet'!$E$9+1,1))-AVERAGE(OFFSET($H$3,0,0,'Données projet'!$E$9+1,1))</f>
        <v>189.76714074331781</v>
      </c>
      <c r="T22" s="59">
        <f t="shared" si="34"/>
        <v>458.38901659119472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11.6</v>
      </c>
      <c r="AI22" s="13">
        <f>IF('Données projet'!$A$62&gt;35,AI21+AH22-AQ21,IF(A22&lt;'Données projet'!$A$62,$AF$205^A22,IF(A22='Données projet'!$A$62,'Données projet'!$B$62,AI21+AH22-AQ21)))</f>
        <v>68.400000000000006</v>
      </c>
      <c r="AJ22" s="13">
        <f>AI22*VLOOKUP('Données projet'!$B$10,Paramètres!$A$1:$I$89,3,0)*VLOOKUP('Données projet'!$B$10,Paramètres!$A$1:$I$89,5,0)</f>
        <v>50.150880000000008</v>
      </c>
      <c r="AK22" s="13">
        <f t="shared" si="35"/>
        <v>14.652718245804536</v>
      </c>
      <c r="AL22" s="20">
        <f t="shared" si="4"/>
        <v>112.86626694477626</v>
      </c>
      <c r="AM22" s="59">
        <f t="shared" si="5"/>
        <v>327.01836118779977</v>
      </c>
      <c r="AN22" s="59">
        <f ca="1">AVERAGE(OFFSET($AM$3,0,0,'Données projet'!$E$10+1,1))-AVERAGE(OFFSET($H$3,0,0,'Données projet'!$E$10+1,1))</f>
        <v>302.36110224755532</v>
      </c>
      <c r="AO22" s="59">
        <f t="shared" si="36"/>
        <v>292.08583531469412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2.5115384616666665</v>
      </c>
      <c r="BD22" s="12">
        <f>IF('Données projet'!$A$88&gt;35,BD21+BC22-BL21,IF(A22&lt;'Données projet'!$A$88,$BA$205^A22,IF(A22='Données projet'!$A$88,'Données projet'!$B$88,BD21+BC22-BL21)))</f>
        <v>15.445620349758135</v>
      </c>
      <c r="BE22" s="13">
        <f>BD22*VLOOKUP('Données projet'!$B$11,Paramètres!$A$1:$I$89,3,0)*VLOOKUP('Données projet'!$B$11,Paramètres!$A$1:$I$89,5,0)</f>
        <v>14.698052324829844</v>
      </c>
      <c r="BF22" s="13">
        <f t="shared" si="37"/>
        <v>4.9538495700239826</v>
      </c>
      <c r="BG22" s="20">
        <f t="shared" si="7"/>
        <v>34.227062466870414</v>
      </c>
      <c r="BH22" s="59">
        <f t="shared" si="8"/>
        <v>248.37915670989395</v>
      </c>
      <c r="BI22" s="59">
        <f ca="1">AVERAGE(OFFSET($BH$3,0,0,'Données projet'!$E$11+1,1))-AVERAGE(OFFSET($H$3,0,0,'Données projet'!$E$11+1,1))</f>
        <v>697.21496579331188</v>
      </c>
      <c r="BJ22" s="59">
        <f t="shared" si="38"/>
        <v>215.64914236948769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8</v>
      </c>
      <c r="BY22" s="12">
        <f>IF('Données projet'!$A$114&gt;35,BY21+BX22-CG21,IF(A22&lt;'Données projet'!$A$114,$BV$205^A22,IF(A22='Données projet'!$A$114,'Données projet'!$B$114,BY21+BX22-CG21)))</f>
        <v>79</v>
      </c>
      <c r="BZ22" s="13">
        <f>BY22*VLOOKUP('Données projet'!$B$12,Paramètres!$A$1:$I$89,3,0)*VLOOKUP('Données projet'!$B$12,Paramètres!$A$1:$I$89,5,0)</f>
        <v>69.014400000000009</v>
      </c>
      <c r="CA22" s="13">
        <f t="shared" si="39"/>
        <v>19.428496726251055</v>
      </c>
      <c r="CB22" s="20">
        <f t="shared" si="10"/>
        <v>154.03804513155393</v>
      </c>
      <c r="CC22" s="59">
        <f t="shared" si="11"/>
        <v>368.19013937457748</v>
      </c>
      <c r="CD22" s="59">
        <f ca="1">AVERAGE(OFFSET($CC$3,0,0,'Données projet'!$E$12+1,1))-AVERAGE(OFFSET($H$3,0,0,'Données projet'!$E$12+1,1))</f>
        <v>330.58463337575432</v>
      </c>
      <c r="CE22" s="59">
        <f t="shared" si="40"/>
        <v>285.43250599232192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6">
        <f t="shared" si="1"/>
        <v>183.33333333333334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469.54199234341115</v>
      </c>
      <c r="S23" s="59">
        <f ca="1">AVERAGE(OFFSET($R$3,0,0,'Données projet'!$E$9+1,1))-AVERAGE(OFFSET($H$3,0,0,'Données projet'!$E$9+1,1))</f>
        <v>189.76714074331781</v>
      </c>
      <c r="T23" s="59">
        <f t="shared" si="34"/>
        <v>458.38901659119472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80</v>
      </c>
      <c r="AG23" s="12">
        <f>VLOOKUP(A23,'Données projet'!$A$61:$I$81,9,0)</f>
        <v>11.6</v>
      </c>
      <c r="AH23" s="12">
        <f t="array" ref="AH23">INDEX(AG:AG,MIN(IF(ISNUMBER(AG23:AG219),ROW(AG23:AG219),"")))</f>
        <v>11.6</v>
      </c>
      <c r="AI23" s="13">
        <f>IF('Données projet'!$A$62&gt;35,AI22+AH23-AQ22,IF(A23&lt;'Données projet'!$A$62,$AF$205^A23,IF(A23='Données projet'!$A$62,'Données projet'!$B$62,AI22+AH23-AQ22)))</f>
        <v>80</v>
      </c>
      <c r="AJ23" s="13">
        <f>AI23*VLOOKUP('Données projet'!$B$10,Paramètres!$A$1:$I$89,3,0)*VLOOKUP('Données projet'!$B$10,Paramètres!$A$1:$I$89,5,0)</f>
        <v>58.655999999999992</v>
      </c>
      <c r="AK23" s="13">
        <f t="shared" si="35"/>
        <v>16.828016909929062</v>
      </c>
      <c r="AL23" s="20">
        <f t="shared" si="4"/>
        <v>131.46799611812642</v>
      </c>
      <c r="AM23" s="59">
        <f t="shared" si="5"/>
        <v>347.98269900502214</v>
      </c>
      <c r="AN23" s="59">
        <f ca="1">AVERAGE(OFFSET($AM$3,0,0,'Données projet'!$E$10+1,1))-AVERAGE(OFFSET($H$3,0,0,'Données projet'!$E$10+1,1))</f>
        <v>302.36110224755532</v>
      </c>
      <c r="AO23" s="59">
        <f t="shared" si="36"/>
        <v>292.08583531469412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28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2.5115384616666665</v>
      </c>
      <c r="BD23" s="12">
        <f>IF('Données projet'!$A$88&gt;35,BD22+BC23-BL22,IF(A23&lt;'Données projet'!$A$88,$BA$205^A23,IF(A23='Données projet'!$A$88,'Données projet'!$B$88,BD22+BC23-BL22)))</f>
        <v>17.839145951212871</v>
      </c>
      <c r="BE23" s="13">
        <f>BD23*VLOOKUP('Données projet'!$B$11,Paramètres!$A$1:$I$89,3,0)*VLOOKUP('Données projet'!$B$11,Paramètres!$A$1:$I$89,5,0)</f>
        <v>16.975731287174167</v>
      </c>
      <c r="BF23" s="13">
        <f t="shared" si="37"/>
        <v>5.6263730019502409</v>
      </c>
      <c r="BG23" s="20">
        <f t="shared" si="7"/>
        <v>39.365331636891675</v>
      </c>
      <c r="BH23" s="59">
        <f t="shared" si="8"/>
        <v>255.8800345237874</v>
      </c>
      <c r="BI23" s="59">
        <f ca="1">AVERAGE(OFFSET($BH$3,0,0,'Données projet'!$E$11+1,1))-AVERAGE(OFFSET($H$3,0,0,'Données projet'!$E$11+1,1))</f>
        <v>697.21496579331188</v>
      </c>
      <c r="BJ23" s="59">
        <f t="shared" si="38"/>
        <v>215.64914236948769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87</v>
      </c>
      <c r="BW23" s="12">
        <f>VLOOKUP(A23,'Données projet'!$A$113:$I$133,9,0)</f>
        <v>8</v>
      </c>
      <c r="BX23" s="12">
        <f t="array" ref="BX23">INDEX(BW:BW,MIN(IF(ISNUMBER(BW23:BW219),ROW(BW23:BW219),"")))</f>
        <v>8</v>
      </c>
      <c r="BY23" s="12">
        <f>IF('Données projet'!$A$114&gt;35,BY22+BX23-CG22,IF(A23&lt;'Données projet'!$A$114,$BV$205^A23,IF(A23='Données projet'!$A$114,'Données projet'!$B$114,BY22+BX23-CG22)))</f>
        <v>87</v>
      </c>
      <c r="BZ23" s="13">
        <f>BY23*VLOOKUP('Données projet'!$B$12,Paramètres!$A$1:$I$89,3,0)*VLOOKUP('Données projet'!$B$12,Paramètres!$A$1:$I$89,5,0)</f>
        <v>76.003200000000007</v>
      </c>
      <c r="CA23" s="13">
        <f t="shared" si="39"/>
        <v>21.157049992000456</v>
      </c>
      <c r="CB23" s="20">
        <f t="shared" si="10"/>
        <v>169.22076873606747</v>
      </c>
      <c r="CC23" s="59">
        <f t="shared" si="11"/>
        <v>385.73547162296319</v>
      </c>
      <c r="CD23" s="59">
        <f ca="1">AVERAGE(OFFSET($CC$3,0,0,'Données projet'!$E$12+1,1))-AVERAGE(OFFSET($H$3,0,0,'Données projet'!$E$12+1,1))</f>
        <v>330.58463337575432</v>
      </c>
      <c r="CE23" s="59">
        <f t="shared" si="40"/>
        <v>285.43250599232192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29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6">
        <f t="shared" si="1"/>
        <v>183.33333333333334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497.57000483494448</v>
      </c>
      <c r="S24" s="59">
        <f ca="1">AVERAGE(OFFSET($R$3,0,0,'Données projet'!$E$9+1,1))-AVERAGE(OFFSET($H$3,0,0,'Données projet'!$E$9+1,1))</f>
        <v>189.76714074331781</v>
      </c>
      <c r="T24" s="59">
        <f t="shared" si="34"/>
        <v>458.38901659119472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12.6</v>
      </c>
      <c r="AI24" s="13">
        <f>IF('Données projet'!$A$62&gt;35,AI23+AH24-AQ23,IF(A24&lt;'Données projet'!$A$62,$AF$205^A24,IF(A24='Données projet'!$A$62,'Données projet'!$B$62,AI23+AH24-AQ23)))</f>
        <v>64.599999999999994</v>
      </c>
      <c r="AJ24" s="13">
        <f>AI24*VLOOKUP('Données projet'!$B$10,Paramètres!$A$1:$I$89,3,0)*VLOOKUP('Données projet'!$B$10,Paramètres!$A$1:$I$89,5,0)</f>
        <v>47.364719999999991</v>
      </c>
      <c r="AK24" s="13">
        <f t="shared" si="35"/>
        <v>13.931057351916726</v>
      </c>
      <c r="AL24" s="20">
        <f t="shared" si="4"/>
        <v>106.75681222125495</v>
      </c>
      <c r="AM24" s="59">
        <f t="shared" si="5"/>
        <v>325.61434059712934</v>
      </c>
      <c r="AN24" s="59">
        <f ca="1">AVERAGE(OFFSET($AM$3,0,0,'Données projet'!$E$10+1,1))-AVERAGE(OFFSET($H$3,0,0,'Données projet'!$E$10+1,1))</f>
        <v>302.36110224755532</v>
      </c>
      <c r="AO24" s="59">
        <f t="shared" si="36"/>
        <v>292.08583531469412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2.5115384616666665</v>
      </c>
      <c r="BD24" s="12">
        <f>IF('Données projet'!$A$88&gt;35,BD23+BC24-BL23,IF(A24&lt;'Données projet'!$A$88,$BA$205^A24,IF(A24='Données projet'!$A$88,'Données projet'!$B$88,BD23+BC24-BL23)))</f>
        <v>20.603583479485028</v>
      </c>
      <c r="BE24" s="13">
        <f>BD24*VLOOKUP('Données projet'!$B$11,Paramètres!$A$1:$I$89,3,0)*VLOOKUP('Données projet'!$B$11,Paramètres!$A$1:$I$89,5,0)</f>
        <v>19.606370039077952</v>
      </c>
      <c r="BF24" s="13">
        <f t="shared" si="37"/>
        <v>6.390196696449407</v>
      </c>
      <c r="BG24" s="20">
        <f t="shared" si="7"/>
        <v>45.277353731043483</v>
      </c>
      <c r="BH24" s="59">
        <f t="shared" si="8"/>
        <v>264.13488210691787</v>
      </c>
      <c r="BI24" s="59">
        <f ca="1">AVERAGE(OFFSET($BH$3,0,0,'Données projet'!$E$11+1,1))-AVERAGE(OFFSET($H$3,0,0,'Données projet'!$E$11+1,1))</f>
        <v>697.21496579331188</v>
      </c>
      <c r="BJ24" s="59">
        <f t="shared" si="38"/>
        <v>215.64914236948769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8</v>
      </c>
      <c r="BY24" s="12">
        <f>IF('Données projet'!$A$114&gt;35,BY23+BX24-CG23,IF(A24&lt;'Données projet'!$A$114,$BV$205^A24,IF(A24='Données projet'!$A$114,'Données projet'!$B$114,BY23+BX24-CG23)))</f>
        <v>66</v>
      </c>
      <c r="BZ24" s="13">
        <f>BY24*VLOOKUP('Données projet'!$B$12,Paramètres!$A$1:$I$89,3,0)*VLOOKUP('Données projet'!$B$12,Paramètres!$A$1:$I$89,5,0)</f>
        <v>57.657600000000002</v>
      </c>
      <c r="CA24" s="13">
        <f t="shared" si="39"/>
        <v>16.574671209026025</v>
      </c>
      <c r="CB24" s="20">
        <f t="shared" si="10"/>
        <v>129.28787235572034</v>
      </c>
      <c r="CC24" s="59">
        <f t="shared" si="11"/>
        <v>348.14540073159469</v>
      </c>
      <c r="CD24" s="59">
        <f ca="1">AVERAGE(OFFSET($CC$3,0,0,'Données projet'!$E$12+1,1))-AVERAGE(OFFSET($H$3,0,0,'Données projet'!$E$12+1,1))</f>
        <v>330.58463337575432</v>
      </c>
      <c r="CE24" s="59">
        <f t="shared" si="40"/>
        <v>285.43250599232192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6">
        <f t="shared" si="1"/>
        <v>183.33333333333334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525.52547414253047</v>
      </c>
      <c r="S25" s="59">
        <f ca="1">AVERAGE(OFFSET($R$3,0,0,'Données projet'!$E$9+1,1))-AVERAGE(OFFSET($H$3,0,0,'Données projet'!$E$9+1,1))</f>
        <v>189.76714074331781</v>
      </c>
      <c r="T25" s="59">
        <f t="shared" si="34"/>
        <v>458.38901659119472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12.6</v>
      </c>
      <c r="AI25" s="13">
        <f>IF('Données projet'!$A$62&gt;35,AI24+AH25-AQ24,IF(A25&lt;'Données projet'!$A$62,$AF$205^A25,IF(A25='Données projet'!$A$62,'Données projet'!$B$62,AI24+AH25-AQ24)))</f>
        <v>77.199999999999989</v>
      </c>
      <c r="AJ25" s="13">
        <f>AI25*VLOOKUP('Données projet'!$B$10,Paramètres!$A$1:$I$89,3,0)*VLOOKUP('Données projet'!$B$10,Paramètres!$A$1:$I$89,5,0)</f>
        <v>56.603039999999986</v>
      </c>
      <c r="AK25" s="13">
        <f t="shared" si="35"/>
        <v>16.306519487923971</v>
      </c>
      <c r="AL25" s="20">
        <f t="shared" si="4"/>
        <v>126.98414944146755</v>
      </c>
      <c r="AM25" s="59">
        <f t="shared" si="5"/>
        <v>348.16506334493596</v>
      </c>
      <c r="AN25" s="59">
        <f ca="1">AVERAGE(OFFSET($AM$3,0,0,'Données projet'!$E$10+1,1))-AVERAGE(OFFSET($H$3,0,0,'Données projet'!$E$10+1,1))</f>
        <v>302.36110224755532</v>
      </c>
      <c r="AO25" s="59">
        <f t="shared" si="36"/>
        <v>292.08583531469412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2.5115384616666665</v>
      </c>
      <c r="BD25" s="12">
        <f>IF('Données projet'!$A$88&gt;35,BD24+BC25-BL24,IF(A25&lt;'Données projet'!$A$88,$BA$205^A25,IF(A25='Données projet'!$A$88,'Données projet'!$B$88,BD24+BC25-BL24)))</f>
        <v>23.796411182299146</v>
      </c>
      <c r="BE25" s="13">
        <f>BD25*VLOOKUP('Données projet'!$B$11,Paramètres!$A$1:$I$89,3,0)*VLOOKUP('Données projet'!$B$11,Paramètres!$A$1:$I$89,5,0)</f>
        <v>22.644664881075869</v>
      </c>
      <c r="BF25" s="13">
        <f t="shared" si="37"/>
        <v>7.2577153710140871</v>
      </c>
      <c r="BG25" s="20">
        <f t="shared" si="7"/>
        <v>52.079978939056673</v>
      </c>
      <c r="BH25" s="59">
        <f t="shared" si="8"/>
        <v>273.2608928425251</v>
      </c>
      <c r="BI25" s="59">
        <f ca="1">AVERAGE(OFFSET($BH$3,0,0,'Données projet'!$E$11+1,1))-AVERAGE(OFFSET($H$3,0,0,'Données projet'!$E$11+1,1))</f>
        <v>697.21496579331188</v>
      </c>
      <c r="BJ25" s="59">
        <f t="shared" si="38"/>
        <v>215.64914236948769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8</v>
      </c>
      <c r="BY25" s="12">
        <f>IF('Données projet'!$A$114&gt;35,BY24+BX25-CG24,IF(A25&lt;'Données projet'!$A$114,$BV$205^A25,IF(A25='Données projet'!$A$114,'Données projet'!$B$114,BY24+BX25-CG24)))</f>
        <v>74</v>
      </c>
      <c r="BZ25" s="13">
        <f>BY25*VLOOKUP('Données projet'!$B$12,Paramètres!$A$1:$I$89,3,0)*VLOOKUP('Données projet'!$B$12,Paramètres!$A$1:$I$89,5,0)</f>
        <v>64.646400000000014</v>
      </c>
      <c r="CA25" s="13">
        <f t="shared" si="39"/>
        <v>18.337876695493666</v>
      </c>
      <c r="CB25" s="20">
        <f t="shared" si="10"/>
        <v>144.53094857798482</v>
      </c>
      <c r="CC25" s="59">
        <f t="shared" si="11"/>
        <v>365.71186248145318</v>
      </c>
      <c r="CD25" s="59">
        <f ca="1">AVERAGE(OFFSET($CC$3,0,0,'Données projet'!$E$12+1,1))-AVERAGE(OFFSET($H$3,0,0,'Données projet'!$E$12+1,1))</f>
        <v>330.58463337575432</v>
      </c>
      <c r="CE25" s="59">
        <f t="shared" si="40"/>
        <v>285.43250599232192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6">
        <f t="shared" si="1"/>
        <v>183.33333333333334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476.51248616606193</v>
      </c>
      <c r="S26" s="59">
        <f ca="1">AVERAGE(OFFSET($R$3,0,0,'Données projet'!$E$9+1,1))-AVERAGE(OFFSET($H$3,0,0,'Données projet'!$E$9+1,1))</f>
        <v>189.76714074331781</v>
      </c>
      <c r="T26" s="59">
        <f t="shared" si="34"/>
        <v>458.38901659119472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12.6</v>
      </c>
      <c r="AI26" s="13">
        <f>IF('Données projet'!$A$62&gt;35,AI25+AH26-AQ25,IF(A26&lt;'Données projet'!$A$62,$AF$205^A26,IF(A26='Données projet'!$A$62,'Données projet'!$B$62,AI25+AH26-AQ25)))</f>
        <v>89.799999999999983</v>
      </c>
      <c r="AJ26" s="13">
        <f>AI26*VLOOKUP('Données projet'!$B$10,Paramètres!$A$1:$I$89,3,0)*VLOOKUP('Données projet'!$B$10,Paramètres!$A$1:$I$89,5,0)</f>
        <v>65.84135999999998</v>
      </c>
      <c r="AK26" s="13">
        <f t="shared" si="35"/>
        <v>18.637068365902625</v>
      </c>
      <c r="AL26" s="20">
        <f t="shared" si="4"/>
        <v>147.13326273728035</v>
      </c>
      <c r="AM26" s="59">
        <f t="shared" si="5"/>
        <v>370.61845944682682</v>
      </c>
      <c r="AN26" s="59">
        <f ca="1">AVERAGE(OFFSET($AM$3,0,0,'Données projet'!$E$10+1,1))-AVERAGE(OFFSET($H$3,0,0,'Données projet'!$E$10+1,1))</f>
        <v>302.36110224755532</v>
      </c>
      <c r="AO26" s="59">
        <f t="shared" si="36"/>
        <v>292.08583531469412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2.5115384616666665</v>
      </c>
      <c r="BD26" s="12">
        <f>IF('Données projet'!$A$88&gt;35,BD25+BC26-BL25,IF(A26&lt;'Données projet'!$A$88,$BA$205^A26,IF(A26='Données projet'!$A$88,'Données projet'!$B$88,BD25+BC26-BL25)))</f>
        <v>27.4840144055953</v>
      </c>
      <c r="BE26" s="13">
        <f>BD26*VLOOKUP('Données projet'!$B$11,Paramètres!$A$1:$I$89,3,0)*VLOOKUP('Données projet'!$B$11,Paramètres!$A$1:$I$89,5,0)</f>
        <v>26.153788108364488</v>
      </c>
      <c r="BF26" s="13">
        <f t="shared" si="37"/>
        <v>8.2430064219966361</v>
      </c>
      <c r="BG26" s="20">
        <f t="shared" si="7"/>
        <v>59.907750473712277</v>
      </c>
      <c r="BH26" s="59">
        <f t="shared" si="8"/>
        <v>283.3929471832588</v>
      </c>
      <c r="BI26" s="59">
        <f ca="1">AVERAGE(OFFSET($BH$3,0,0,'Données projet'!$E$11+1,1))-AVERAGE(OFFSET($H$3,0,0,'Données projet'!$E$11+1,1))</f>
        <v>697.21496579331188</v>
      </c>
      <c r="BJ26" s="59">
        <f t="shared" si="38"/>
        <v>215.64914236948769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8</v>
      </c>
      <c r="BY26" s="12">
        <f>IF('Données projet'!$A$114&gt;35,BY25+BX26-CG25,IF(A26&lt;'Données projet'!$A$114,$BV$205^A26,IF(A26='Données projet'!$A$114,'Données projet'!$B$114,BY25+BX26-CG25)))</f>
        <v>82</v>
      </c>
      <c r="BZ26" s="13">
        <f>BY26*VLOOKUP('Données projet'!$B$12,Paramètres!$A$1:$I$89,3,0)*VLOOKUP('Données projet'!$B$12,Paramètres!$A$1:$I$89,5,0)</f>
        <v>71.635200000000012</v>
      </c>
      <c r="CA26" s="13">
        <f t="shared" si="39"/>
        <v>20.078988020012648</v>
      </c>
      <c r="CB26" s="20">
        <f t="shared" si="10"/>
        <v>159.73554413485536</v>
      </c>
      <c r="CC26" s="59">
        <f t="shared" si="11"/>
        <v>383.22074084440186</v>
      </c>
      <c r="CD26" s="59">
        <f ca="1">AVERAGE(OFFSET($CC$3,0,0,'Données projet'!$E$12+1,1))-AVERAGE(OFFSET($H$3,0,0,'Données projet'!$E$12+1,1))</f>
        <v>330.58463337575432</v>
      </c>
      <c r="CE26" s="59">
        <f t="shared" si="40"/>
        <v>285.43250599232192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6">
        <f t="shared" si="1"/>
        <v>183.33333333333334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500.63392979535581</v>
      </c>
      <c r="S27" s="59">
        <f ca="1">AVERAGE(OFFSET($R$3,0,0,'Données projet'!$E$9+1,1))-AVERAGE(OFFSET($H$3,0,0,'Données projet'!$E$9+1,1))</f>
        <v>189.76714074331781</v>
      </c>
      <c r="T27" s="59">
        <f t="shared" si="34"/>
        <v>458.38901659119472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12.6</v>
      </c>
      <c r="AI27" s="13">
        <f>IF('Données projet'!$A$62&gt;35,AI26+AH27-AQ26,IF(A27&lt;'Données projet'!$A$62,$AF$205^A27,IF(A27='Données projet'!$A$62,'Données projet'!$B$62,AI26+AH27-AQ26)))</f>
        <v>102.39999999999998</v>
      </c>
      <c r="AJ27" s="13">
        <f>AI27*VLOOKUP('Données projet'!$B$10,Paramètres!$A$1:$I$89,3,0)*VLOOKUP('Données projet'!$B$10,Paramètres!$A$1:$I$89,5,0)</f>
        <v>75.079679999999982</v>
      </c>
      <c r="AK27" s="13">
        <f t="shared" si="35"/>
        <v>20.929732076759169</v>
      </c>
      <c r="AL27" s="20">
        <f t="shared" si="4"/>
        <v>167.2163927003555</v>
      </c>
      <c r="AM27" s="59">
        <f t="shared" si="5"/>
        <v>392.9871008839753</v>
      </c>
      <c r="AN27" s="59">
        <f ca="1">AVERAGE(OFFSET($AM$3,0,0,'Données projet'!$E$10+1,1))-AVERAGE(OFFSET($H$3,0,0,'Données projet'!$E$10+1,1))</f>
        <v>302.36110224755532</v>
      </c>
      <c r="AO27" s="59">
        <f t="shared" si="36"/>
        <v>292.08583531469412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2.5115384616666665</v>
      </c>
      <c r="BD27" s="12">
        <f>IF('Données projet'!$A$88&gt;35,BD26+BC27-BL26,IF(A27&lt;'Données projet'!$A$88,$BA$205^A27,IF(A27='Données projet'!$A$88,'Données projet'!$B$88,BD26+BC27-BL26)))</f>
        <v>31.743065879146062</v>
      </c>
      <c r="BE27" s="13">
        <f>BD27*VLOOKUP('Données projet'!$B$11,Paramètres!$A$1:$I$89,3,0)*VLOOKUP('Données projet'!$B$11,Paramètres!$A$1:$I$89,5,0)</f>
        <v>30.206701490595396</v>
      </c>
      <c r="BF27" s="13">
        <f t="shared" si="37"/>
        <v>9.3620583612917034</v>
      </c>
      <c r="BG27" s="20">
        <f t="shared" si="7"/>
        <v>68.915590075370019</v>
      </c>
      <c r="BH27" s="59">
        <f t="shared" si="8"/>
        <v>294.68629825898984</v>
      </c>
      <c r="BI27" s="59">
        <f ca="1">AVERAGE(OFFSET($BH$3,0,0,'Données projet'!$E$11+1,1))-AVERAGE(OFFSET($H$3,0,0,'Données projet'!$E$11+1,1))</f>
        <v>697.21496579331188</v>
      </c>
      <c r="BJ27" s="59">
        <f t="shared" si="38"/>
        <v>215.64914236948769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8</v>
      </c>
      <c r="BY27" s="12">
        <f>IF('Données projet'!$A$114&gt;35,BY26+BX27-CG26,IF(A27&lt;'Données projet'!$A$114,$BV$205^A27,IF(A27='Données projet'!$A$114,'Données projet'!$B$114,BY26+BX27-CG26)))</f>
        <v>90</v>
      </c>
      <c r="BZ27" s="13">
        <f>BY27*VLOOKUP('Données projet'!$B$12,Paramètres!$A$1:$I$89,3,0)*VLOOKUP('Données projet'!$B$12,Paramètres!$A$1:$I$89,5,0)</f>
        <v>78.624000000000009</v>
      </c>
      <c r="CA27" s="13">
        <f t="shared" si="39"/>
        <v>21.800406010684462</v>
      </c>
      <c r="CB27" s="20">
        <f t="shared" si="10"/>
        <v>174.90584046860877</v>
      </c>
      <c r="CC27" s="59">
        <f t="shared" si="11"/>
        <v>400.67654865222858</v>
      </c>
      <c r="CD27" s="59">
        <f ca="1">AVERAGE(OFFSET($CC$3,0,0,'Données projet'!$E$12+1,1))-AVERAGE(OFFSET($H$3,0,0,'Données projet'!$E$12+1,1))</f>
        <v>330.58463337575432</v>
      </c>
      <c r="CE27" s="59">
        <f t="shared" si="40"/>
        <v>285.43250599232192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6">
        <f t="shared" si="1"/>
        <v>183.33333333333334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524.69796293112063</v>
      </c>
      <c r="S28" s="59">
        <f ca="1">AVERAGE(OFFSET($R$3,0,0,'Données projet'!$E$9+1,1))-AVERAGE(OFFSET($H$3,0,0,'Données projet'!$E$9+1,1))</f>
        <v>189.76714074331781</v>
      </c>
      <c r="T28" s="59">
        <f t="shared" si="34"/>
        <v>458.38901659119472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115</v>
      </c>
      <c r="AG28" s="12">
        <f>VLOOKUP(A28,'Données projet'!$A$61:$I$81,9,0)</f>
        <v>12.6</v>
      </c>
      <c r="AH28" s="12">
        <f t="array" ref="AH28">INDEX(AG:AG,MIN(IF(ISNUMBER(AG28:AG224),ROW(AG28:AG224),"")))</f>
        <v>12.6</v>
      </c>
      <c r="AI28" s="13">
        <f>IF('Données projet'!$A$62&gt;35,AI27+AH28-AQ27,IF(A28&lt;'Données projet'!$A$62,$AF$205^A28,IF(A28='Données projet'!$A$62,'Données projet'!$B$62,AI27+AH28-AQ27)))</f>
        <v>114.99999999999997</v>
      </c>
      <c r="AJ28" s="13">
        <f>AI28*VLOOKUP('Données projet'!$B$10,Paramètres!$A$1:$I$89,3,0)*VLOOKUP('Données projet'!$B$10,Paramètres!$A$1:$I$89,5,0)</f>
        <v>84.317999999999969</v>
      </c>
      <c r="AK28" s="13">
        <f t="shared" si="35"/>
        <v>23.189705803157239</v>
      </c>
      <c r="AL28" s="20">
        <f t="shared" si="4"/>
        <v>187.24258760716546</v>
      </c>
      <c r="AM28" s="59">
        <f t="shared" si="5"/>
        <v>415.28036157349754</v>
      </c>
      <c r="AN28" s="59">
        <f ca="1">AVERAGE(OFFSET($AM$3,0,0,'Données projet'!$E$10+1,1))-AVERAGE(OFFSET($H$3,0,0,'Données projet'!$E$10+1,1))</f>
        <v>302.36110224755532</v>
      </c>
      <c r="AO28" s="59">
        <f t="shared" si="36"/>
        <v>292.08583531469412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2.5115384616666665</v>
      </c>
      <c r="BD28" s="12">
        <f>IF('Données projet'!$A$88&gt;35,BD27+BC28-BL27,IF(A28&lt;'Données projet'!$A$88,$BA$205^A28,IF(A28='Données projet'!$A$88,'Données projet'!$B$88,BD27+BC28-BL27)))</f>
        <v>36.662119897691205</v>
      </c>
      <c r="BE28" s="13">
        <f>BD28*VLOOKUP('Données projet'!$B$11,Paramètres!$A$1:$I$89,3,0)*VLOOKUP('Données projet'!$B$11,Paramètres!$A$1:$I$89,5,0)</f>
        <v>34.887673294642951</v>
      </c>
      <c r="BF28" s="13">
        <f t="shared" si="37"/>
        <v>10.633030265067006</v>
      </c>
      <c r="BG28" s="20">
        <f t="shared" si="7"/>
        <v>79.281892033161512</v>
      </c>
      <c r="BH28" s="59">
        <f t="shared" si="8"/>
        <v>307.31966599949362</v>
      </c>
      <c r="BI28" s="59">
        <f ca="1">AVERAGE(OFFSET($BH$3,0,0,'Données projet'!$E$11+1,1))-AVERAGE(OFFSET($H$3,0,0,'Données projet'!$E$11+1,1))</f>
        <v>697.21496579331188</v>
      </c>
      <c r="BJ28" s="59">
        <f t="shared" si="38"/>
        <v>215.64914236948769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98</v>
      </c>
      <c r="BW28" s="12">
        <f>VLOOKUP(A28,'Données projet'!$A$113:$I$133,9,0)</f>
        <v>8</v>
      </c>
      <c r="BX28" s="12">
        <f t="array" ref="BX28">INDEX(BW:BW,MIN(IF(ISNUMBER(BW28:BW224),ROW(BW28:BW224),"")))</f>
        <v>8</v>
      </c>
      <c r="BY28" s="12">
        <f>IF('Données projet'!$A$114&gt;35,BY27+BX28-CG27,IF(A28&lt;'Données projet'!$A$114,$BV$205^A28,IF(A28='Données projet'!$A$114,'Données projet'!$B$114,BY27+BX28-CG27)))</f>
        <v>98</v>
      </c>
      <c r="BZ28" s="13">
        <f>BY28*VLOOKUP('Données projet'!$B$12,Paramètres!$A$1:$I$89,3,0)*VLOOKUP('Données projet'!$B$12,Paramètres!$A$1:$I$89,5,0)</f>
        <v>85.612800000000007</v>
      </c>
      <c r="CA28" s="13">
        <f t="shared" si="39"/>
        <v>23.504080242391282</v>
      </c>
      <c r="CB28" s="20">
        <f t="shared" si="10"/>
        <v>190.04523308883151</v>
      </c>
      <c r="CC28" s="59">
        <f t="shared" si="11"/>
        <v>418.08300705516365</v>
      </c>
      <c r="CD28" s="59">
        <f ca="1">AVERAGE(OFFSET($CC$3,0,0,'Données projet'!$E$12+1,1))-AVERAGE(OFFSET($H$3,0,0,'Données projet'!$E$12+1,1))</f>
        <v>330.58463337575432</v>
      </c>
      <c r="CE28" s="59">
        <f t="shared" si="40"/>
        <v>285.43250599232192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19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6">
        <f t="shared" si="1"/>
        <v>183.33333333333334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549.98719410050194</v>
      </c>
      <c r="S29" s="59">
        <f ca="1">AVERAGE(OFFSET($R$3,0,0,'Données projet'!$E$9+1,1))-AVERAGE(OFFSET($H$3,0,0,'Données projet'!$E$9+1,1))</f>
        <v>189.76714074331781</v>
      </c>
      <c r="T29" s="59">
        <f t="shared" si="34"/>
        <v>458.38901659119472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11.8</v>
      </c>
      <c r="AI29" s="13">
        <f>IF('Données projet'!$A$62&gt;35,AI28+AH29-AQ28,IF(A29&lt;'Données projet'!$A$62,$AF$205^A29,IF(A29='Données projet'!$A$62,'Données projet'!$B$62,AI28+AH29-AQ28)))</f>
        <v>98.799999999999969</v>
      </c>
      <c r="AJ29" s="13">
        <f>AI29*VLOOKUP('Données projet'!$B$10,Paramètres!$A$1:$I$89,3,0)*VLOOKUP('Données projet'!$B$10,Paramètres!$A$1:$I$89,5,0)</f>
        <v>72.440159999999977</v>
      </c>
      <c r="AK29" s="13">
        <f t="shared" si="35"/>
        <v>20.27822154299642</v>
      </c>
      <c r="AL29" s="20">
        <f t="shared" si="4"/>
        <v>161.4845145207187</v>
      </c>
      <c r="AM29" s="59">
        <f t="shared" si="5"/>
        <v>391.77122856990889</v>
      </c>
      <c r="AN29" s="59">
        <f ca="1">AVERAGE(OFFSET($AM$3,0,0,'Données projet'!$E$10+1,1))-AVERAGE(OFFSET($H$3,0,0,'Données projet'!$E$10+1,1))</f>
        <v>302.36110224755532</v>
      </c>
      <c r="AO29" s="59">
        <f t="shared" si="36"/>
        <v>292.08583531469412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2.5115384616666665</v>
      </c>
      <c r="BD29" s="12">
        <f>IF('Données projet'!$A$88&gt;35,BD28+BC29-BL28,IF(A29&lt;'Données projet'!$A$88,$BA$205^A29,IF(A29='Données projet'!$A$88,'Données projet'!$B$88,BD28+BC29-BL28)))</f>
        <v>42.343453543840354</v>
      </c>
      <c r="BE29" s="13">
        <f>BD29*VLOOKUP('Données projet'!$B$11,Paramètres!$A$1:$I$89,3,0)*VLOOKUP('Données projet'!$B$11,Paramètres!$A$1:$I$89,5,0)</f>
        <v>40.294030392318483</v>
      </c>
      <c r="BF29" s="13">
        <f t="shared" si="37"/>
        <v>12.076546444667922</v>
      </c>
      <c r="BG29" s="20">
        <f t="shared" si="7"/>
        <v>91.21208799108463</v>
      </c>
      <c r="BH29" s="59">
        <f t="shared" si="8"/>
        <v>321.49880204027482</v>
      </c>
      <c r="BI29" s="59">
        <f ca="1">AVERAGE(OFFSET($BH$3,0,0,'Données projet'!$E$11+1,1))-AVERAGE(OFFSET($H$3,0,0,'Données projet'!$E$11+1,1))</f>
        <v>697.21496579331188</v>
      </c>
      <c r="BJ29" s="59">
        <f t="shared" si="38"/>
        <v>215.64914236948769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8</v>
      </c>
      <c r="BY29" s="12">
        <f>IF('Données projet'!$A$114&gt;35,BY28+BX29-CG28,IF(A29&lt;'Données projet'!$A$114,$BV$205^A29,IF(A29='Données projet'!$A$114,'Données projet'!$B$114,BY28+BX29-CG28)))</f>
        <v>87</v>
      </c>
      <c r="BZ29" s="13">
        <f>BY29*VLOOKUP('Données projet'!$B$12,Paramètres!$A$1:$I$89,3,0)*VLOOKUP('Données projet'!$B$12,Paramètres!$A$1:$I$89,5,0)</f>
        <v>76.003200000000007</v>
      </c>
      <c r="CA29" s="13">
        <f t="shared" si="39"/>
        <v>21.157049992000456</v>
      </c>
      <c r="CB29" s="20">
        <f t="shared" si="10"/>
        <v>169.22076873606747</v>
      </c>
      <c r="CC29" s="59">
        <f t="shared" si="11"/>
        <v>399.50748278525765</v>
      </c>
      <c r="CD29" s="59">
        <f ca="1">AVERAGE(OFFSET($CC$3,0,0,'Données projet'!$E$12+1,1))-AVERAGE(OFFSET($H$3,0,0,'Données projet'!$E$12+1,1))</f>
        <v>330.58463337575432</v>
      </c>
      <c r="CE29" s="59">
        <f t="shared" si="40"/>
        <v>285.43250599232192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6">
        <f t="shared" si="1"/>
        <v>183.33333333333334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573.94481243981772</v>
      </c>
      <c r="S30" s="59">
        <f ca="1">AVERAGE(OFFSET($R$3,0,0,'Données projet'!$E$9+1,1))-AVERAGE(OFFSET($H$3,0,0,'Données projet'!$E$9+1,1))</f>
        <v>189.76714074331781</v>
      </c>
      <c r="T30" s="59">
        <f t="shared" si="34"/>
        <v>458.38901659119472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11.8</v>
      </c>
      <c r="AI30" s="13">
        <f>IF('Données projet'!$A$62&gt;35,AI29+AH30-AQ29,IF(A30&lt;'Données projet'!$A$62,$AF$205^A30,IF(A30='Données projet'!$A$62,'Données projet'!$B$62,AI29+AH30-AQ29)))</f>
        <v>110.59999999999997</v>
      </c>
      <c r="AJ30" s="13">
        <f>AI30*VLOOKUP('Données projet'!$B$10,Paramètres!$A$1:$I$89,3,0)*VLOOKUP('Données projet'!$B$10,Paramètres!$A$1:$I$89,5,0)</f>
        <v>81.091919999999973</v>
      </c>
      <c r="AK30" s="13">
        <f t="shared" si="35"/>
        <v>22.40395323325189</v>
      </c>
      <c r="AL30" s="20">
        <f t="shared" si="4"/>
        <v>180.25531254791363</v>
      </c>
      <c r="AM30" s="59">
        <f t="shared" si="5"/>
        <v>412.77315542047711</v>
      </c>
      <c r="AN30" s="59">
        <f ca="1">AVERAGE(OFFSET($AM$3,0,0,'Données projet'!$E$10+1,1))-AVERAGE(OFFSET($H$3,0,0,'Données projet'!$E$10+1,1))</f>
        <v>302.36110224755532</v>
      </c>
      <c r="AO30" s="59">
        <f t="shared" si="36"/>
        <v>292.08583531469412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2.5115384616666665</v>
      </c>
      <c r="BD30" s="12">
        <f>IF('Données projet'!$A$88&gt;35,BD29+BC30-BL29,IF(A30&lt;'Données projet'!$A$88,$BA$205^A30,IF(A30='Données projet'!$A$88,'Données projet'!$B$88,BD29+BC30-BL29)))</f>
        <v>48.90519323549205</v>
      </c>
      <c r="BE30" s="13">
        <f>BD30*VLOOKUP('Données projet'!$B$11,Paramètres!$A$1:$I$89,3,0)*VLOOKUP('Données projet'!$B$11,Paramètres!$A$1:$I$89,5,0)</f>
        <v>46.538181882894236</v>
      </c>
      <c r="BF30" s="13">
        <f t="shared" si="37"/>
        <v>13.716031121378769</v>
      </c>
      <c r="BG30" s="20">
        <f t="shared" si="7"/>
        <v>104.94275431577547</v>
      </c>
      <c r="BH30" s="59">
        <f t="shared" si="8"/>
        <v>337.46059718833897</v>
      </c>
      <c r="BI30" s="59">
        <f ca="1">AVERAGE(OFFSET($BH$3,0,0,'Données projet'!$E$11+1,1))-AVERAGE(OFFSET($H$3,0,0,'Données projet'!$E$11+1,1))</f>
        <v>697.21496579331188</v>
      </c>
      <c r="BJ30" s="59">
        <f t="shared" si="38"/>
        <v>215.64914236948769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8</v>
      </c>
      <c r="BY30" s="12">
        <f>IF('Données projet'!$A$114&gt;35,BY29+BX30-CG29,IF(A30&lt;'Données projet'!$A$114,$BV$205^A30,IF(A30='Données projet'!$A$114,'Données projet'!$B$114,BY29+BX30-CG29)))</f>
        <v>95</v>
      </c>
      <c r="BZ30" s="13">
        <f>BY30*VLOOKUP('Données projet'!$B$12,Paramètres!$A$1:$I$89,3,0)*VLOOKUP('Données projet'!$B$12,Paramètres!$A$1:$I$89,5,0)</f>
        <v>82.992000000000004</v>
      </c>
      <c r="CA30" s="13">
        <f t="shared" si="39"/>
        <v>22.867173045817324</v>
      </c>
      <c r="CB30" s="20">
        <f t="shared" si="10"/>
        <v>184.37139305479852</v>
      </c>
      <c r="CC30" s="59">
        <f t="shared" si="11"/>
        <v>416.88923592736205</v>
      </c>
      <c r="CD30" s="59">
        <f ca="1">AVERAGE(OFFSET($CC$3,0,0,'Données projet'!$E$12+1,1))-AVERAGE(OFFSET($H$3,0,0,'Données projet'!$E$12+1,1))</f>
        <v>330.58463337575432</v>
      </c>
      <c r="CE30" s="59">
        <f t="shared" si="40"/>
        <v>285.43250599232192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6">
        <f t="shared" si="1"/>
        <v>183.33333333333334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596.57909947360474</v>
      </c>
      <c r="S31" s="59">
        <f ca="1">AVERAGE(OFFSET($R$3,0,0,'Données projet'!$E$9+1,1))-AVERAGE(OFFSET($H$3,0,0,'Données projet'!$E$9+1,1))</f>
        <v>189.76714074331781</v>
      </c>
      <c r="T31" s="59">
        <f t="shared" si="34"/>
        <v>458.38901659119472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11.8</v>
      </c>
      <c r="AI31" s="13">
        <f>IF('Données projet'!$A$62&gt;35,AI30+AH31-AQ30,IF(A31&lt;'Données projet'!$A$62,$AF$205^A31,IF(A31='Données projet'!$A$62,'Données projet'!$B$62,AI30+AH31-AQ30)))</f>
        <v>122.39999999999996</v>
      </c>
      <c r="AJ31" s="13">
        <f>AI31*VLOOKUP('Données projet'!$B$10,Paramètres!$A$1:$I$89,3,0)*VLOOKUP('Données projet'!$B$10,Paramètres!$A$1:$I$89,5,0)</f>
        <v>89.743679999999969</v>
      </c>
      <c r="AK31" s="13">
        <f t="shared" si="35"/>
        <v>24.503396524614622</v>
      </c>
      <c r="AL31" s="20">
        <f t="shared" si="4"/>
        <v>198.98032494703705</v>
      </c>
      <c r="AM31" s="59">
        <f t="shared" si="5"/>
        <v>433.71179436902116</v>
      </c>
      <c r="AN31" s="59">
        <f ca="1">AVERAGE(OFFSET($AM$3,0,0,'Données projet'!$E$10+1,1))-AVERAGE(OFFSET($H$3,0,0,'Données projet'!$E$10+1,1))</f>
        <v>302.36110224755532</v>
      </c>
      <c r="AO31" s="59">
        <f t="shared" si="36"/>
        <v>292.08583531469412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2.5115384616666665</v>
      </c>
      <c r="BD31" s="12">
        <f>IF('Données projet'!$A$88&gt;35,BD30+BC31-BL30,IF(A31&lt;'Données projet'!$A$88,$BA$205^A31,IF(A31='Données projet'!$A$88,'Données projet'!$B$88,BD30+BC31-BL30)))</f>
        <v>56.483770812991168</v>
      </c>
      <c r="BE31" s="13">
        <f>BD31*VLOOKUP('Données projet'!$B$11,Paramètres!$A$1:$I$89,3,0)*VLOOKUP('Données projet'!$B$11,Paramètres!$A$1:$I$89,5,0)</f>
        <v>53.749956305642392</v>
      </c>
      <c r="BF31" s="13">
        <f t="shared" si="37"/>
        <v>15.57808853587397</v>
      </c>
      <c r="BG31" s="20">
        <f t="shared" si="7"/>
        <v>120.74634476564098</v>
      </c>
      <c r="BH31" s="59">
        <f t="shared" si="8"/>
        <v>355.47781418762509</v>
      </c>
      <c r="BI31" s="59">
        <f ca="1">AVERAGE(OFFSET($BH$3,0,0,'Données projet'!$E$11+1,1))-AVERAGE(OFFSET($H$3,0,0,'Données projet'!$E$11+1,1))</f>
        <v>697.21496579331188</v>
      </c>
      <c r="BJ31" s="59">
        <f t="shared" si="38"/>
        <v>215.64914236948769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8</v>
      </c>
      <c r="BY31" s="12">
        <f>IF('Données projet'!$A$114&gt;35,BY30+BX31-CG30,IF(A31&lt;'Données projet'!$A$114,$BV$205^A31,IF(A31='Données projet'!$A$114,'Données projet'!$B$114,BY30+BX31-CG30)))</f>
        <v>103</v>
      </c>
      <c r="BZ31" s="13">
        <f>BY31*VLOOKUP('Données projet'!$B$12,Paramètres!$A$1:$I$89,3,0)*VLOOKUP('Données projet'!$B$12,Paramètres!$A$1:$I$89,5,0)</f>
        <v>89.980800000000016</v>
      </c>
      <c r="CA31" s="13">
        <f t="shared" si="39"/>
        <v>24.560594358746648</v>
      </c>
      <c r="CB31" s="20">
        <f t="shared" si="10"/>
        <v>199.49292850815041</v>
      </c>
      <c r="CC31" s="59">
        <f t="shared" si="11"/>
        <v>434.2243979301345</v>
      </c>
      <c r="CD31" s="59">
        <f ca="1">AVERAGE(OFFSET($CC$3,0,0,'Données projet'!$E$12+1,1))-AVERAGE(OFFSET($H$3,0,0,'Données projet'!$E$12+1,1))</f>
        <v>330.58463337575432</v>
      </c>
      <c r="CE31" s="59">
        <f t="shared" si="40"/>
        <v>285.43250599232192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6">
        <f t="shared" si="1"/>
        <v>183.33333333333334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619.17100180517036</v>
      </c>
      <c r="S32" s="59">
        <f ca="1">AVERAGE(OFFSET($R$3,0,0,'Données projet'!$E$9+1,1))-AVERAGE(OFFSET($H$3,0,0,'Données projet'!$E$9+1,1))</f>
        <v>189.76714074331781</v>
      </c>
      <c r="T32" s="59">
        <f t="shared" si="34"/>
        <v>458.38901659119472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11.8</v>
      </c>
      <c r="AI32" s="13">
        <f>IF('Données projet'!$A$62&gt;35,AI31+AH32-AQ31,IF(A32&lt;'Données projet'!$A$62,$AF$205^A32,IF(A32='Données projet'!$A$62,'Données projet'!$B$62,AI31+AH32-AQ31)))</f>
        <v>134.19999999999996</v>
      </c>
      <c r="AJ32" s="13">
        <f>AI32*VLOOKUP('Données projet'!$B$10,Paramètres!$A$1:$I$89,3,0)*VLOOKUP('Données projet'!$B$10,Paramètres!$A$1:$I$89,5,0)</f>
        <v>98.395439999999965</v>
      </c>
      <c r="AK32" s="13">
        <f t="shared" si="35"/>
        <v>26.57937412584554</v>
      </c>
      <c r="AL32" s="20">
        <f t="shared" si="4"/>
        <v>217.6644679358476</v>
      </c>
      <c r="AM32" s="59">
        <f t="shared" si="5"/>
        <v>454.59236525862343</v>
      </c>
      <c r="AN32" s="59">
        <f ca="1">AVERAGE(OFFSET($AM$3,0,0,'Données projet'!$E$10+1,1))-AVERAGE(OFFSET($H$3,0,0,'Données projet'!$E$10+1,1))</f>
        <v>302.36110224755532</v>
      </c>
      <c r="AO32" s="59">
        <f t="shared" si="36"/>
        <v>292.08583531469412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2.5115384616666665</v>
      </c>
      <c r="BD32" s="12">
        <f>IF('Données projet'!$A$88&gt;35,BD31+BC32-BL31,IF(A32&lt;'Données projet'!$A$88,$BA$205^A32,IF(A32='Données projet'!$A$88,'Données projet'!$B$88,BD31+BC32-BL31)))</f>
        <v>65.236760233044663</v>
      </c>
      <c r="BE32" s="13">
        <f>BD32*VLOOKUP('Données projet'!$B$11,Paramètres!$A$1:$I$89,3,0)*VLOOKUP('Données projet'!$B$11,Paramètres!$A$1:$I$89,5,0)</f>
        <v>62.079301037765298</v>
      </c>
      <c r="BF32" s="13">
        <f t="shared" si="37"/>
        <v>17.692934660470044</v>
      </c>
      <c r="BG32" s="20">
        <f t="shared" si="7"/>
        <v>138.9366438410932</v>
      </c>
      <c r="BH32" s="59">
        <f t="shared" si="8"/>
        <v>375.86454116386903</v>
      </c>
      <c r="BI32" s="59">
        <f ca="1">AVERAGE(OFFSET($BH$3,0,0,'Données projet'!$E$11+1,1))-AVERAGE(OFFSET($H$3,0,0,'Données projet'!$E$11+1,1))</f>
        <v>697.21496579331188</v>
      </c>
      <c r="BJ32" s="59">
        <f t="shared" si="38"/>
        <v>215.64914236948769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8</v>
      </c>
      <c r="BY32" s="12">
        <f>IF('Données projet'!$A$114&gt;35,BY31+BX32-CG31,IF(A32&lt;'Données projet'!$A$114,$BV$205^A32,IF(A32='Données projet'!$A$114,'Données projet'!$B$114,BY31+BX32-CG31)))</f>
        <v>111</v>
      </c>
      <c r="BZ32" s="13">
        <f>BY32*VLOOKUP('Données projet'!$B$12,Paramètres!$A$1:$I$89,3,0)*VLOOKUP('Données projet'!$B$12,Paramètres!$A$1:$I$89,5,0)</f>
        <v>96.969600000000014</v>
      </c>
      <c r="CA32" s="13">
        <f t="shared" si="39"/>
        <v>26.238758642904337</v>
      </c>
      <c r="CB32" s="20">
        <f t="shared" si="10"/>
        <v>214.58789130305843</v>
      </c>
      <c r="CC32" s="59">
        <f t="shared" si="11"/>
        <v>451.51578862583426</v>
      </c>
      <c r="CD32" s="59">
        <f ca="1">AVERAGE(OFFSET($CC$3,0,0,'Données projet'!$E$12+1,1))-AVERAGE(OFFSET($H$3,0,0,'Données projet'!$E$12+1,1))</f>
        <v>330.58463337575432</v>
      </c>
      <c r="CE32" s="59">
        <f t="shared" si="40"/>
        <v>285.43250599232192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6">
        <f t="shared" si="1"/>
        <v>183.33333333333334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641.72234992452809</v>
      </c>
      <c r="S33" s="59">
        <f ca="1">AVERAGE(OFFSET($R$3,0,0,'Données projet'!$E$9+1,1))-AVERAGE(OFFSET($H$3,0,0,'Données projet'!$E$9+1,1))</f>
        <v>189.76714074331781</v>
      </c>
      <c r="T33" s="59">
        <f t="shared" si="34"/>
        <v>458.38901659119472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146</v>
      </c>
      <c r="AG33" s="12">
        <f>VLOOKUP(A33,'Données projet'!$A$61:$I$81,9,0)</f>
        <v>11.8</v>
      </c>
      <c r="AH33" s="12">
        <f t="array" ref="AH33">INDEX(AG:AG,MIN(IF(ISNUMBER(AG33:AG229),ROW(AG33:AG229),"")))</f>
        <v>11.8</v>
      </c>
      <c r="AI33" s="13">
        <f>IF('Données projet'!$A$62&gt;35,AI32+AH33-AQ32,IF(A33&lt;'Données projet'!$A$62,$AF$205^A33,IF(A33='Données projet'!$A$62,'Données projet'!$B$62,AI32+AH33-AQ32)))</f>
        <v>145.99999999999997</v>
      </c>
      <c r="AJ33" s="13">
        <f>AI33*VLOOKUP('Données projet'!$B$10,Paramètres!$A$1:$I$89,3,0)*VLOOKUP('Données projet'!$B$10,Paramètres!$A$1:$I$89,5,0)</f>
        <v>107.04719999999996</v>
      </c>
      <c r="AK33" s="13">
        <f t="shared" si="35"/>
        <v>28.634183951187907</v>
      </c>
      <c r="AL33" s="20">
        <f t="shared" si="4"/>
        <v>236.31174371498548</v>
      </c>
      <c r="AM33" s="59">
        <f t="shared" si="5"/>
        <v>475.41916864802749</v>
      </c>
      <c r="AN33" s="59">
        <f ca="1">AVERAGE(OFFSET($AM$3,0,0,'Données projet'!$E$10+1,1))-AVERAGE(OFFSET($H$3,0,0,'Données projet'!$E$10+1,1))</f>
        <v>302.36110224755532</v>
      </c>
      <c r="AO33" s="59">
        <f t="shared" si="36"/>
        <v>292.08583531469412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75.346153849999993</v>
      </c>
      <c r="BB33" s="12">
        <f>VLOOKUP(A33,'Données projet'!$A$87:$I$107,9,0)</f>
        <v>2.5115384616666665</v>
      </c>
      <c r="BC33" s="12">
        <f t="array" ref="BC33">INDEX(BB:BB,MIN(IF(ISNUMBER(BB33:BB229),ROW(BB33:BB229),"")))</f>
        <v>2.5115384616666665</v>
      </c>
      <c r="BD33" s="12">
        <f>IF('Données projet'!$A$88&gt;35,BD32+BC33-BL32,IF(A33&lt;'Données projet'!$A$88,$BA$205^A33,IF(A33='Données projet'!$A$88,'Données projet'!$B$88,BD32+BC33-BL32)))</f>
        <v>75.346153849999993</v>
      </c>
      <c r="BE33" s="13">
        <f>BD33*VLOOKUP('Données projet'!$B$11,Paramètres!$A$1:$I$89,3,0)*VLOOKUP('Données projet'!$B$11,Paramètres!$A$1:$I$89,5,0)</f>
        <v>71.699400003660003</v>
      </c>
      <c r="BF33" s="13">
        <f t="shared" si="37"/>
        <v>20.094887519658094</v>
      </c>
      <c r="BG33" s="20">
        <f t="shared" si="7"/>
        <v>159.87505076977902</v>
      </c>
      <c r="BH33" s="59">
        <f t="shared" si="8"/>
        <v>398.98247570282103</v>
      </c>
      <c r="BI33" s="59">
        <f ca="1">AVERAGE(OFFSET($BH$3,0,0,'Données projet'!$E$11+1,1))-AVERAGE(OFFSET($H$3,0,0,'Données projet'!$E$11+1,1))</f>
        <v>697.21496579331188</v>
      </c>
      <c r="BJ33" s="59">
        <f t="shared" si="38"/>
        <v>215.64914236948769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119</v>
      </c>
      <c r="BW33" s="12">
        <f>VLOOKUP(A33,'Données projet'!$A$113:$I$133,9,0)</f>
        <v>8</v>
      </c>
      <c r="BX33" s="12">
        <f t="array" ref="BX33">INDEX(BW:BW,MIN(IF(ISNUMBER(BW33:BW229),ROW(BW33:BW229),"")))</f>
        <v>8</v>
      </c>
      <c r="BY33" s="12">
        <f>IF('Données projet'!$A$114&gt;35,BY32+BX33-CG32,IF(A33&lt;'Données projet'!$A$114,$BV$205^A33,IF(A33='Données projet'!$A$114,'Données projet'!$B$114,BY32+BX33-CG32)))</f>
        <v>119</v>
      </c>
      <c r="BZ33" s="13">
        <f>BY33*VLOOKUP('Données projet'!$B$12,Paramètres!$A$1:$I$89,3,0)*VLOOKUP('Données projet'!$B$12,Paramètres!$A$1:$I$89,5,0)</f>
        <v>103.9584</v>
      </c>
      <c r="CA33" s="13">
        <f t="shared" si="39"/>
        <v>27.902890560352166</v>
      </c>
      <c r="CB33" s="20">
        <f t="shared" si="10"/>
        <v>229.65841439261331</v>
      </c>
      <c r="CC33" s="59">
        <f t="shared" si="11"/>
        <v>468.76583932565529</v>
      </c>
      <c r="CD33" s="59">
        <f ca="1">AVERAGE(OFFSET($CC$3,0,0,'Données projet'!$E$12+1,1))-AVERAGE(OFFSET($H$3,0,0,'Données projet'!$E$12+1,1))</f>
        <v>330.58463337575432</v>
      </c>
      <c r="CE33" s="59">
        <f t="shared" si="40"/>
        <v>285.43250599232192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20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6">
        <f t="shared" si="1"/>
        <v>183.33333333333334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189.76714074331781</v>
      </c>
      <c r="T34" s="59">
        <f t="shared" si="34"/>
        <v>458.38901659119472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128.79999999999998</v>
      </c>
      <c r="AJ34" s="13">
        <f>AI34*VLOOKUP('Données projet'!$B$10,Paramètres!$A$1:$I$89,3,0)*VLOOKUP('Données projet'!$B$10,Paramètres!$A$1:$I$89,5,0)</f>
        <v>94.436159999999987</v>
      </c>
      <c r="AK34" s="13">
        <f t="shared" si="35"/>
        <v>25.632105611020013</v>
      </c>
      <c r="AL34" s="20">
        <f t="shared" si="4"/>
        <v>209.11889593919315</v>
      </c>
      <c r="AM34" s="59">
        <f t="shared" si="5"/>
        <v>449.16701915201071</v>
      </c>
      <c r="AN34" s="59">
        <f ca="1">AVERAGE(OFFSET($AM$3,0,0,'Données projet'!$E$10+1,1))-AVERAGE(OFFSET($H$3,0,0,'Données projet'!$E$10+1,1))</f>
        <v>302.36110224755532</v>
      </c>
      <c r="AO34" s="59">
        <f t="shared" si="36"/>
        <v>292.08583531469412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8.0511538458333352</v>
      </c>
      <c r="BD34" s="12">
        <f>IF('Données projet'!$A$88&gt;35,BD33+BC34-BL33,IF(A34&lt;'Données projet'!$A$88,$BA$205^A34,IF(A34='Données projet'!$A$88,'Données projet'!$B$88,BD33+BC34-BL33)))</f>
        <v>83.397307695833334</v>
      </c>
      <c r="BE34" s="13">
        <f>BD34*VLOOKUP('Données projet'!$B$11,Paramètres!$A$1:$I$89,3,0)*VLOOKUP('Données projet'!$B$11,Paramètres!$A$1:$I$89,5,0)</f>
        <v>79.360878003354998</v>
      </c>
      <c r="BF34" s="13">
        <f t="shared" si="37"/>
        <v>21.980842602078628</v>
      </c>
      <c r="BG34" s="20">
        <f t="shared" si="7"/>
        <v>176.5034967211302</v>
      </c>
      <c r="BH34" s="59">
        <f t="shared" si="8"/>
        <v>416.55161993394779</v>
      </c>
      <c r="BI34" s="59">
        <f ca="1">AVERAGE(OFFSET($BH$3,0,0,'Données projet'!$E$11+1,1))-AVERAGE(OFFSET($H$3,0,0,'Données projet'!$E$11+1,1))</f>
        <v>697.21496579331188</v>
      </c>
      <c r="BJ34" s="59">
        <f t="shared" si="38"/>
        <v>215.64914236948769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7.2</v>
      </c>
      <c r="BY34" s="12">
        <f>IF('Données projet'!$A$114&gt;35,BY33+BX34-CG33,IF(A34&lt;'Données projet'!$A$114,$BV$205^A34,IF(A34='Données projet'!$A$114,'Données projet'!$B$114,BY33+BX34-CG33)))</f>
        <v>106.2</v>
      </c>
      <c r="BZ34" s="13">
        <f>BY34*VLOOKUP('Données projet'!$B$12,Paramètres!$A$1:$I$89,3,0)*VLOOKUP('Données projet'!$B$12,Paramètres!$A$1:$I$89,5,0)</f>
        <v>92.776320000000013</v>
      </c>
      <c r="CA34" s="13">
        <f t="shared" si="39"/>
        <v>25.233617967655977</v>
      </c>
      <c r="CB34" s="20">
        <f t="shared" si="10"/>
        <v>205.53397529366751</v>
      </c>
      <c r="CC34" s="59">
        <f t="shared" si="11"/>
        <v>445.58209850648507</v>
      </c>
      <c r="CD34" s="59">
        <f ca="1">AVERAGE(OFFSET($CC$3,0,0,'Données projet'!$E$12+1,1))-AVERAGE(OFFSET($H$3,0,0,'Données projet'!$E$12+1,1))</f>
        <v>330.58463337575432</v>
      </c>
      <c r="CE34" s="59">
        <f t="shared" si="40"/>
        <v>285.43250599232192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6">
        <f t="shared" si="1"/>
        <v>183.33333333333334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189.76714074331781</v>
      </c>
      <c r="T35" s="59">
        <f t="shared" si="34"/>
        <v>458.38901659119472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139.6</v>
      </c>
      <c r="AJ35" s="13">
        <f>AI35*VLOOKUP('Données projet'!$B$10,Paramètres!$A$1:$I$89,3,0)*VLOOKUP('Données projet'!$B$10,Paramètres!$A$1:$I$89,5,0)</f>
        <v>102.35472</v>
      </c>
      <c r="AK35" s="13">
        <f t="shared" si="35"/>
        <v>27.522214978746117</v>
      </c>
      <c r="AL35" s="20">
        <f t="shared" si="4"/>
        <v>226.20232842131611</v>
      </c>
      <c r="AM35" s="59">
        <f t="shared" si="5"/>
        <v>467.17483090184146</v>
      </c>
      <c r="AN35" s="59">
        <f ca="1">AVERAGE(OFFSET($AM$3,0,0,'Données projet'!$E$10+1,1))-AVERAGE(OFFSET($H$3,0,0,'Données projet'!$E$10+1,1))</f>
        <v>302.36110224755532</v>
      </c>
      <c r="AO35" s="59">
        <f t="shared" si="36"/>
        <v>292.08583531469412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8.0511538458333352</v>
      </c>
      <c r="BD35" s="12">
        <f>IF('Données projet'!$A$88&gt;35,BD34+BC35-BL34,IF(A35&lt;'Données projet'!$A$88,$BA$205^A35,IF(A35='Données projet'!$A$88,'Données projet'!$B$88,BD34+BC35-BL34)))</f>
        <v>91.448461541666674</v>
      </c>
      <c r="BE35" s="13">
        <f>BD35*VLOOKUP('Données projet'!$B$11,Paramètres!$A$1:$I$89,3,0)*VLOOKUP('Données projet'!$B$11,Paramètres!$A$1:$I$89,5,0)</f>
        <v>87.022356003050007</v>
      </c>
      <c r="BF35" s="13">
        <f t="shared" si="37"/>
        <v>23.845688832085941</v>
      </c>
      <c r="BG35" s="20">
        <f t="shared" si="7"/>
        <v>193.09517808786177</v>
      </c>
      <c r="BH35" s="59">
        <f t="shared" si="8"/>
        <v>434.06768056838712</v>
      </c>
      <c r="BI35" s="59">
        <f ca="1">AVERAGE(OFFSET($BH$3,0,0,'Données projet'!$E$11+1,1))-AVERAGE(OFFSET($H$3,0,0,'Données projet'!$E$11+1,1))</f>
        <v>697.21496579331188</v>
      </c>
      <c r="BJ35" s="59">
        <f t="shared" si="38"/>
        <v>215.64914236948769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7.2</v>
      </c>
      <c r="BY35" s="12">
        <f>IF('Données projet'!$A$114&gt;35,BY34+BX35-CG34,IF(A35&lt;'Données projet'!$A$114,$BV$205^A35,IF(A35='Données projet'!$A$114,'Données projet'!$B$114,BY34+BX35-CG34)))</f>
        <v>113.4</v>
      </c>
      <c r="BZ35" s="13">
        <f>BY35*VLOOKUP('Données projet'!$B$12,Paramètres!$A$1:$I$89,3,0)*VLOOKUP('Données projet'!$B$12,Paramètres!$A$1:$I$89,5,0)</f>
        <v>99.066240000000022</v>
      </c>
      <c r="CA35" s="13">
        <f t="shared" si="39"/>
        <v>26.739420789378705</v>
      </c>
      <c r="CB35" s="20">
        <f t="shared" si="10"/>
        <v>219.11152587483457</v>
      </c>
      <c r="CC35" s="59">
        <f t="shared" si="11"/>
        <v>460.08402835535992</v>
      </c>
      <c r="CD35" s="59">
        <f ca="1">AVERAGE(OFFSET($CC$3,0,0,'Données projet'!$E$12+1,1))-AVERAGE(OFFSET($H$3,0,0,'Données projet'!$E$12+1,1))</f>
        <v>330.58463337575432</v>
      </c>
      <c r="CE35" s="59">
        <f t="shared" si="40"/>
        <v>285.43250599232192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6">
        <f t="shared" si="1"/>
        <v>183.33333333333334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189.76714074331781</v>
      </c>
      <c r="T36" s="59">
        <f t="shared" si="34"/>
        <v>458.38901659119472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150.4</v>
      </c>
      <c r="AJ36" s="13">
        <f>AI36*VLOOKUP('Données projet'!$B$10,Paramètres!$A$1:$I$89,3,0)*VLOOKUP('Données projet'!$B$10,Paramètres!$A$1:$I$89,5,0)</f>
        <v>110.27328000000001</v>
      </c>
      <c r="AK36" s="13">
        <f t="shared" si="35"/>
        <v>29.3953621709605</v>
      </c>
      <c r="AL36" s="20">
        <f t="shared" si="4"/>
        <v>243.2562184477562</v>
      </c>
      <c r="AM36" s="59">
        <f t="shared" si="5"/>
        <v>485.13706428229693</v>
      </c>
      <c r="AN36" s="59">
        <f ca="1">AVERAGE(OFFSET($AM$3,0,0,'Données projet'!$E$10+1,1))-AVERAGE(OFFSET($H$3,0,0,'Données projet'!$E$10+1,1))</f>
        <v>302.36110224755532</v>
      </c>
      <c r="AO36" s="59">
        <f t="shared" si="36"/>
        <v>292.08583531469412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8.0511538458333352</v>
      </c>
      <c r="BD36" s="12">
        <f>IF('Données projet'!$A$88&gt;35,BD35+BC36-BL35,IF(A36&lt;'Données projet'!$A$88,$BA$205^A36,IF(A36='Données projet'!$A$88,'Données projet'!$B$88,BD35+BC36-BL35)))</f>
        <v>99.499615387500015</v>
      </c>
      <c r="BE36" s="13">
        <f>BD36*VLOOKUP('Données projet'!$B$11,Paramètres!$A$1:$I$89,3,0)*VLOOKUP('Données projet'!$B$11,Paramètres!$A$1:$I$89,5,0)</f>
        <v>94.683834002745016</v>
      </c>
      <c r="BF36" s="13">
        <f t="shared" si="37"/>
        <v>25.691495958197862</v>
      </c>
      <c r="BG36" s="20">
        <f t="shared" si="7"/>
        <v>209.6536996819755</v>
      </c>
      <c r="BH36" s="59">
        <f t="shared" si="8"/>
        <v>451.53454551651623</v>
      </c>
      <c r="BI36" s="59">
        <f ca="1">AVERAGE(OFFSET($BH$3,0,0,'Données projet'!$E$11+1,1))-AVERAGE(OFFSET($H$3,0,0,'Données projet'!$E$11+1,1))</f>
        <v>697.21496579331188</v>
      </c>
      <c r="BJ36" s="59">
        <f t="shared" si="38"/>
        <v>215.64914236948769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7.2</v>
      </c>
      <c r="BY36" s="12">
        <f>IF('Données projet'!$A$114&gt;35,BY35+BX36-CG35,IF(A36&lt;'Données projet'!$A$114,$BV$205^A36,IF(A36='Données projet'!$A$114,'Données projet'!$B$114,BY35+BX36-CG35)))</f>
        <v>120.60000000000001</v>
      </c>
      <c r="BZ36" s="13">
        <f>BY36*VLOOKUP('Données projet'!$B$12,Paramètres!$A$1:$I$89,3,0)*VLOOKUP('Données projet'!$B$12,Paramètres!$A$1:$I$89,5,0)</f>
        <v>105.35616000000003</v>
      </c>
      <c r="CA36" s="13">
        <f t="shared" si="39"/>
        <v>28.234128165723941</v>
      </c>
      <c r="CB36" s="20">
        <f t="shared" si="10"/>
        <v>232.66975188863589</v>
      </c>
      <c r="CC36" s="59">
        <f t="shared" si="11"/>
        <v>474.55059772317662</v>
      </c>
      <c r="CD36" s="59">
        <f ca="1">AVERAGE(OFFSET($CC$3,0,0,'Données projet'!$E$12+1,1))-AVERAGE(OFFSET($H$3,0,0,'Données projet'!$E$12+1,1))</f>
        <v>330.58463337575432</v>
      </c>
      <c r="CE36" s="59">
        <f t="shared" si="40"/>
        <v>285.43250599232192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6">
        <f t="shared" si="1"/>
        <v>183.33333333333334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189.76714074331781</v>
      </c>
      <c r="T37" s="59">
        <f t="shared" si="34"/>
        <v>458.38901659119472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161.20000000000002</v>
      </c>
      <c r="AJ37" s="13">
        <f>AI37*VLOOKUP('Données projet'!$B$10,Paramètres!$A$1:$I$89,3,0)*VLOOKUP('Données projet'!$B$10,Paramètres!$A$1:$I$89,5,0)</f>
        <v>118.19184000000001</v>
      </c>
      <c r="AK37" s="13">
        <f t="shared" si="35"/>
        <v>31.252903743281095</v>
      </c>
      <c r="AL37" s="20">
        <f t="shared" si="4"/>
        <v>260.28292868621458</v>
      </c>
      <c r="AM37" s="59">
        <f t="shared" si="5"/>
        <v>503.05636014833016</v>
      </c>
      <c r="AN37" s="59">
        <f ca="1">AVERAGE(OFFSET($AM$3,0,0,'Données projet'!$E$10+1,1))-AVERAGE(OFFSET($H$3,0,0,'Données projet'!$E$10+1,1))</f>
        <v>302.36110224755532</v>
      </c>
      <c r="AO37" s="59">
        <f t="shared" si="36"/>
        <v>292.08583531469412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8.0511538458333352</v>
      </c>
      <c r="BD37" s="12">
        <f>IF('Données projet'!$A$88&gt;35,BD36+BC37-BL36,IF(A37&lt;'Données projet'!$A$88,$BA$205^A37,IF(A37='Données projet'!$A$88,'Données projet'!$B$88,BD36+BC37-BL36)))</f>
        <v>107.55076923333336</v>
      </c>
      <c r="BE37" s="13">
        <f>BD37*VLOOKUP('Données projet'!$B$11,Paramètres!$A$1:$I$89,3,0)*VLOOKUP('Données projet'!$B$11,Paramètres!$A$1:$I$89,5,0)</f>
        <v>102.34531200244002</v>
      </c>
      <c r="BF37" s="13">
        <f t="shared" si="37"/>
        <v>27.519979704909193</v>
      </c>
      <c r="BG37" s="20">
        <f t="shared" si="7"/>
        <v>226.18204972363321</v>
      </c>
      <c r="BH37" s="59">
        <f t="shared" si="8"/>
        <v>468.95548118574879</v>
      </c>
      <c r="BI37" s="59">
        <f ca="1">AVERAGE(OFFSET($BH$3,0,0,'Données projet'!$E$11+1,1))-AVERAGE(OFFSET($H$3,0,0,'Données projet'!$E$11+1,1))</f>
        <v>697.21496579331188</v>
      </c>
      <c r="BJ37" s="59">
        <f t="shared" si="38"/>
        <v>215.64914236948769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7.2</v>
      </c>
      <c r="BY37" s="12">
        <f>IF('Données projet'!$A$114&gt;35,BY36+BX37-CG36,IF(A37&lt;'Données projet'!$A$114,$BV$205^A37,IF(A37='Données projet'!$A$114,'Données projet'!$B$114,BY36+BX37-CG36)))</f>
        <v>127.80000000000001</v>
      </c>
      <c r="BZ37" s="13">
        <f>BY37*VLOOKUP('Données projet'!$B$12,Paramètres!$A$1:$I$89,3,0)*VLOOKUP('Données projet'!$B$12,Paramètres!$A$1:$I$89,5,0)</f>
        <v>111.64608000000003</v>
      </c>
      <c r="CA37" s="13">
        <f t="shared" si="39"/>
        <v>29.718477955114288</v>
      </c>
      <c r="CB37" s="20">
        <f t="shared" si="10"/>
        <v>246.20993843849078</v>
      </c>
      <c r="CC37" s="59">
        <f t="shared" si="11"/>
        <v>488.98336990060636</v>
      </c>
      <c r="CD37" s="59">
        <f ca="1">AVERAGE(OFFSET($CC$3,0,0,'Données projet'!$E$12+1,1))-AVERAGE(OFFSET($H$3,0,0,'Données projet'!$E$12+1,1))</f>
        <v>330.58463337575432</v>
      </c>
      <c r="CE37" s="59">
        <f t="shared" si="40"/>
        <v>285.43250599232192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6">
        <f t="shared" si="1"/>
        <v>183.33333333333334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189.76714074331781</v>
      </c>
      <c r="T38" s="59">
        <f t="shared" si="34"/>
        <v>458.38901659119472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172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172.00000000000003</v>
      </c>
      <c r="AJ38" s="13">
        <f>AI38*VLOOKUP('Données projet'!$B$10,Paramètres!$A$1:$I$89,3,0)*VLOOKUP('Données projet'!$B$10,Paramètres!$A$1:$I$89,5,0)</f>
        <v>126.11040000000001</v>
      </c>
      <c r="AK38" s="13">
        <f t="shared" si="35"/>
        <v>33.096004194977873</v>
      </c>
      <c r="AL38" s="20">
        <f t="shared" si="4"/>
        <v>277.28448730625314</v>
      </c>
      <c r="AM38" s="59">
        <f t="shared" si="5"/>
        <v>520.93502003082767</v>
      </c>
      <c r="AN38" s="59">
        <f ca="1">AVERAGE(OFFSET($AM$3,0,0,'Données projet'!$E$10+1,1))-AVERAGE(OFFSET($H$3,0,0,'Données projet'!$E$10+1,1))</f>
        <v>302.36110224755532</v>
      </c>
      <c r="AO38" s="59">
        <f t="shared" si="36"/>
        <v>292.08583531469412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9.7587918225736505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9.7587918225736505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8.0511538458333352</v>
      </c>
      <c r="BD38" s="12">
        <f>IF('Données projet'!$A$88&gt;35,BD37+BC38-BL37,IF(A38&lt;'Données projet'!$A$88,$BA$205^A38,IF(A38='Données projet'!$A$88,'Données projet'!$B$88,BD37+BC38-BL37)))</f>
        <v>115.6019230791667</v>
      </c>
      <c r="BE38" s="13">
        <f>BD38*VLOOKUP('Données projet'!$B$11,Paramètres!$A$1:$I$89,3,0)*VLOOKUP('Données projet'!$B$11,Paramètres!$A$1:$I$89,5,0)</f>
        <v>110.00679000213502</v>
      </c>
      <c r="BF38" s="13">
        <f t="shared" si="37"/>
        <v>29.332584344274991</v>
      </c>
      <c r="BG38" s="20">
        <f t="shared" si="7"/>
        <v>242.68274365333079</v>
      </c>
      <c r="BH38" s="59">
        <f t="shared" si="8"/>
        <v>486.33327637790529</v>
      </c>
      <c r="BI38" s="59">
        <f ca="1">AVERAGE(OFFSET($BH$3,0,0,'Données projet'!$E$11+1,1))-AVERAGE(OFFSET($H$3,0,0,'Données projet'!$E$11+1,1))</f>
        <v>697.21496579331188</v>
      </c>
      <c r="BJ38" s="59">
        <f t="shared" si="38"/>
        <v>215.64914236948769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135</v>
      </c>
      <c r="BW38" s="12">
        <f>VLOOKUP(A38,'Données projet'!$A$113:$I$133,9,0)</f>
        <v>7.2</v>
      </c>
      <c r="BX38" s="12">
        <f t="array" ref="BX38">INDEX(BW:BW,MIN(IF(ISNUMBER(BW38:BW234),ROW(BW38:BW234),"")))</f>
        <v>7.2</v>
      </c>
      <c r="BY38" s="12">
        <f>IF('Données projet'!$A$114&gt;35,BY37+BX38-CG37,IF(A38&lt;'Données projet'!$A$114,$BV$205^A38,IF(A38='Données projet'!$A$114,'Données projet'!$B$114,BY37+BX38-CG37)))</f>
        <v>135</v>
      </c>
      <c r="BZ38" s="13">
        <f>BY38*VLOOKUP('Données projet'!$B$12,Paramètres!$A$1:$I$89,3,0)*VLOOKUP('Données projet'!$B$12,Paramètres!$A$1:$I$89,5,0)</f>
        <v>117.93600000000002</v>
      </c>
      <c r="CA38" s="13">
        <f t="shared" si="39"/>
        <v>31.1931201812605</v>
      </c>
      <c r="CB38" s="20">
        <f t="shared" si="10"/>
        <v>259.73321764902875</v>
      </c>
      <c r="CC38" s="59">
        <f t="shared" si="11"/>
        <v>503.38375037360322</v>
      </c>
      <c r="CD38" s="59">
        <f ca="1">AVERAGE(OFFSET($CC$3,0,0,'Données projet'!$E$12+1,1))-AVERAGE(OFFSET($H$3,0,0,'Données projet'!$E$12+1,1))</f>
        <v>330.58463337575432</v>
      </c>
      <c r="CE38" s="59">
        <f t="shared" si="40"/>
        <v>285.43250599232192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20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8.3053547426158723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8.3053547426158723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6">
        <f t="shared" si="1"/>
        <v>183.33333333333334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189.76714074331781</v>
      </c>
      <c r="T39" s="59">
        <f t="shared" si="34"/>
        <v>458.38901659119472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9.6</v>
      </c>
      <c r="AI39" s="13">
        <f>IF('Données projet'!$A$62&gt;35,AI38+AH39-AQ38,IF(A39&lt;'Données projet'!$A$62,$AF$205^A39,IF(A39='Données projet'!$A$62,'Données projet'!$B$62,AI38+AH39-AQ38)))</f>
        <v>153.60000000000002</v>
      </c>
      <c r="AJ39" s="13">
        <f>AI39*VLOOKUP('Données projet'!$B$10,Paramètres!$A$1:$I$89,3,0)*VLOOKUP('Données projet'!$B$10,Paramètres!$A$1:$I$89,5,0)</f>
        <v>112.61952000000001</v>
      </c>
      <c r="AK39" s="13">
        <f t="shared" si="35"/>
        <v>29.947316013837597</v>
      </c>
      <c r="AL39" s="20">
        <f t="shared" si="4"/>
        <v>248.30390605743386</v>
      </c>
      <c r="AM39" s="59">
        <f t="shared" si="5"/>
        <v>492.81632429846832</v>
      </c>
      <c r="AN39" s="59">
        <f ca="1">AVERAGE(OFFSET($AM$3,0,0,'Données projet'!$E$10+1,1))-AVERAGE(OFFSET($H$3,0,0,'Données projet'!$E$10+1,1))</f>
        <v>302.36110224755532</v>
      </c>
      <c r="AO39" s="59">
        <f t="shared" si="36"/>
        <v>292.08583531469412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9.567427867208254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9.567427867208254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8.0511538458333352</v>
      </c>
      <c r="BD39" s="12">
        <f>IF('Données projet'!$A$88&gt;35,BD38+BC39-BL38,IF(A39&lt;'Données projet'!$A$88,$BA$205^A39,IF(A39='Données projet'!$A$88,'Données projet'!$B$88,BD38+BC39-BL38)))</f>
        <v>123.65307692500004</v>
      </c>
      <c r="BE39" s="13">
        <f>BD39*VLOOKUP('Données projet'!$B$11,Paramètres!$A$1:$I$89,3,0)*VLOOKUP('Données projet'!$B$11,Paramètres!$A$1:$I$89,5,0)</f>
        <v>117.66826800183003</v>
      </c>
      <c r="BF39" s="13">
        <f t="shared" si="37"/>
        <v>31.130541582270677</v>
      </c>
      <c r="BG39" s="20">
        <f t="shared" si="7"/>
        <v>259.15792669230871</v>
      </c>
      <c r="BH39" s="59">
        <f t="shared" si="8"/>
        <v>503.67034493334313</v>
      </c>
      <c r="BI39" s="59">
        <f ca="1">AVERAGE(OFFSET($BH$3,0,0,'Données projet'!$E$11+1,1))-AVERAGE(OFFSET($H$3,0,0,'Données projet'!$E$11+1,1))</f>
        <v>697.21496579331188</v>
      </c>
      <c r="BJ39" s="59">
        <f t="shared" si="38"/>
        <v>215.64914236948769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</v>
      </c>
      <c r="BY39" s="12">
        <f>IF('Données projet'!$A$114&gt;35,BY38+BX39-CG38,IF(A39&lt;'Données projet'!$A$114,$BV$205^A39,IF(A39='Données projet'!$A$114,'Données projet'!$B$114,BY38+BX39-CG38)))</f>
        <v>122</v>
      </c>
      <c r="BZ39" s="13">
        <f>BY39*VLOOKUP('Données projet'!$B$12,Paramètres!$A$1:$I$89,3,0)*VLOOKUP('Données projet'!$B$12,Paramètres!$A$1:$I$89,5,0)</f>
        <v>106.57920000000001</v>
      </c>
      <c r="CA39" s="13">
        <f t="shared" si="39"/>
        <v>28.523541515222938</v>
      </c>
      <c r="CB39" s="20">
        <f t="shared" si="10"/>
        <v>235.30394147234665</v>
      </c>
      <c r="CC39" s="59">
        <f t="shared" si="11"/>
        <v>479.81635971338108</v>
      </c>
      <c r="CD39" s="59">
        <f ca="1">AVERAGE(OFFSET($CC$3,0,0,'Données projet'!$E$12+1,1))-AVERAGE(OFFSET($H$3,0,0,'Données projet'!$E$12+1,1))</f>
        <v>330.58463337575432</v>
      </c>
      <c r="CE39" s="59">
        <f t="shared" si="40"/>
        <v>285.43250599232192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8.1424918018793644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8.1424918018793644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6">
        <f t="shared" si="1"/>
        <v>183.33333333333334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189.76714074331781</v>
      </c>
      <c r="T40" s="59">
        <f t="shared" si="34"/>
        <v>458.38901659119472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9.6</v>
      </c>
      <c r="AI40" s="13">
        <f>IF('Données projet'!$A$62&gt;35,AI39+AH40-AQ39,IF(A40&lt;'Données projet'!$A$62,$AF$205^A40,IF(A40='Données projet'!$A$62,'Données projet'!$B$62,AI39+AH40-AQ39)))</f>
        <v>163.20000000000002</v>
      </c>
      <c r="AJ40" s="13">
        <f>AI40*VLOOKUP('Données projet'!$B$10,Paramètres!$A$1:$I$89,3,0)*VLOOKUP('Données projet'!$B$10,Paramètres!$A$1:$I$89,5,0)</f>
        <v>119.65824000000002</v>
      </c>
      <c r="AK40" s="13">
        <f t="shared" si="35"/>
        <v>31.595276160231336</v>
      </c>
      <c r="AL40" s="20">
        <f t="shared" si="4"/>
        <v>263.43320731240294</v>
      </c>
      <c r="AM40" s="59">
        <f t="shared" si="5"/>
        <v>508.79255928307407</v>
      </c>
      <c r="AN40" s="59">
        <f ca="1">AVERAGE(OFFSET($AM$3,0,0,'Données projet'!$E$10+1,1))-AVERAGE(OFFSET($H$3,0,0,'Données projet'!$E$10+1,1))</f>
        <v>302.36110224755532</v>
      </c>
      <c r="AO40" s="59">
        <f t="shared" si="36"/>
        <v>292.08583531469412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9.3798164422870851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9.3798164422870851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8.0511538458333352</v>
      </c>
      <c r="BD40" s="12">
        <f>IF('Données projet'!$A$88&gt;35,BD39+BC40-BL39,IF(A40&lt;'Données projet'!$A$88,$BA$205^A40,IF(A40='Données projet'!$A$88,'Données projet'!$B$88,BD39+BC40-BL39)))</f>
        <v>131.70423077083336</v>
      </c>
      <c r="BE40" s="13">
        <f>BD40*VLOOKUP('Données projet'!$B$11,Paramètres!$A$1:$I$89,3,0)*VLOOKUP('Données projet'!$B$11,Paramètres!$A$1:$I$89,5,0)</f>
        <v>125.32974600152502</v>
      </c>
      <c r="BF40" s="13">
        <f t="shared" si="37"/>
        <v>32.9149136594975</v>
      </c>
      <c r="BG40" s="20">
        <f t="shared" si="7"/>
        <v>275.60944890961423</v>
      </c>
      <c r="BH40" s="59">
        <f t="shared" si="8"/>
        <v>520.96880088028536</v>
      </c>
      <c r="BI40" s="59">
        <f ca="1">AVERAGE(OFFSET($BH$3,0,0,'Données projet'!$E$11+1,1))-AVERAGE(OFFSET($H$3,0,0,'Données projet'!$E$11+1,1))</f>
        <v>697.21496579331188</v>
      </c>
      <c r="BJ40" s="59">
        <f t="shared" si="38"/>
        <v>215.64914236948769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</v>
      </c>
      <c r="BY40" s="12">
        <f>IF('Données projet'!$A$114&gt;35,BY39+BX40-CG39,IF(A40&lt;'Données projet'!$A$114,$BV$205^A40,IF(A40='Données projet'!$A$114,'Données projet'!$B$114,BY39+BX40-CG39)))</f>
        <v>129</v>
      </c>
      <c r="BZ40" s="13">
        <f>BY40*VLOOKUP('Données projet'!$B$12,Paramètres!$A$1:$I$89,3,0)*VLOOKUP('Données projet'!$B$12,Paramètres!$A$1:$I$89,5,0)</f>
        <v>112.69440000000002</v>
      </c>
      <c r="CA40" s="13">
        <f t="shared" si="39"/>
        <v>29.964909381330632</v>
      </c>
      <c r="CB40" s="20">
        <f t="shared" si="10"/>
        <v>248.46496383915087</v>
      </c>
      <c r="CC40" s="59">
        <f t="shared" si="11"/>
        <v>493.824315809822</v>
      </c>
      <c r="CD40" s="59">
        <f ca="1">AVERAGE(OFFSET($CC$3,0,0,'Données projet'!$E$12+1,1))-AVERAGE(OFFSET($H$3,0,0,'Données projet'!$E$12+1,1))</f>
        <v>330.58463337575432</v>
      </c>
      <c r="CE40" s="59">
        <f t="shared" si="40"/>
        <v>285.43250599232192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7.9828225040741154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7.9828225040741154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6">
        <f t="shared" si="1"/>
        <v>183.33333333333334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189.76714074331781</v>
      </c>
      <c r="T41" s="59">
        <f t="shared" si="34"/>
        <v>458.38901659119472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9.6</v>
      </c>
      <c r="AI41" s="13">
        <f>IF('Données projet'!$A$62&gt;35,AI40+AH41-AQ40,IF(A41&lt;'Données projet'!$A$62,$AF$205^A41,IF(A41='Données projet'!$A$62,'Données projet'!$B$62,AI40+AH41-AQ40)))</f>
        <v>172.8</v>
      </c>
      <c r="AJ41" s="13">
        <f>AI41*VLOOKUP('Données projet'!$B$10,Paramètres!$A$1:$I$89,3,0)*VLOOKUP('Données projet'!$B$10,Paramètres!$A$1:$I$89,5,0)</f>
        <v>126.69695999999999</v>
      </c>
      <c r="AK41" s="13">
        <f t="shared" si="35"/>
        <v>33.231984319593515</v>
      </c>
      <c r="AL41" s="20">
        <f t="shared" si="4"/>
        <v>278.54291135662532</v>
      </c>
      <c r="AM41" s="59">
        <f t="shared" si="5"/>
        <v>524.73450465018402</v>
      </c>
      <c r="AN41" s="59">
        <f ca="1">AVERAGE(OFFSET($AM$3,0,0,'Données projet'!$E$10+1,1))-AVERAGE(OFFSET($H$3,0,0,'Données projet'!$E$10+1,1))</f>
        <v>302.36110224755532</v>
      </c>
      <c r="AO41" s="59">
        <f t="shared" si="36"/>
        <v>292.08583531469412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9.1958839629769518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9.1958839629769518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8.0511538458333352</v>
      </c>
      <c r="BD41" s="12">
        <f>IF('Données projet'!$A$88&gt;35,BD40+BC41-BL40,IF(A41&lt;'Données projet'!$A$88,$BA$205^A41,IF(A41='Données projet'!$A$88,'Données projet'!$B$88,BD40+BC41-BL40)))</f>
        <v>139.7553846166667</v>
      </c>
      <c r="BE41" s="13">
        <f>BD41*VLOOKUP('Données projet'!$B$11,Paramètres!$A$1:$I$89,3,0)*VLOOKUP('Données projet'!$B$11,Paramètres!$A$1:$I$89,5,0)</f>
        <v>132.99122400122002</v>
      </c>
      <c r="BF41" s="13">
        <f t="shared" si="37"/>
        <v>34.686625607193186</v>
      </c>
      <c r="BG41" s="20">
        <f t="shared" si="7"/>
        <v>292.03892140131967</v>
      </c>
      <c r="BH41" s="59">
        <f t="shared" si="8"/>
        <v>538.23051469487837</v>
      </c>
      <c r="BI41" s="59">
        <f ca="1">AVERAGE(OFFSET($BH$3,0,0,'Données projet'!$E$11+1,1))-AVERAGE(OFFSET($H$3,0,0,'Données projet'!$E$11+1,1))</f>
        <v>697.21496579331188</v>
      </c>
      <c r="BJ41" s="59">
        <f t="shared" si="38"/>
        <v>215.64914236948769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</v>
      </c>
      <c r="BY41" s="12">
        <f>IF('Données projet'!$A$114&gt;35,BY40+BX41-CG40,IF(A41&lt;'Données projet'!$A$114,$BV$205^A41,IF(A41='Données projet'!$A$114,'Données projet'!$B$114,BY40+BX41-CG40)))</f>
        <v>136</v>
      </c>
      <c r="BZ41" s="13">
        <f>BY41*VLOOKUP('Données projet'!$B$12,Paramètres!$A$1:$I$89,3,0)*VLOOKUP('Données projet'!$B$12,Paramètres!$A$1:$I$89,5,0)</f>
        <v>118.80960000000002</v>
      </c>
      <c r="CA41" s="13">
        <f t="shared" si="39"/>
        <v>31.39719715333722</v>
      </c>
      <c r="CB41" s="20">
        <f t="shared" si="10"/>
        <v>261.61017170872901</v>
      </c>
      <c r="CC41" s="59">
        <f t="shared" si="11"/>
        <v>507.80176500228777</v>
      </c>
      <c r="CD41" s="59">
        <f ca="1">AVERAGE(OFFSET($CC$3,0,0,'Données projet'!$E$12+1,1))-AVERAGE(OFFSET($H$3,0,0,'Données projet'!$E$12+1,1))</f>
        <v>330.58463337575432</v>
      </c>
      <c r="CE41" s="59">
        <f t="shared" si="40"/>
        <v>285.43250599232192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7.8262842238101715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7.8262842238101715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6">
        <f t="shared" si="1"/>
        <v>183.33333333333334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189.76714074331781</v>
      </c>
      <c r="T42" s="59">
        <f t="shared" si="34"/>
        <v>458.38901659119472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9.6</v>
      </c>
      <c r="AI42" s="13">
        <f>IF('Données projet'!$A$62&gt;35,AI41+AH42-AQ41,IF(A42&lt;'Données projet'!$A$62,$AF$205^A42,IF(A42='Données projet'!$A$62,'Données projet'!$B$62,AI41+AH42-AQ41)))</f>
        <v>182.4</v>
      </c>
      <c r="AJ42" s="13">
        <f>AI42*VLOOKUP('Données projet'!$B$10,Paramètres!$A$1:$I$89,3,0)*VLOOKUP('Données projet'!$B$10,Paramètres!$A$1:$I$89,5,0)</f>
        <v>133.73568</v>
      </c>
      <c r="AK42" s="13">
        <f t="shared" si="35"/>
        <v>34.858136849359241</v>
      </c>
      <c r="AL42" s="20">
        <f t="shared" si="4"/>
        <v>293.63423101263402</v>
      </c>
      <c r="AM42" s="59">
        <f t="shared" si="5"/>
        <v>540.6436281027411</v>
      </c>
      <c r="AN42" s="59">
        <f ca="1">AVERAGE(OFFSET($AM$3,0,0,'Données projet'!$E$10+1,1))-AVERAGE(OFFSET($H$3,0,0,'Données projet'!$E$10+1,1))</f>
        <v>302.36110224755532</v>
      </c>
      <c r="AO42" s="59">
        <f t="shared" si="36"/>
        <v>292.08583531469412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9.0155582873983544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9.0155582873983544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8.0511538458333352</v>
      </c>
      <c r="BD42" s="12">
        <f>IF('Données projet'!$A$88&gt;35,BD41+BC42-BL41,IF(A42&lt;'Données projet'!$A$88,$BA$205^A42,IF(A42='Données projet'!$A$88,'Données projet'!$B$88,BD41+BC42-BL41)))</f>
        <v>147.80653846250004</v>
      </c>
      <c r="BE42" s="13">
        <f>BD42*VLOOKUP('Données projet'!$B$11,Paramètres!$A$1:$I$89,3,0)*VLOOKUP('Données projet'!$B$11,Paramètres!$A$1:$I$89,5,0)</f>
        <v>140.65270200091504</v>
      </c>
      <c r="BF42" s="13">
        <f t="shared" si="37"/>
        <v>36.446489856382073</v>
      </c>
      <c r="BG42" s="20">
        <f t="shared" si="7"/>
        <v>308.44775915145914</v>
      </c>
      <c r="BH42" s="59">
        <f t="shared" si="8"/>
        <v>555.45715624156628</v>
      </c>
      <c r="BI42" s="59">
        <f ca="1">AVERAGE(OFFSET($BH$3,0,0,'Données projet'!$E$11+1,1))-AVERAGE(OFFSET($H$3,0,0,'Données projet'!$E$11+1,1))</f>
        <v>697.21496579331188</v>
      </c>
      <c r="BJ42" s="59">
        <f t="shared" si="38"/>
        <v>215.64914236948769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</v>
      </c>
      <c r="BY42" s="12">
        <f>IF('Données projet'!$A$114&gt;35,BY41+BX42-CG41,IF(A42&lt;'Données projet'!$A$114,$BV$205^A42,IF(A42='Données projet'!$A$114,'Données projet'!$B$114,BY41+BX42-CG41)))</f>
        <v>143</v>
      </c>
      <c r="BZ42" s="13">
        <f>BY42*VLOOKUP('Données projet'!$B$12,Paramètres!$A$1:$I$89,3,0)*VLOOKUP('Données projet'!$B$12,Paramètres!$A$1:$I$89,5,0)</f>
        <v>124.92480000000002</v>
      </c>
      <c r="CA42" s="13">
        <f t="shared" si="39"/>
        <v>32.820925500842712</v>
      </c>
      <c r="CB42" s="20">
        <f t="shared" si="10"/>
        <v>274.74047191396772</v>
      </c>
      <c r="CC42" s="59">
        <f t="shared" si="11"/>
        <v>521.74986900407487</v>
      </c>
      <c r="CD42" s="59">
        <f ca="1">AVERAGE(OFFSET($CC$3,0,0,'Données projet'!$E$12+1,1))-AVERAGE(OFFSET($H$3,0,0,'Données projet'!$E$12+1,1))</f>
        <v>330.58463337575432</v>
      </c>
      <c r="CE42" s="59">
        <f t="shared" si="40"/>
        <v>285.43250599232192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7.6728155637432804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7.6728155637432804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6">
        <f t="shared" si="1"/>
        <v>183.33333333333334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189.76714074331781</v>
      </c>
      <c r="T43" s="59">
        <f t="shared" si="34"/>
        <v>458.38901659119472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192</v>
      </c>
      <c r="AG43" s="12">
        <f>VLOOKUP(A43,'Données projet'!$A$61:$I$81,9,0)</f>
        <v>9.6</v>
      </c>
      <c r="AH43" s="12">
        <f t="array" ref="AH43">INDEX(AG:AG,MIN(IF(ISNUMBER(AG43:AG239),ROW(AG43:AG239),"")))</f>
        <v>9.6</v>
      </c>
      <c r="AI43" s="13">
        <f>IF('Données projet'!$A$62&gt;35,AI42+AH43-AQ42,IF(A43&lt;'Données projet'!$A$62,$AF$205^A43,IF(A43='Données projet'!$A$62,'Données projet'!$B$62,AI42+AH43-AQ42)))</f>
        <v>192</v>
      </c>
      <c r="AJ43" s="13">
        <f>AI43*VLOOKUP('Données projet'!$B$10,Paramètres!$A$1:$I$89,3,0)*VLOOKUP('Données projet'!$B$10,Paramètres!$A$1:$I$89,5,0)</f>
        <v>140.77439999999999</v>
      </c>
      <c r="AK43" s="13">
        <f t="shared" si="35"/>
        <v>36.474352666172102</v>
      </c>
      <c r="AL43" s="20">
        <f t="shared" si="4"/>
        <v>308.70824422691641</v>
      </c>
      <c r="AM43" s="59">
        <f t="shared" si="5"/>
        <v>556.52125804603725</v>
      </c>
      <c r="AN43" s="59">
        <f ca="1">AVERAGE(OFFSET($AM$3,0,0,'Données projet'!$E$10+1,1))-AVERAGE(OFFSET($H$3,0,0,'Données projet'!$E$10+1,1))</f>
        <v>302.36110224755532</v>
      </c>
      <c r="AO43" s="59">
        <f t="shared" si="36"/>
        <v>292.08583531469412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18.597560510903705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18.597560510903705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8.0511538458333352</v>
      </c>
      <c r="BD43" s="12">
        <f>IF('Données projet'!$A$88&gt;35,BD42+BC43-BL42,IF(A43&lt;'Données projet'!$A$88,$BA$205^A43,IF(A43='Données projet'!$A$88,'Données projet'!$B$88,BD42+BC43-BL42)))</f>
        <v>155.85769230833338</v>
      </c>
      <c r="BE43" s="13">
        <f>BD43*VLOOKUP('Données projet'!$B$11,Paramètres!$A$1:$I$89,3,0)*VLOOKUP('Données projet'!$B$11,Paramètres!$A$1:$I$89,5,0)</f>
        <v>148.31418000061007</v>
      </c>
      <c r="BF43" s="13">
        <f t="shared" si="37"/>
        <v>38.195225331667984</v>
      </c>
      <c r="BG43" s="20">
        <f t="shared" si="7"/>
        <v>324.83721428705093</v>
      </c>
      <c r="BH43" s="59">
        <f t="shared" si="8"/>
        <v>572.65022810617177</v>
      </c>
      <c r="BI43" s="59">
        <f ca="1">AVERAGE(OFFSET($BH$3,0,0,'Données projet'!$E$11+1,1))-AVERAGE(OFFSET($H$3,0,0,'Données projet'!$E$11+1,1))</f>
        <v>697.21496579331188</v>
      </c>
      <c r="BJ43" s="59">
        <f t="shared" si="38"/>
        <v>215.64914236948769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150</v>
      </c>
      <c r="BW43" s="12">
        <f>VLOOKUP(A43,'Données projet'!$A$113:$I$133,9,0)</f>
        <v>7</v>
      </c>
      <c r="BX43" s="12">
        <f t="array" ref="BX43">INDEX(BW:BW,MIN(IF(ISNUMBER(BW43:BW239),ROW(BW43:BW239),"")))</f>
        <v>7</v>
      </c>
      <c r="BY43" s="12">
        <f>IF('Données projet'!$A$114&gt;35,BY42+BX43-CG42,IF(A43&lt;'Données projet'!$A$114,$BV$205^A43,IF(A43='Données projet'!$A$114,'Données projet'!$B$114,BY42+BX43-CG42)))</f>
        <v>150</v>
      </c>
      <c r="BZ43" s="13">
        <f>BY43*VLOOKUP('Données projet'!$B$12,Paramètres!$A$1:$I$89,3,0)*VLOOKUP('Données projet'!$B$12,Paramètres!$A$1:$I$89,5,0)</f>
        <v>131.04000000000002</v>
      </c>
      <c r="CA43" s="13">
        <f t="shared" si="39"/>
        <v>34.236561238949918</v>
      </c>
      <c r="CB43" s="20">
        <f t="shared" si="10"/>
        <v>287.85667749117118</v>
      </c>
      <c r="CC43" s="59">
        <f t="shared" si="11"/>
        <v>535.66969131029202</v>
      </c>
      <c r="CD43" s="59">
        <f ca="1">AVERAGE(OFFSET($CC$3,0,0,'Données projet'!$E$12+1,1))-AVERAGE(OFFSET($H$3,0,0,'Données projet'!$E$12+1,1))</f>
        <v>330.58463337575432</v>
      </c>
      <c r="CE43" s="59">
        <f t="shared" si="40"/>
        <v>285.43250599232192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20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15.827711073109533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15.827711073109533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6">
        <f t="shared" si="1"/>
        <v>183.33333333333334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189.76714074331781</v>
      </c>
      <c r="T44" s="59">
        <f t="shared" si="34"/>
        <v>458.38901659119472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8.1999999999999993</v>
      </c>
      <c r="AI44" s="13">
        <f>IF('Données projet'!$A$62&gt;35,AI43+AH44-AQ43,IF(A44&lt;'Données projet'!$A$62,$AF$205^A44,IF(A44='Données projet'!$A$62,'Données projet'!$B$62,AI43+AH44-AQ43)))</f>
        <v>172.2</v>
      </c>
      <c r="AJ44" s="13">
        <f>AI44*VLOOKUP('Données projet'!$B$10,Paramètres!$A$1:$I$89,3,0)*VLOOKUP('Données projet'!$B$10,Paramètres!$A$1:$I$89,5,0)</f>
        <v>126.25703999999998</v>
      </c>
      <c r="AK44" s="13">
        <f t="shared" si="35"/>
        <v>33.130006114881219</v>
      </c>
      <c r="AL44" s="20">
        <f t="shared" si="4"/>
        <v>277.59910531675143</v>
      </c>
      <c r="AM44" s="59">
        <f t="shared" si="5"/>
        <v>526.20179491125543</v>
      </c>
      <c r="AN44" s="59">
        <f ca="1">AVERAGE(OFFSET($AM$3,0,0,'Données projet'!$E$10+1,1))-AVERAGE(OFFSET($H$3,0,0,'Données projet'!$E$10+1,1))</f>
        <v>302.36110224755532</v>
      </c>
      <c r="AO44" s="59">
        <f t="shared" si="36"/>
        <v>292.08583531469412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18.232873692676726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18.232873692676726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8.0511538458333352</v>
      </c>
      <c r="BD44" s="12">
        <f>IF('Données projet'!$A$88&gt;35,BD43+BC44-BL43,IF(A44&lt;'Données projet'!$A$88,$BA$205^A44,IF(A44='Données projet'!$A$88,'Données projet'!$B$88,BD43+BC44-BL43)))</f>
        <v>163.90884615416672</v>
      </c>
      <c r="BE44" s="13">
        <f>BD44*VLOOKUP('Données projet'!$B$11,Paramètres!$A$1:$I$89,3,0)*VLOOKUP('Données projet'!$B$11,Paramètres!$A$1:$I$89,5,0)</f>
        <v>155.97565800030506</v>
      </c>
      <c r="BF44" s="13">
        <f t="shared" si="37"/>
        <v>39.933472487325616</v>
      </c>
      <c r="BG44" s="20">
        <f t="shared" si="7"/>
        <v>341.20840226595675</v>
      </c>
      <c r="BH44" s="59">
        <f t="shared" si="8"/>
        <v>589.81109186046069</v>
      </c>
      <c r="BI44" s="59">
        <f ca="1">AVERAGE(OFFSET($BH$3,0,0,'Données projet'!$E$11+1,1))-AVERAGE(OFFSET($H$3,0,0,'Données projet'!$E$11+1,1))</f>
        <v>697.21496579331188</v>
      </c>
      <c r="BJ44" s="59">
        <f t="shared" si="38"/>
        <v>215.64914236948769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6.4</v>
      </c>
      <c r="BY44" s="12">
        <f>IF('Données projet'!$A$114&gt;35,BY43+BX44-CG43,IF(A44&lt;'Données projet'!$A$114,$BV$205^A44,IF(A44='Données projet'!$A$114,'Données projet'!$B$114,BY43+BX44-CG43)))</f>
        <v>136.4</v>
      </c>
      <c r="BZ44" s="13">
        <f>BY44*VLOOKUP('Données projet'!$B$12,Paramètres!$A$1:$I$89,3,0)*VLOOKUP('Données projet'!$B$12,Paramètres!$A$1:$I$89,5,0)</f>
        <v>119.15904000000003</v>
      </c>
      <c r="CA44" s="13">
        <f t="shared" si="39"/>
        <v>31.478778976043767</v>
      </c>
      <c r="CB44" s="20">
        <f t="shared" si="10"/>
        <v>262.36086804994295</v>
      </c>
      <c r="CC44" s="59">
        <f t="shared" si="11"/>
        <v>510.96355764444695</v>
      </c>
      <c r="CD44" s="59">
        <f ca="1">AVERAGE(OFFSET($CC$3,0,0,'Données projet'!$E$12+1,1))-AVERAGE(OFFSET($H$3,0,0,'Données projet'!$E$12+1,1))</f>
        <v>330.58463337575432</v>
      </c>
      <c r="CE44" s="59">
        <f t="shared" si="40"/>
        <v>285.43250599232192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15.517339312916361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15.517339312916361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6">
        <f t="shared" si="1"/>
        <v>183.33333333333334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189.76714074331781</v>
      </c>
      <c r="T45" s="59">
        <f t="shared" si="34"/>
        <v>458.38901659119472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8.1999999999999993</v>
      </c>
      <c r="AI45" s="13">
        <f>IF('Données projet'!$A$62&gt;35,AI44+AH45-AQ44,IF(A45&lt;'Données projet'!$A$62,$AF$205^A45,IF(A45='Données projet'!$A$62,'Données projet'!$B$62,AI44+AH45-AQ44)))</f>
        <v>180.39999999999998</v>
      </c>
      <c r="AJ45" s="13">
        <f>AI45*VLOOKUP('Données projet'!$B$10,Paramètres!$A$1:$I$89,3,0)*VLOOKUP('Données projet'!$B$10,Paramètres!$A$1:$I$89,5,0)</f>
        <v>132.26927999999998</v>
      </c>
      <c r="AK45" s="13">
        <f t="shared" si="35"/>
        <v>34.52019401964877</v>
      </c>
      <c r="AL45" s="20">
        <f t="shared" si="4"/>
        <v>290.49166725088827</v>
      </c>
      <c r="AM45" s="59">
        <f t="shared" si="5"/>
        <v>539.87033351152297</v>
      </c>
      <c r="AN45" s="59">
        <f ca="1">AVERAGE(OFFSET($AM$3,0,0,'Données projet'!$E$10+1,1))-AVERAGE(OFFSET($H$3,0,0,'Données projet'!$E$10+1,1))</f>
        <v>302.36110224755532</v>
      </c>
      <c r="AO45" s="59">
        <f t="shared" si="36"/>
        <v>292.08583531469412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17.875338160518186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17.875338160518186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171.96</v>
      </c>
      <c r="BB45" s="12">
        <f>VLOOKUP(A45,'Données projet'!$A$87:$I$107,9,0)</f>
        <v>8.0511538458333352</v>
      </c>
      <c r="BC45" s="12">
        <f t="array" ref="BC45">INDEX(BB:BB,MIN(IF(ISNUMBER(BB45:BB241),ROW(BB45:BB241),"")))</f>
        <v>8.0511538458333352</v>
      </c>
      <c r="BD45" s="12">
        <f>IF('Données projet'!$A$88&gt;35,BD44+BC45-BL44,IF(A45&lt;'Données projet'!$A$88,$BA$205^A45,IF(A45='Données projet'!$A$88,'Données projet'!$B$88,BD44+BC45-BL44)))</f>
        <v>171.96000000000006</v>
      </c>
      <c r="BE45" s="13">
        <f>BD45*VLOOKUP('Données projet'!$B$11,Paramètres!$A$1:$I$89,3,0)*VLOOKUP('Données projet'!$B$11,Paramètres!$A$1:$I$89,5,0)</f>
        <v>163.63713600000005</v>
      </c>
      <c r="BF45" s="13">
        <f t="shared" si="37"/>
        <v>41.661805305260039</v>
      </c>
      <c r="BG45" s="20">
        <f t="shared" si="7"/>
        <v>357.56232277332794</v>
      </c>
      <c r="BH45" s="59">
        <f t="shared" si="8"/>
        <v>606.94098903396264</v>
      </c>
      <c r="BI45" s="59">
        <f ca="1">AVERAGE(OFFSET($BH$3,0,0,'Données projet'!$E$11+1,1))-AVERAGE(OFFSET($H$3,0,0,'Données projet'!$E$11+1,1))</f>
        <v>697.21496579331188</v>
      </c>
      <c r="BJ45" s="59">
        <f t="shared" si="38"/>
        <v>215.64914236948769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43.21</v>
      </c>
      <c r="BM45" s="16">
        <f>IF(ISNA(VLOOKUP(A45,'Données projet'!$A$87:$I$107,5,0)),0%,VLOOKUP(A45,'Données projet'!$A$87:$I$107,5,0)*VLOOKUP('Données projet'!$B$11,Paramètres!$A$1:$I$89,7,0))</f>
        <v>0.43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19.545836682262806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19.545836682262806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6.4</v>
      </c>
      <c r="BY45" s="12">
        <f>IF('Données projet'!$A$114&gt;35,BY44+BX45-CG44,IF(A45&lt;'Données projet'!$A$114,$BV$205^A45,IF(A45='Données projet'!$A$114,'Données projet'!$B$114,BY44+BX45-CG44)))</f>
        <v>142.80000000000001</v>
      </c>
      <c r="BZ45" s="13">
        <f>BY45*VLOOKUP('Données projet'!$B$12,Paramètres!$A$1:$I$89,3,0)*VLOOKUP('Données projet'!$B$12,Paramètres!$A$1:$I$89,5,0)</f>
        <v>124.75008000000003</v>
      </c>
      <c r="CA45" s="13">
        <f t="shared" si="39"/>
        <v>32.780361960132396</v>
      </c>
      <c r="CB45" s="20">
        <f t="shared" si="10"/>
        <v>274.36551974723062</v>
      </c>
      <c r="CC45" s="59">
        <f t="shared" si="11"/>
        <v>523.74418600786532</v>
      </c>
      <c r="CD45" s="59">
        <f ca="1">AVERAGE(OFFSET($CC$3,0,0,'Données projet'!$E$12+1,1))-AVERAGE(OFFSET($H$3,0,0,'Données projet'!$E$12+1,1))</f>
        <v>330.58463337575432</v>
      </c>
      <c r="CE45" s="59">
        <f t="shared" si="40"/>
        <v>285.43250599232192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15.213053753632495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15.213053753632495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6">
        <f t="shared" si="1"/>
        <v>183.33333333333334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189.76714074331781</v>
      </c>
      <c r="T46" s="59">
        <f t="shared" si="34"/>
        <v>458.38901659119472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8.1999999999999993</v>
      </c>
      <c r="AI46" s="13">
        <f>IF('Données projet'!$A$62&gt;35,AI45+AH46-AQ45,IF(A46&lt;'Données projet'!$A$62,$AF$205^A46,IF(A46='Données projet'!$A$62,'Données projet'!$B$62,AI45+AH46-AQ45)))</f>
        <v>188.59999999999997</v>
      </c>
      <c r="AJ46" s="13">
        <f>AI46*VLOOKUP('Données projet'!$B$10,Paramètres!$A$1:$I$89,3,0)*VLOOKUP('Données projet'!$B$10,Paramètres!$A$1:$I$89,5,0)</f>
        <v>138.28151999999997</v>
      </c>
      <c r="AK46" s="13">
        <f t="shared" si="35"/>
        <v>35.903043322174675</v>
      </c>
      <c r="AL46" s="20">
        <f t="shared" si="4"/>
        <v>303.37144778612083</v>
      </c>
      <c r="AM46" s="59">
        <f t="shared" si="5"/>
        <v>553.51262925255287</v>
      </c>
      <c r="AN46" s="59">
        <f ca="1">AVERAGE(OFFSET($AM$3,0,0,'Données projet'!$E$10+1,1))-AVERAGE(OFFSET($H$3,0,0,'Données projet'!$E$10+1,1))</f>
        <v>302.36110224755532</v>
      </c>
      <c r="AO46" s="59">
        <f t="shared" si="36"/>
        <v>292.08583531469412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17.524813682070132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17.524813682070132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9.9475000000000016</v>
      </c>
      <c r="BD46" s="12">
        <f>IF('Données projet'!$A$88&gt;35,BD45+BC46-BL45,IF(A46&lt;'Données projet'!$A$88,$BA$205^A46,IF(A46='Données projet'!$A$88,'Données projet'!$B$88,BD45+BC46-BL45)))</f>
        <v>138.69750000000005</v>
      </c>
      <c r="BE46" s="13">
        <f>BD46*VLOOKUP('Données projet'!$B$11,Paramètres!$A$1:$I$89,3,0)*VLOOKUP('Données projet'!$B$11,Paramètres!$A$1:$I$89,5,0)</f>
        <v>131.98454100000004</v>
      </c>
      <c r="BF46" s="13">
        <f t="shared" si="37"/>
        <v>34.454523363818936</v>
      </c>
      <c r="BG46" s="20">
        <f t="shared" si="7"/>
        <v>289.88137043365134</v>
      </c>
      <c r="BH46" s="59">
        <f t="shared" si="8"/>
        <v>540.02255190008339</v>
      </c>
      <c r="BI46" s="59">
        <f ca="1">AVERAGE(OFFSET($BH$3,0,0,'Données projet'!$E$11+1,1))-AVERAGE(OFFSET($H$3,0,0,'Données projet'!$E$11+1,1))</f>
        <v>697.21496579331188</v>
      </c>
      <c r="BJ46" s="59">
        <f t="shared" si="38"/>
        <v>215.64914236948769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19.162554746706832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19.162554746706832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6.4</v>
      </c>
      <c r="BY46" s="12">
        <f>IF('Données projet'!$A$114&gt;35,BY45+BX46-CG45,IF(A46&lt;'Données projet'!$A$114,$BV$205^A46,IF(A46='Données projet'!$A$114,'Données projet'!$B$114,BY45+BX46-CG45)))</f>
        <v>149.20000000000002</v>
      </c>
      <c r="BZ46" s="13">
        <f>BY46*VLOOKUP('Données projet'!$B$12,Paramètres!$A$1:$I$89,3,0)*VLOOKUP('Données projet'!$B$12,Paramètres!$A$1:$I$89,5,0)</f>
        <v>130.34112000000005</v>
      </c>
      <c r="CA46" s="13">
        <f t="shared" si="39"/>
        <v>34.075170122989917</v>
      </c>
      <c r="CB46" s="20">
        <f t="shared" si="10"/>
        <v>286.35837196420749</v>
      </c>
      <c r="CC46" s="59">
        <f t="shared" si="11"/>
        <v>536.49955343063948</v>
      </c>
      <c r="CD46" s="59">
        <f ca="1">AVERAGE(OFFSET($CC$3,0,0,'Données projet'!$E$12+1,1))-AVERAGE(OFFSET($H$3,0,0,'Données projet'!$E$12+1,1))</f>
        <v>330.58463337575432</v>
      </c>
      <c r="CE46" s="59">
        <f t="shared" si="40"/>
        <v>285.43250599232192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14.914735048570321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14.914735048570321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6">
        <f t="shared" si="1"/>
        <v>183.33333333333334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189.76714074331781</v>
      </c>
      <c r="T47" s="59">
        <f t="shared" si="34"/>
        <v>458.38901659119472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8.1999999999999993</v>
      </c>
      <c r="AI47" s="13">
        <f>IF('Données projet'!$A$62&gt;35,AI46+AH47-AQ46,IF(A47&lt;'Données projet'!$A$62,$AF$205^A47,IF(A47='Données projet'!$A$62,'Données projet'!$B$62,AI46+AH47-AQ46)))</f>
        <v>196.79999999999995</v>
      </c>
      <c r="AJ47" s="13">
        <f>AI47*VLOOKUP('Données projet'!$B$10,Paramètres!$A$1:$I$89,3,0)*VLOOKUP('Données projet'!$B$10,Paramètres!$A$1:$I$89,5,0)</f>
        <v>144.29375999999996</v>
      </c>
      <c r="AK47" s="13">
        <f t="shared" si="35"/>
        <v>37.278909560653958</v>
      </c>
      <c r="AL47" s="20">
        <f t="shared" si="4"/>
        <v>316.23906615147223</v>
      </c>
      <c r="AM47" s="59">
        <f t="shared" si="5"/>
        <v>567.12953488960966</v>
      </c>
      <c r="AN47" s="59">
        <f ca="1">AVERAGE(OFFSET($AM$3,0,0,'Données projet'!$E$10+1,1))-AVERAGE(OFFSET($H$3,0,0,'Données projet'!$E$10+1,1))</f>
        <v>302.36110224755532</v>
      </c>
      <c r="AO47" s="59">
        <f t="shared" si="36"/>
        <v>292.08583531469412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17.181162774845625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17.181162774845625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9.9475000000000016</v>
      </c>
      <c r="BD47" s="12">
        <f>IF('Données projet'!$A$88&gt;35,BD46+BC47-BL46,IF(A47&lt;'Données projet'!$A$88,$BA$205^A47,IF(A47='Données projet'!$A$88,'Données projet'!$B$88,BD46+BC47-BL46)))</f>
        <v>148.64500000000004</v>
      </c>
      <c r="BE47" s="13">
        <f>BD47*VLOOKUP('Données projet'!$B$11,Paramètres!$A$1:$I$89,3,0)*VLOOKUP('Données projet'!$B$11,Paramètres!$A$1:$I$89,5,0)</f>
        <v>141.45058200000003</v>
      </c>
      <c r="BF47" s="13">
        <f t="shared" si="37"/>
        <v>36.629113839026211</v>
      </c>
      <c r="BG47" s="20">
        <f t="shared" si="7"/>
        <v>310.1554702529707</v>
      </c>
      <c r="BH47" s="59">
        <f t="shared" si="8"/>
        <v>561.04593899110819</v>
      </c>
      <c r="BI47" s="59">
        <f ca="1">AVERAGE(OFFSET($BH$3,0,0,'Données projet'!$E$11+1,1))-AVERAGE(OFFSET($H$3,0,0,'Données projet'!$E$11+1,1))</f>
        <v>697.21496579331188</v>
      </c>
      <c r="BJ47" s="59">
        <f t="shared" si="38"/>
        <v>215.64914236948769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18.786788736128212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18.786788736128212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6.4</v>
      </c>
      <c r="BY47" s="12">
        <f>IF('Données projet'!$A$114&gt;35,BY46+BX47-CG46,IF(A47&lt;'Données projet'!$A$114,$BV$205^A47,IF(A47='Données projet'!$A$114,'Données projet'!$B$114,BY46+BX47-CG46)))</f>
        <v>155.60000000000002</v>
      </c>
      <c r="BZ47" s="13">
        <f>BY47*VLOOKUP('Données projet'!$B$12,Paramètres!$A$1:$I$89,3,0)*VLOOKUP('Données projet'!$B$12,Paramètres!$A$1:$I$89,5,0)</f>
        <v>135.93216000000004</v>
      </c>
      <c r="CA47" s="13">
        <f t="shared" si="39"/>
        <v>35.36352729450968</v>
      </c>
      <c r="CB47" s="20">
        <f t="shared" si="10"/>
        <v>298.33998870460442</v>
      </c>
      <c r="CC47" s="59">
        <f t="shared" si="11"/>
        <v>549.23045744274191</v>
      </c>
      <c r="CD47" s="59">
        <f ca="1">AVERAGE(OFFSET($CC$3,0,0,'Données projet'!$E$12+1,1))-AVERAGE(OFFSET($H$3,0,0,'Données projet'!$E$12+1,1))</f>
        <v>330.58463337575432</v>
      </c>
      <c r="CE47" s="59">
        <f t="shared" si="40"/>
        <v>285.43250599232192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14.622266191357975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14.622266191357975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6">
        <f t="shared" si="1"/>
        <v>183.33333333333334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189.76714074331781</v>
      </c>
      <c r="T48" s="59">
        <f t="shared" si="34"/>
        <v>458.38901659119472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205</v>
      </c>
      <c r="AG48" s="12">
        <f>VLOOKUP(A48,'Données projet'!$A$61:$I$81,9,0)</f>
        <v>8.1999999999999993</v>
      </c>
      <c r="AH48" s="12">
        <f t="array" ref="AH48">INDEX(AG:AG,MIN(IF(ISNUMBER(AG48:AG244),ROW(AG48:AG244),"")))</f>
        <v>8.1999999999999993</v>
      </c>
      <c r="AI48" s="13">
        <f>IF('Données projet'!$A$62&gt;35,AI47+AH48-AQ47,IF(A48&lt;'Données projet'!$A$62,$AF$205^A48,IF(A48='Données projet'!$A$62,'Données projet'!$B$62,AI47+AH48-AQ47)))</f>
        <v>204.99999999999994</v>
      </c>
      <c r="AJ48" s="13">
        <f>AI48*VLOOKUP('Données projet'!$B$10,Paramètres!$A$1:$I$89,3,0)*VLOOKUP('Données projet'!$B$10,Paramètres!$A$1:$I$89,5,0)</f>
        <v>150.30599999999995</v>
      </c>
      <c r="AK48" s="13">
        <f t="shared" si="35"/>
        <v>38.648116968856641</v>
      </c>
      <c r="AL48" s="20">
        <f t="shared" si="4"/>
        <v>329.09508705409189</v>
      </c>
      <c r="AM48" s="59">
        <f t="shared" si="5"/>
        <v>580.72184460492599</v>
      </c>
      <c r="AN48" s="59">
        <f ca="1">AVERAGE(OFFSET($AM$3,0,0,'Données projet'!$E$10+1,1))-AVERAGE(OFFSET($H$3,0,0,'Données projet'!$E$10+1,1))</f>
        <v>302.36110224755532</v>
      </c>
      <c r="AO48" s="59">
        <f t="shared" si="36"/>
        <v>292.08583531469412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22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24.511872798613304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24.511872798613304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9.9475000000000016</v>
      </c>
      <c r="BD48" s="12">
        <f>IF('Données projet'!$A$88&gt;35,BD47+BC48-BL47,IF(A48&lt;'Données projet'!$A$88,$BA$205^A48,IF(A48='Données projet'!$A$88,'Données projet'!$B$88,BD47+BC48-BL47)))</f>
        <v>158.59250000000003</v>
      </c>
      <c r="BE48" s="13">
        <f>BD48*VLOOKUP('Données projet'!$B$11,Paramètres!$A$1:$I$89,3,0)*VLOOKUP('Données projet'!$B$11,Paramètres!$A$1:$I$89,5,0)</f>
        <v>150.91662300000004</v>
      </c>
      <c r="BF48" s="13">
        <f t="shared" si="37"/>
        <v>38.786817570784009</v>
      </c>
      <c r="BG48" s="20">
        <f t="shared" si="7"/>
        <v>330.40015899411554</v>
      </c>
      <c r="BH48" s="59">
        <f t="shared" si="8"/>
        <v>582.0269165449497</v>
      </c>
      <c r="BI48" s="59">
        <f ca="1">AVERAGE(OFFSET($BH$3,0,0,'Données projet'!$E$11+1,1))-AVERAGE(OFFSET($H$3,0,0,'Données projet'!$E$11+1,1))</f>
        <v>697.21496579331188</v>
      </c>
      <c r="BJ48" s="59">
        <f t="shared" si="38"/>
        <v>215.64914236948769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18.418391267822404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18.418391267822404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162</v>
      </c>
      <c r="BW48" s="12">
        <f>VLOOKUP(A48,'Données projet'!$A$113:$I$133,9,0)</f>
        <v>6.4</v>
      </c>
      <c r="BX48" s="12">
        <f t="array" ref="BX48">INDEX(BW:BW,MIN(IF(ISNUMBER(BW48:BW244),ROW(BW48:BW244),"")))</f>
        <v>6.4</v>
      </c>
      <c r="BY48" s="12">
        <f>IF('Données projet'!$A$114&gt;35,BY47+BX48-CG47,IF(A48&lt;'Données projet'!$A$114,$BV$205^A48,IF(A48='Données projet'!$A$114,'Données projet'!$B$114,BY47+BX48-CG47)))</f>
        <v>162.00000000000003</v>
      </c>
      <c r="BZ48" s="13">
        <f>BY48*VLOOKUP('Données projet'!$B$12,Paramètres!$A$1:$I$89,3,0)*VLOOKUP('Données projet'!$B$12,Paramètres!$A$1:$I$89,5,0)</f>
        <v>141.52320000000006</v>
      </c>
      <c r="CA48" s="13">
        <f t="shared" si="39"/>
        <v>36.645729158274158</v>
      </c>
      <c r="CB48" s="20">
        <f t="shared" si="10"/>
        <v>310.31088495066086</v>
      </c>
      <c r="CC48" s="59">
        <f t="shared" si="11"/>
        <v>561.93764250149502</v>
      </c>
      <c r="CD48" s="59">
        <f ca="1">AVERAGE(OFFSET($CC$3,0,0,'Données projet'!$E$12+1,1))-AVERAGE(OFFSET($H$3,0,0,'Données projet'!$E$12+1,1))</f>
        <v>330.58463337575432</v>
      </c>
      <c r="CE48" s="59">
        <f t="shared" si="40"/>
        <v>285.43250599232192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19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22.225619475532252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22.225619475532252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6">
        <f t="shared" si="1"/>
        <v>183.33333333333334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189.76714074331781</v>
      </c>
      <c r="T49" s="59">
        <f t="shared" si="34"/>
        <v>458.38901659119472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7.2</v>
      </c>
      <c r="AI49" s="13">
        <f>IF('Données projet'!$A$62&gt;35,AI48+AH49-AQ48,IF(A49&lt;'Données projet'!$A$62,$AF$205^A49,IF(A49='Données projet'!$A$62,'Données projet'!$B$62,AI48+AH49-AQ48)))</f>
        <v>190.19999999999993</v>
      </c>
      <c r="AJ49" s="13">
        <f>AI49*VLOOKUP('Données projet'!$B$10,Paramètres!$A$1:$I$89,3,0)*VLOOKUP('Données projet'!$B$10,Paramètres!$A$1:$I$89,5,0)</f>
        <v>139.45463999999996</v>
      </c>
      <c r="AK49" s="13">
        <f t="shared" si="35"/>
        <v>36.172042811708678</v>
      </c>
      <c r="AL49" s="20">
        <f t="shared" si="4"/>
        <v>305.88313923039249</v>
      </c>
      <c r="AM49" s="59">
        <f t="shared" si="5"/>
        <v>558.23341262911811</v>
      </c>
      <c r="AN49" s="59">
        <f ca="1">AVERAGE(OFFSET($AM$3,0,0,'Données projet'!$E$10+1,1))-AVERAGE(OFFSET($H$3,0,0,'Données projet'!$E$10+1,1))</f>
        <v>302.36110224755532</v>
      </c>
      <c r="AO49" s="59">
        <f t="shared" si="36"/>
        <v>292.08583531469412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24.031209923798638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24.031209923798638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9.9475000000000016</v>
      </c>
      <c r="BD49" s="12">
        <f>IF('Données projet'!$A$88&gt;35,BD48+BC49-BL48,IF(A49&lt;'Données projet'!$A$88,$BA$205^A49,IF(A49='Données projet'!$A$88,'Données projet'!$B$88,BD48+BC49-BL48)))</f>
        <v>168.54000000000002</v>
      </c>
      <c r="BE49" s="13">
        <f>BD49*VLOOKUP('Données projet'!$B$11,Paramètres!$A$1:$I$89,3,0)*VLOOKUP('Données projet'!$B$11,Paramètres!$A$1:$I$89,5,0)</f>
        <v>160.38266400000003</v>
      </c>
      <c r="BF49" s="13">
        <f t="shared" si="37"/>
        <v>40.928814336751095</v>
      </c>
      <c r="BG49" s="20">
        <f t="shared" si="7"/>
        <v>350.61749143650815</v>
      </c>
      <c r="BH49" s="59">
        <f t="shared" si="8"/>
        <v>602.96776483523377</v>
      </c>
      <c r="BI49" s="59">
        <f ca="1">AVERAGE(OFFSET($BH$3,0,0,'Données projet'!$E$11+1,1))-AVERAGE(OFFSET($H$3,0,0,'Données projet'!$E$11+1,1))</f>
        <v>697.21496579331188</v>
      </c>
      <c r="BJ49" s="59">
        <f t="shared" si="38"/>
        <v>215.64914236948769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18.057217849169803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18.057217849169803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</v>
      </c>
      <c r="BY49" s="12">
        <f>IF('Données projet'!$A$114&gt;35,BY48+BX49-CG48,IF(A49&lt;'Données projet'!$A$114,$BV$205^A49,IF(A49='Données projet'!$A$114,'Données projet'!$B$114,BY48+BX49-CG48)))</f>
        <v>149.00000000000003</v>
      </c>
      <c r="BZ49" s="13">
        <f>BY49*VLOOKUP('Données projet'!$B$12,Paramètres!$A$1:$I$89,3,0)*VLOOKUP('Données projet'!$B$12,Paramètres!$A$1:$I$89,5,0)</f>
        <v>130.16640000000004</v>
      </c>
      <c r="CA49" s="13">
        <f t="shared" si="39"/>
        <v>34.034806623706302</v>
      </c>
      <c r="CB49" s="20">
        <f t="shared" si="10"/>
        <v>285.98376820295522</v>
      </c>
      <c r="CC49" s="59">
        <f t="shared" si="11"/>
        <v>538.33404160168084</v>
      </c>
      <c r="CD49" s="59">
        <f ca="1">AVERAGE(OFFSET($CC$3,0,0,'Données projet'!$E$12+1,1))-AVERAGE(OFFSET($H$3,0,0,'Données projet'!$E$12+1,1))</f>
        <v>330.58463337575432</v>
      </c>
      <c r="CE49" s="59">
        <f t="shared" si="40"/>
        <v>285.43250599232192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21.789788633906372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21.789788633906372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6">
        <f t="shared" si="1"/>
        <v>183.33333333333334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189.76714074331781</v>
      </c>
      <c r="T50" s="59">
        <f t="shared" si="34"/>
        <v>458.38901659119472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</v>
      </c>
      <c r="AI50" s="13">
        <f>IF('Données projet'!$A$62&gt;35,AI49+AH50-AQ49,IF(A50&lt;'Données projet'!$A$62,$AF$205^A50,IF(A50='Données projet'!$A$62,'Données projet'!$B$62,AI49+AH50-AQ49)))</f>
        <v>197.39999999999992</v>
      </c>
      <c r="AJ50" s="13">
        <f>AI50*VLOOKUP('Données projet'!$B$10,Paramètres!$A$1:$I$89,3,0)*VLOOKUP('Données projet'!$B$10,Paramètres!$A$1:$I$89,5,0)</f>
        <v>144.73367999999994</v>
      </c>
      <c r="AK50" s="13">
        <f t="shared" si="35"/>
        <v>37.379317506781838</v>
      </c>
      <c r="AL50" s="20">
        <f t="shared" si="4"/>
        <v>317.1801373243116</v>
      </c>
      <c r="AM50" s="59">
        <f t="shared" si="5"/>
        <v>570.24137518850694</v>
      </c>
      <c r="AN50" s="59">
        <f ca="1">AVERAGE(OFFSET($AM$3,0,0,'Données projet'!$E$10+1,1))-AVERAGE(OFFSET($H$3,0,0,'Données projet'!$E$10+1,1))</f>
        <v>302.36110224755532</v>
      </c>
      <c r="AO50" s="59">
        <f t="shared" si="36"/>
        <v>292.08583531469412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23.559972554783684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23.559972554783684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9.9475000000000016</v>
      </c>
      <c r="BD50" s="12">
        <f>IF('Données projet'!$A$88&gt;35,BD49+BC50-BL49,IF(A50&lt;'Données projet'!$A$88,$BA$205^A50,IF(A50='Données projet'!$A$88,'Données projet'!$B$88,BD49+BC50-BL49)))</f>
        <v>178.48750000000001</v>
      </c>
      <c r="BE50" s="13">
        <f>BD50*VLOOKUP('Données projet'!$B$11,Paramètres!$A$1:$I$89,3,0)*VLOOKUP('Données projet'!$B$11,Paramètres!$A$1:$I$89,5,0)</f>
        <v>169.848705</v>
      </c>
      <c r="BF50" s="13">
        <f t="shared" si="37"/>
        <v>43.056136782537017</v>
      </c>
      <c r="BG50" s="20">
        <f t="shared" si="7"/>
        <v>370.80926610458528</v>
      </c>
      <c r="BH50" s="59">
        <f t="shared" si="8"/>
        <v>623.87050396878067</v>
      </c>
      <c r="BI50" s="59">
        <f ca="1">AVERAGE(OFFSET($BH$3,0,0,'Données projet'!$E$11+1,1))-AVERAGE(OFFSET($H$3,0,0,'Données projet'!$E$11+1,1))</f>
        <v>697.21496579331188</v>
      </c>
      <c r="BJ50" s="59">
        <f t="shared" si="38"/>
        <v>215.64914236948769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17.703126820962947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17.703126820962947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</v>
      </c>
      <c r="BY50" s="12">
        <f>IF('Données projet'!$A$114&gt;35,BY49+BX50-CG49,IF(A50&lt;'Données projet'!$A$114,$BV$205^A50,IF(A50='Données projet'!$A$114,'Données projet'!$B$114,BY49+BX50-CG49)))</f>
        <v>155.00000000000003</v>
      </c>
      <c r="BZ50" s="13">
        <f>BY50*VLOOKUP('Données projet'!$B$12,Paramètres!$A$1:$I$89,3,0)*VLOOKUP('Données projet'!$B$12,Paramètres!$A$1:$I$89,5,0)</f>
        <v>135.40800000000004</v>
      </c>
      <c r="CA50" s="13">
        <f t="shared" si="39"/>
        <v>35.243009677478732</v>
      </c>
      <c r="CB50" s="20">
        <f t="shared" si="10"/>
        <v>297.21717518827558</v>
      </c>
      <c r="CC50" s="59">
        <f t="shared" si="11"/>
        <v>550.27841305247102</v>
      </c>
      <c r="CD50" s="59">
        <f ca="1">AVERAGE(OFFSET($CC$3,0,0,'Données projet'!$E$12+1,1))-AVERAGE(OFFSET($H$3,0,0,'Données projet'!$E$12+1,1))</f>
        <v>330.58463337575432</v>
      </c>
      <c r="CE50" s="59">
        <f t="shared" si="40"/>
        <v>285.43250599232192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21.362504169254212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21.362504169254212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6">
        <f t="shared" si="1"/>
        <v>183.33333333333334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189.76714074331781</v>
      </c>
      <c r="T51" s="59">
        <f t="shared" si="34"/>
        <v>458.38901659119472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</v>
      </c>
      <c r="AI51" s="13">
        <f>IF('Données projet'!$A$62&gt;35,AI50+AH51-AQ50,IF(A51&lt;'Données projet'!$A$62,$AF$205^A51,IF(A51='Données projet'!$A$62,'Données projet'!$B$62,AI50+AH51-AQ50)))</f>
        <v>204.59999999999991</v>
      </c>
      <c r="AJ51" s="13">
        <f>AI51*VLOOKUP('Données projet'!$B$10,Paramètres!$A$1:$I$89,3,0)*VLOOKUP('Données projet'!$B$10,Paramètres!$A$1:$I$89,5,0)</f>
        <v>150.01271999999992</v>
      </c>
      <c r="AK51" s="13">
        <f t="shared" si="35"/>
        <v>38.581476272231626</v>
      </c>
      <c r="AL51" s="20">
        <f t="shared" si="4"/>
        <v>328.46822517413659</v>
      </c>
      <c r="AM51" s="59">
        <f t="shared" si="5"/>
        <v>582.22809385980429</v>
      </c>
      <c r="AN51" s="59">
        <f ca="1">AVERAGE(OFFSET($AM$3,0,0,'Données projet'!$E$10+1,1))-AVERAGE(OFFSET($H$3,0,0,'Données projet'!$E$10+1,1))</f>
        <v>302.36110224755532</v>
      </c>
      <c r="AO51" s="59">
        <f t="shared" si="36"/>
        <v>292.08583531469412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23.097975863148697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23.097975863148697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9.9475000000000016</v>
      </c>
      <c r="BD51" s="12">
        <f>IF('Données projet'!$A$88&gt;35,BD50+BC51-BL50,IF(A51&lt;'Données projet'!$A$88,$BA$205^A51,IF(A51='Données projet'!$A$88,'Données projet'!$B$88,BD50+BC51-BL50)))</f>
        <v>188.435</v>
      </c>
      <c r="BE51" s="13">
        <f>BD51*VLOOKUP('Données projet'!$B$11,Paramètres!$A$1:$I$89,3,0)*VLOOKUP('Données projet'!$B$11,Paramètres!$A$1:$I$89,5,0)</f>
        <v>179.31474600000001</v>
      </c>
      <c r="BF51" s="13">
        <f t="shared" si="37"/>
        <v>45.169695949598257</v>
      </c>
      <c r="BG51" s="20">
        <f t="shared" si="7"/>
        <v>390.97706972888363</v>
      </c>
      <c r="BH51" s="59">
        <f t="shared" si="8"/>
        <v>644.73693841455133</v>
      </c>
      <c r="BI51" s="59">
        <f ca="1">AVERAGE(OFFSET($BH$3,0,0,'Données projet'!$E$11+1,1))-AVERAGE(OFFSET($H$3,0,0,'Données projet'!$E$11+1,1))</f>
        <v>697.21496579331188</v>
      </c>
      <c r="BJ51" s="59">
        <f t="shared" si="38"/>
        <v>215.64914236948769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17.355979301845025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17.355979301845025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</v>
      </c>
      <c r="BY51" s="12">
        <f>IF('Données projet'!$A$114&gt;35,BY50+BX51-CG50,IF(A51&lt;'Données projet'!$A$114,$BV$205^A51,IF(A51='Données projet'!$A$114,'Données projet'!$B$114,BY50+BX51-CG50)))</f>
        <v>161.00000000000003</v>
      </c>
      <c r="BZ51" s="13">
        <f>BY51*VLOOKUP('Données projet'!$B$12,Paramètres!$A$1:$I$89,3,0)*VLOOKUP('Données projet'!$B$12,Paramètres!$A$1:$I$89,5,0)</f>
        <v>140.64960000000005</v>
      </c>
      <c r="CA51" s="13">
        <f t="shared" si="39"/>
        <v>36.445779615258637</v>
      </c>
      <c r="CB51" s="20">
        <f t="shared" si="10"/>
        <v>308.44111949657554</v>
      </c>
      <c r="CC51" s="59">
        <f t="shared" si="11"/>
        <v>562.20098818224324</v>
      </c>
      <c r="CD51" s="59">
        <f ca="1">AVERAGE(OFFSET($CC$3,0,0,'Données projet'!$E$12+1,1))-AVERAGE(OFFSET($H$3,0,0,'Données projet'!$E$12+1,1))</f>
        <v>330.58463337575432</v>
      </c>
      <c r="CE51" s="59">
        <f t="shared" si="40"/>
        <v>285.43250599232192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20.94359849233609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20.94359849233609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6">
        <f t="shared" si="1"/>
        <v>183.33333333333334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189.76714074331781</v>
      </c>
      <c r="T52" s="59">
        <f t="shared" si="34"/>
        <v>458.38901659119472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</v>
      </c>
      <c r="AI52" s="13">
        <f>IF('Données projet'!$A$62&gt;35,AI51+AH52-AQ51,IF(A52&lt;'Données projet'!$A$62,$AF$205^A52,IF(A52='Données projet'!$A$62,'Données projet'!$B$62,AI51+AH52-AQ51)))</f>
        <v>211.7999999999999</v>
      </c>
      <c r="AJ52" s="13">
        <f>AI52*VLOOKUP('Données projet'!$B$10,Paramètres!$A$1:$I$89,3,0)*VLOOKUP('Données projet'!$B$10,Paramètres!$A$1:$I$89,5,0)</f>
        <v>155.29175999999993</v>
      </c>
      <c r="AK52" s="13">
        <f t="shared" si="35"/>
        <v>39.778719769696814</v>
      </c>
      <c r="AL52" s="20">
        <f t="shared" si="4"/>
        <v>339.74775226555511</v>
      </c>
      <c r="AM52" s="59">
        <f t="shared" si="5"/>
        <v>594.19413208984702</v>
      </c>
      <c r="AN52" s="59">
        <f ca="1">AVERAGE(OFFSET($AM$3,0,0,'Données projet'!$E$10+1,1))-AVERAGE(OFFSET($H$3,0,0,'Données projet'!$E$10+1,1))</f>
        <v>302.36110224755532</v>
      </c>
      <c r="AO52" s="59">
        <f t="shared" si="36"/>
        <v>292.08583531469412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22.645038644846515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22.645038644846515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9.9475000000000016</v>
      </c>
      <c r="BD52" s="12">
        <f>IF('Données projet'!$A$88&gt;35,BD51+BC52-BL51,IF(A52&lt;'Données projet'!$A$88,$BA$205^A52,IF(A52='Données projet'!$A$88,'Données projet'!$B$88,BD51+BC52-BL51)))</f>
        <v>198.38249999999999</v>
      </c>
      <c r="BE52" s="13">
        <f>BD52*VLOOKUP('Données projet'!$B$11,Paramètres!$A$1:$I$89,3,0)*VLOOKUP('Données projet'!$B$11,Paramètres!$A$1:$I$89,5,0)</f>
        <v>188.780787</v>
      </c>
      <c r="BF52" s="13">
        <f t="shared" si="37"/>
        <v>47.270301258838543</v>
      </c>
      <c r="BG52" s="20">
        <f t="shared" si="7"/>
        <v>411.12231205081048</v>
      </c>
      <c r="BH52" s="59">
        <f t="shared" si="8"/>
        <v>665.56869187510245</v>
      </c>
      <c r="BI52" s="59">
        <f ca="1">AVERAGE(OFFSET($BH$3,0,0,'Données projet'!$E$11+1,1))-AVERAGE(OFFSET($H$3,0,0,'Données projet'!$E$11+1,1))</f>
        <v>697.21496579331188</v>
      </c>
      <c r="BJ52" s="59">
        <f t="shared" si="38"/>
        <v>215.64914236948769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17.015639133837926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17.015639133837926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</v>
      </c>
      <c r="BY52" s="12">
        <f>IF('Données projet'!$A$114&gt;35,BY51+BX52-CG51,IF(A52&lt;'Données projet'!$A$114,$BV$205^A52,IF(A52='Données projet'!$A$114,'Données projet'!$B$114,BY51+BX52-CG51)))</f>
        <v>167.00000000000003</v>
      </c>
      <c r="BZ52" s="13">
        <f>BY52*VLOOKUP('Données projet'!$B$12,Paramètres!$A$1:$I$89,3,0)*VLOOKUP('Données projet'!$B$12,Paramètres!$A$1:$I$89,5,0)</f>
        <v>145.89120000000005</v>
      </c>
      <c r="CA52" s="13">
        <f t="shared" si="39"/>
        <v>37.643342098399685</v>
      </c>
      <c r="CB52" s="20">
        <f t="shared" si="10"/>
        <v>319.65599415471291</v>
      </c>
      <c r="CC52" s="59">
        <f t="shared" si="11"/>
        <v>574.10237397900482</v>
      </c>
      <c r="CD52" s="59">
        <f ca="1">AVERAGE(OFFSET($CC$3,0,0,'Données projet'!$E$12+1,1))-AVERAGE(OFFSET($H$3,0,0,'Données projet'!$E$12+1,1))</f>
        <v>330.58463337575432</v>
      </c>
      <c r="CE52" s="59">
        <f t="shared" si="40"/>
        <v>285.43250599232192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20.532907300235099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20.532907300235099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6">
        <f t="shared" si="1"/>
        <v>183.33333333333334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189.76714074331781</v>
      </c>
      <c r="T53" s="59">
        <f t="shared" si="34"/>
        <v>458.38901659119472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219</v>
      </c>
      <c r="AG53" s="12">
        <f>VLOOKUP(A53,'Données projet'!$A$61:$I$81,9,0)</f>
        <v>7.2</v>
      </c>
      <c r="AH53" s="12">
        <f t="array" ref="AH53">INDEX(AG:AG,MIN(IF(ISNUMBER(AG53:AG249),ROW(AG53:AG249),"")))</f>
        <v>7.2</v>
      </c>
      <c r="AI53" s="13">
        <f>IF('Données projet'!$A$62&gt;35,AI52+AH53-AQ52,IF(A53&lt;'Données projet'!$A$62,$AF$205^A53,IF(A53='Données projet'!$A$62,'Données projet'!$B$62,AI52+AH53-AQ52)))</f>
        <v>218.99999999999989</v>
      </c>
      <c r="AJ53" s="13">
        <f>AI53*VLOOKUP('Données projet'!$B$10,Paramètres!$A$1:$I$89,3,0)*VLOOKUP('Données projet'!$B$10,Paramètres!$A$1:$I$89,5,0)</f>
        <v>160.57079999999991</v>
      </c>
      <c r="AK53" s="13">
        <f t="shared" si="35"/>
        <v>40.97123424416818</v>
      </c>
      <c r="AL53" s="20">
        <f t="shared" si="4"/>
        <v>351.01904297525942</v>
      </c>
      <c r="AM53" s="59">
        <f t="shared" si="5"/>
        <v>606.14002450472958</v>
      </c>
      <c r="AN53" s="59">
        <f ca="1">AVERAGE(OFFSET($AM$3,0,0,'Données projet'!$E$10+1,1))-AVERAGE(OFFSET($H$3,0,0,'Données projet'!$E$10+1,1))</f>
        <v>302.36110224755532</v>
      </c>
      <c r="AO53" s="59">
        <f t="shared" si="36"/>
        <v>292.08583531469412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17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28.125963998550532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28.125963998550532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208.33</v>
      </c>
      <c r="BB53" s="12">
        <f>VLOOKUP(A53,'Données projet'!$A$87:$I$107,9,0)</f>
        <v>9.9475000000000016</v>
      </c>
      <c r="BC53" s="12">
        <f t="array" ref="BC53">INDEX(BB:BB,MIN(IF(ISNUMBER(BB53:BB249),ROW(BB53:BB249),"")))</f>
        <v>9.9475000000000016</v>
      </c>
      <c r="BD53" s="12">
        <f>IF('Données projet'!$A$88&gt;35,BD52+BC53-BL52,IF(A53&lt;'Données projet'!$A$88,$BA$205^A53,IF(A53='Données projet'!$A$88,'Données projet'!$B$88,BD52+BC53-BL52)))</f>
        <v>208.32999999999998</v>
      </c>
      <c r="BE53" s="13">
        <f>BD53*VLOOKUP('Données projet'!$B$11,Paramètres!$A$1:$I$89,3,0)*VLOOKUP('Données projet'!$B$11,Paramètres!$A$1:$I$89,5,0)</f>
        <v>198.24682799999999</v>
      </c>
      <c r="BF53" s="13">
        <f t="shared" si="37"/>
        <v>49.358676372128365</v>
      </c>
      <c r="BG53" s="20">
        <f t="shared" si="7"/>
        <v>431.24625344812353</v>
      </c>
      <c r="BH53" s="59">
        <f t="shared" si="8"/>
        <v>686.36723497759363</v>
      </c>
      <c r="BI53" s="59">
        <f ca="1">AVERAGE(OFFSET($BH$3,0,0,'Données projet'!$E$11+1,1))-AVERAGE(OFFSET($H$3,0,0,'Données projet'!$E$11+1,1))</f>
        <v>697.21496579331188</v>
      </c>
      <c r="BJ53" s="59">
        <f t="shared" si="38"/>
        <v>215.64914236948769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35.58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32.77641553097294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32.77641553097294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173</v>
      </c>
      <c r="BW53" s="12">
        <f>VLOOKUP(A53,'Données projet'!$A$113:$I$133,9,0)</f>
        <v>6</v>
      </c>
      <c r="BX53" s="12">
        <f t="array" ref="BX53">INDEX(BW:BW,MIN(IF(ISNUMBER(BW53:BW249),ROW(BW53:BW249),"")))</f>
        <v>6</v>
      </c>
      <c r="BY53" s="12">
        <f>IF('Données projet'!$A$114&gt;35,BY52+BX53-CG52,IF(A53&lt;'Données projet'!$A$114,$BV$205^A53,IF(A53='Données projet'!$A$114,'Données projet'!$B$114,BY52+BX53-CG52)))</f>
        <v>173.00000000000003</v>
      </c>
      <c r="BZ53" s="13">
        <f>BY53*VLOOKUP('Données projet'!$B$12,Paramètres!$A$1:$I$89,3,0)*VLOOKUP('Données projet'!$B$12,Paramètres!$A$1:$I$89,5,0)</f>
        <v>151.13280000000003</v>
      </c>
      <c r="CA53" s="13">
        <f t="shared" si="39"/>
        <v>38.835905653934425</v>
      </c>
      <c r="CB53" s="20">
        <f t="shared" si="10"/>
        <v>330.86216234726913</v>
      </c>
      <c r="CC53" s="59">
        <f t="shared" si="11"/>
        <v>585.98314387673918</v>
      </c>
      <c r="CD53" s="59">
        <f ca="1">AVERAGE(OFFSET($CC$3,0,0,'Données projet'!$E$12+1,1))-AVERAGE(OFFSET($H$3,0,0,'Données projet'!$E$12+1,1))</f>
        <v>330.58463337575432</v>
      </c>
      <c r="CE53" s="59">
        <f t="shared" si="40"/>
        <v>285.43250599232192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18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27.605088780268598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27.605088780268598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6">
        <f t="shared" si="1"/>
        <v>183.33333333333334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189.76714074331781</v>
      </c>
      <c r="T54" s="59">
        <f t="shared" si="34"/>
        <v>458.38901659119472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</v>
      </c>
      <c r="AI54" s="13">
        <f>IF('Données projet'!$A$62&gt;35,AI53+AH54-AQ53,IF(A54&lt;'Données projet'!$A$62,$AF$205^A54,IF(A54='Données projet'!$A$62,'Données projet'!$B$62,AI53+AH54-AQ53)))</f>
        <v>207.99999999999989</v>
      </c>
      <c r="AJ54" s="13">
        <f>AI54*VLOOKUP('Données projet'!$B$10,Paramètres!$A$1:$I$89,3,0)*VLOOKUP('Données projet'!$B$10,Paramètres!$A$1:$I$89,5,0)</f>
        <v>152.5055999999999</v>
      </c>
      <c r="AK54" s="13">
        <f t="shared" si="35"/>
        <v>39.147442061162181</v>
      </c>
      <c r="AL54" s="20">
        <f t="shared" si="4"/>
        <v>333.79571492319059</v>
      </c>
      <c r="AM54" s="59">
        <f t="shared" si="5"/>
        <v>589.57959532643736</v>
      </c>
      <c r="AN54" s="59">
        <f ca="1">AVERAGE(OFFSET($AM$3,0,0,'Données projet'!$E$10+1,1))-AVERAGE(OFFSET($H$3,0,0,'Données projet'!$E$10+1,1))</f>
        <v>302.36110224755532</v>
      </c>
      <c r="AO54" s="59">
        <f t="shared" si="36"/>
        <v>292.08583531469412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27.574430999683067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27.574430999683067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10.118749999999999</v>
      </c>
      <c r="BD54" s="12">
        <f>IF('Données projet'!$A$88&gt;35,BD53+BC54-BL53,IF(A54&lt;'Données projet'!$A$88,$BA$205^A54,IF(A54='Données projet'!$A$88,'Données projet'!$B$88,BD53+BC54-BL53)))</f>
        <v>182.86874999999998</v>
      </c>
      <c r="BE54" s="13">
        <f>BD54*VLOOKUP('Données projet'!$B$11,Paramètres!$A$1:$I$89,3,0)*VLOOKUP('Données projet'!$B$11,Paramètres!$A$1:$I$89,5,0)</f>
        <v>174.01790249999999</v>
      </c>
      <c r="BF54" s="13">
        <f t="shared" si="37"/>
        <v>43.988673023158164</v>
      </c>
      <c r="BG54" s="20">
        <f t="shared" si="7"/>
        <v>379.69478570283377</v>
      </c>
      <c r="BH54" s="59">
        <f t="shared" si="8"/>
        <v>635.4786661060806</v>
      </c>
      <c r="BI54" s="59">
        <f ca="1">AVERAGE(OFFSET($BH$3,0,0,'Données projet'!$E$11+1,1))-AVERAGE(OFFSET($H$3,0,0,'Données projet'!$E$11+1,1))</f>
        <v>697.21496579331188</v>
      </c>
      <c r="BJ54" s="59">
        <f t="shared" si="38"/>
        <v>215.64914236948769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32.133690014050025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32.133690014050025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5.2</v>
      </c>
      <c r="BY54" s="12">
        <f>IF('Données projet'!$A$114&gt;35,BY53+BX54-CG53,IF(A54&lt;'Données projet'!$A$114,$BV$205^A54,IF(A54='Données projet'!$A$114,'Données projet'!$B$114,BY53+BX54-CG53)))</f>
        <v>160.20000000000002</v>
      </c>
      <c r="BZ54" s="13">
        <f>BY54*VLOOKUP('Données projet'!$B$12,Paramètres!$A$1:$I$89,3,0)*VLOOKUP('Données projet'!$B$12,Paramètres!$A$1:$I$89,5,0)</f>
        <v>139.95072000000002</v>
      </c>
      <c r="CA54" s="13">
        <f t="shared" si="39"/>
        <v>36.285715907711918</v>
      </c>
      <c r="CB54" s="20">
        <f t="shared" si="10"/>
        <v>306.94512587259828</v>
      </c>
      <c r="CC54" s="59">
        <f t="shared" si="11"/>
        <v>562.72900627584511</v>
      </c>
      <c r="CD54" s="59">
        <f ca="1">AVERAGE(OFFSET($CC$3,0,0,'Données projet'!$E$12+1,1))-AVERAGE(OFFSET($H$3,0,0,'Données projet'!$E$12+1,1))</f>
        <v>330.58463337575432</v>
      </c>
      <c r="CE54" s="59">
        <f t="shared" si="40"/>
        <v>285.43250599232192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27.063769826729128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27.063769826729128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6">
        <f t="shared" si="1"/>
        <v>183.33333333333334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189.76714074331781</v>
      </c>
      <c r="T55" s="59">
        <f t="shared" si="34"/>
        <v>458.38901659119472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</v>
      </c>
      <c r="AI55" s="13">
        <f>IF('Données projet'!$A$62&gt;35,AI54+AH55-AQ54,IF(A55&lt;'Données projet'!$A$62,$AF$205^A55,IF(A55='Données projet'!$A$62,'Données projet'!$B$62,AI54+AH55-AQ54)))</f>
        <v>213.99999999999989</v>
      </c>
      <c r="AJ55" s="13">
        <f>AI55*VLOOKUP('Données projet'!$B$10,Paramètres!$A$1:$I$89,3,0)*VLOOKUP('Données projet'!$B$10,Paramètres!$A$1:$I$89,5,0)</f>
        <v>156.90479999999991</v>
      </c>
      <c r="AK55" s="13">
        <f t="shared" si="35"/>
        <v>40.143592678874334</v>
      </c>
      <c r="AL55" s="20">
        <f t="shared" si="4"/>
        <v>343.1926172490393</v>
      </c>
      <c r="AM55" s="59">
        <f t="shared" si="5"/>
        <v>599.62789671262271</v>
      </c>
      <c r="AN55" s="59">
        <f ca="1">AVERAGE(OFFSET($AM$3,0,0,'Données projet'!$E$10+1,1))-AVERAGE(OFFSET($H$3,0,0,'Données projet'!$E$10+1,1))</f>
        <v>302.36110224755532</v>
      </c>
      <c r="AO55" s="59">
        <f t="shared" si="36"/>
        <v>292.08583531469412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27.033713226521478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27.033713226521478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10.118749999999999</v>
      </c>
      <c r="BD55" s="12">
        <f>IF('Données projet'!$A$88&gt;35,BD54+BC55-BL54,IF(A55&lt;'Données projet'!$A$88,$BA$205^A55,IF(A55='Données projet'!$A$88,'Données projet'!$B$88,BD54+BC55-BL54)))</f>
        <v>192.98749999999998</v>
      </c>
      <c r="BE55" s="13">
        <f>BD55*VLOOKUP('Données projet'!$B$11,Paramètres!$A$1:$I$89,3,0)*VLOOKUP('Données projet'!$B$11,Paramètres!$A$1:$I$89,5,0)</f>
        <v>183.64690499999998</v>
      </c>
      <c r="BF55" s="13">
        <f t="shared" si="37"/>
        <v>46.132605737026424</v>
      </c>
      <c r="BG55" s="20">
        <f t="shared" si="7"/>
        <v>400.19931453365422</v>
      </c>
      <c r="BH55" s="59">
        <f t="shared" si="8"/>
        <v>656.63459399723752</v>
      </c>
      <c r="BI55" s="59">
        <f ca="1">AVERAGE(OFFSET($BH$3,0,0,'Données projet'!$E$11+1,1))-AVERAGE(OFFSET($H$3,0,0,'Données projet'!$E$11+1,1))</f>
        <v>697.21496579331188</v>
      </c>
      <c r="BJ55" s="59">
        <f t="shared" si="38"/>
        <v>215.64914236948769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31.503567952490112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31.503567952490112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5.2</v>
      </c>
      <c r="BY55" s="12">
        <f>IF('Données projet'!$A$114&gt;35,BY54+BX55-CG54,IF(A55&lt;'Données projet'!$A$114,$BV$205^A55,IF(A55='Données projet'!$A$114,'Données projet'!$B$114,BY54+BX55-CG54)))</f>
        <v>165.4</v>
      </c>
      <c r="BZ55" s="13">
        <f>BY55*VLOOKUP('Données projet'!$B$12,Paramètres!$A$1:$I$89,3,0)*VLOOKUP('Données projet'!$B$12,Paramètres!$A$1:$I$89,5,0)</f>
        <v>144.49344000000002</v>
      </c>
      <c r="CA55" s="13">
        <f t="shared" si="39"/>
        <v>37.324489208332842</v>
      </c>
      <c r="CB55" s="20">
        <f t="shared" si="10"/>
        <v>316.66622670451306</v>
      </c>
      <c r="CC55" s="59">
        <f t="shared" si="11"/>
        <v>573.10150616809642</v>
      </c>
      <c r="CD55" s="59">
        <f ca="1">AVERAGE(OFFSET($CC$3,0,0,'Données projet'!$E$12+1,1))-AVERAGE(OFFSET($H$3,0,0,'Données projet'!$E$12+1,1))</f>
        <v>330.58463337575432</v>
      </c>
      <c r="CE55" s="59">
        <f t="shared" si="40"/>
        <v>285.43250599232192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26.533065807696609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26.533065807696609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6">
        <f t="shared" si="1"/>
        <v>183.33333333333334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189.76714074331781</v>
      </c>
      <c r="T56" s="59">
        <f t="shared" si="34"/>
        <v>458.38901659119472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</v>
      </c>
      <c r="AI56" s="13">
        <f>IF('Données projet'!$A$62&gt;35,AI55+AH56-AQ55,IF(A56&lt;'Données projet'!$A$62,$AF$205^A56,IF(A56='Données projet'!$A$62,'Données projet'!$B$62,AI55+AH56-AQ55)))</f>
        <v>219.99999999999989</v>
      </c>
      <c r="AJ56" s="13">
        <f>AI56*VLOOKUP('Données projet'!$B$10,Paramètres!$A$1:$I$89,3,0)*VLOOKUP('Données projet'!$B$10,Paramètres!$A$1:$I$89,5,0)</f>
        <v>161.30399999999992</v>
      </c>
      <c r="AK56" s="13">
        <f t="shared" si="35"/>
        <v>41.136497157560363</v>
      </c>
      <c r="AL56" s="20">
        <f t="shared" si="4"/>
        <v>352.58386588275084</v>
      </c>
      <c r="AM56" s="59">
        <f t="shared" si="5"/>
        <v>609.65924408928413</v>
      </c>
      <c r="AN56" s="59">
        <f ca="1">AVERAGE(OFFSET($AM$3,0,0,'Données projet'!$E$10+1,1))-AVERAGE(OFFSET($H$3,0,0,'Données projet'!$E$10+1,1))</f>
        <v>302.36110224755532</v>
      </c>
      <c r="AO56" s="59">
        <f t="shared" si="36"/>
        <v>292.08583531469412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26.503598599086313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26.503598599086313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10.118749999999999</v>
      </c>
      <c r="BD56" s="12">
        <f>IF('Données projet'!$A$88&gt;35,BD55+BC56-BL55,IF(A56&lt;'Données projet'!$A$88,$BA$205^A56,IF(A56='Données projet'!$A$88,'Données projet'!$B$88,BD55+BC56-BL55)))</f>
        <v>203.10624999999999</v>
      </c>
      <c r="BE56" s="13">
        <f>BD56*VLOOKUP('Données projet'!$B$11,Paramètres!$A$1:$I$89,3,0)*VLOOKUP('Données projet'!$B$11,Paramètres!$A$1:$I$89,5,0)</f>
        <v>193.27590749999999</v>
      </c>
      <c r="BF56" s="13">
        <f t="shared" si="37"/>
        <v>48.263487344253761</v>
      </c>
      <c r="BG56" s="20">
        <f t="shared" si="7"/>
        <v>420.68111268707526</v>
      </c>
      <c r="BH56" s="59">
        <f t="shared" si="8"/>
        <v>677.75649089360854</v>
      </c>
      <c r="BI56" s="59">
        <f ca="1">AVERAGE(OFFSET($BH$3,0,0,'Données projet'!$E$11+1,1))-AVERAGE(OFFSET($H$3,0,0,'Données projet'!$E$11+1,1))</f>
        <v>697.21496579331188</v>
      </c>
      <c r="BJ56" s="59">
        <f t="shared" si="38"/>
        <v>215.64914236948769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30.88580220022088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30.88580220022088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5.2</v>
      </c>
      <c r="BY56" s="12">
        <f>IF('Données projet'!$A$114&gt;35,BY55+BX56-CG55,IF(A56&lt;'Données projet'!$A$114,$BV$205^A56,IF(A56='Données projet'!$A$114,'Données projet'!$B$114,BY55+BX56-CG55)))</f>
        <v>170.6</v>
      </c>
      <c r="BZ56" s="13">
        <f>BY56*VLOOKUP('Données projet'!$B$12,Paramètres!$A$1:$I$89,3,0)*VLOOKUP('Données projet'!$B$12,Paramètres!$A$1:$I$89,5,0)</f>
        <v>149.03616</v>
      </c>
      <c r="CA56" s="13">
        <f t="shared" si="39"/>
        <v>38.35946741279561</v>
      </c>
      <c r="CB56" s="20">
        <f t="shared" si="10"/>
        <v>326.38071774395229</v>
      </c>
      <c r="CC56" s="59">
        <f t="shared" si="11"/>
        <v>583.45609595048552</v>
      </c>
      <c r="CD56" s="59">
        <f ca="1">AVERAGE(OFFSET($CC$3,0,0,'Données projet'!$E$12+1,1))-AVERAGE(OFFSET($H$3,0,0,'Données projet'!$E$12+1,1))</f>
        <v>330.58463337575432</v>
      </c>
      <c r="CE56" s="59">
        <f t="shared" si="40"/>
        <v>285.43250599232192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26.012768570779826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26.012768570779826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6">
        <f t="shared" si="1"/>
        <v>183.33333333333334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189.76714074331781</v>
      </c>
      <c r="T57" s="59">
        <f t="shared" si="34"/>
        <v>458.38901659119472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</v>
      </c>
      <c r="AI57" s="13">
        <f>IF('Données projet'!$A$62&gt;35,AI56+AH57-AQ56,IF(A57&lt;'Données projet'!$A$62,$AF$205^A57,IF(A57='Données projet'!$A$62,'Données projet'!$B$62,AI56+AH57-AQ56)))</f>
        <v>225.99999999999989</v>
      </c>
      <c r="AJ57" s="13">
        <f>AI57*VLOOKUP('Données projet'!$B$10,Paramètres!$A$1:$I$89,3,0)*VLOOKUP('Données projet'!$B$10,Paramètres!$A$1:$I$89,5,0)</f>
        <v>165.70319999999992</v>
      </c>
      <c r="AK57" s="13">
        <f t="shared" si="35"/>
        <v>42.126254201367267</v>
      </c>
      <c r="AL57" s="20">
        <f t="shared" si="4"/>
        <v>361.96963273404782</v>
      </c>
      <c r="AM57" s="59">
        <f t="shared" si="5"/>
        <v>619.67400540138715</v>
      </c>
      <c r="AN57" s="59">
        <f ca="1">AVERAGE(OFFSET($AM$3,0,0,'Données projet'!$E$10+1,1))-AVERAGE(OFFSET($H$3,0,0,'Données projet'!$E$10+1,1))</f>
        <v>302.36110224755532</v>
      </c>
      <c r="AO57" s="59">
        <f t="shared" si="36"/>
        <v>292.08583531469412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25.983879196157154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25.983879196157154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10.118749999999999</v>
      </c>
      <c r="BD57" s="12">
        <f>IF('Données projet'!$A$88&gt;35,BD56+BC57-BL56,IF(A57&lt;'Données projet'!$A$88,$BA$205^A57,IF(A57='Données projet'!$A$88,'Données projet'!$B$88,BD56+BC57-BL56)))</f>
        <v>213.22499999999999</v>
      </c>
      <c r="BE57" s="13">
        <f>BD57*VLOOKUP('Données projet'!$B$11,Paramètres!$A$1:$I$89,3,0)*VLOOKUP('Données projet'!$B$11,Paramètres!$A$1:$I$89,5,0)</f>
        <v>202.90491</v>
      </c>
      <c r="BF57" s="13">
        <f t="shared" si="37"/>
        <v>50.382042247767416</v>
      </c>
      <c r="BG57" s="20">
        <f t="shared" si="7"/>
        <v>441.14144183152825</v>
      </c>
      <c r="BH57" s="59">
        <f t="shared" si="8"/>
        <v>698.84581449886764</v>
      </c>
      <c r="BI57" s="59">
        <f ca="1">AVERAGE(OFFSET($BH$3,0,0,'Données projet'!$E$11+1,1))-AVERAGE(OFFSET($H$3,0,0,'Données projet'!$E$11+1,1))</f>
        <v>697.21496579331188</v>
      </c>
      <c r="BJ57" s="59">
        <f t="shared" si="38"/>
        <v>215.64914236948769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30.280150457553745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30.280150457553745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5.2</v>
      </c>
      <c r="BY57" s="12">
        <f>IF('Données projet'!$A$114&gt;35,BY56+BX57-CG56,IF(A57&lt;'Données projet'!$A$114,$BV$205^A57,IF(A57='Données projet'!$A$114,'Données projet'!$B$114,BY56+BX57-CG56)))</f>
        <v>175.79999999999998</v>
      </c>
      <c r="BZ57" s="13">
        <f>BY57*VLOOKUP('Données projet'!$B$12,Paramètres!$A$1:$I$89,3,0)*VLOOKUP('Données projet'!$B$12,Paramètres!$A$1:$I$89,5,0)</f>
        <v>153.57888</v>
      </c>
      <c r="CA57" s="13">
        <f t="shared" si="39"/>
        <v>39.390779474606148</v>
      </c>
      <c r="CB57" s="20">
        <f t="shared" si="10"/>
        <v>336.08882358493901</v>
      </c>
      <c r="CC57" s="59">
        <f t="shared" si="11"/>
        <v>593.79319625227834</v>
      </c>
      <c r="CD57" s="59">
        <f ca="1">AVERAGE(OFFSET($CC$3,0,0,'Données projet'!$E$12+1,1))-AVERAGE(OFFSET($H$3,0,0,'Données projet'!$E$12+1,1))</f>
        <v>330.58463337575432</v>
      </c>
      <c r="CE57" s="59">
        <f t="shared" si="40"/>
        <v>285.43250599232192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25.502674045329002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25.502674045329002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6">
        <f t="shared" si="1"/>
        <v>183.33333333333334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189.76714074331781</v>
      </c>
      <c r="T58" s="59">
        <f t="shared" si="34"/>
        <v>458.38901659119472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232</v>
      </c>
      <c r="AG58" s="12">
        <f>VLOOKUP(A58,'Données projet'!$A$61:$I$81,9,0)</f>
        <v>6</v>
      </c>
      <c r="AH58" s="12">
        <f t="array" ref="AH58">INDEX(AG:AG,MIN(IF(ISNUMBER(AG58:AG254),ROW(AG58:AG254),"")))</f>
        <v>6</v>
      </c>
      <c r="AI58" s="13">
        <f>IF('Données projet'!$A$62&gt;35,AI57+AH58-AQ57,IF(A58&lt;'Données projet'!$A$62,$AF$205^A58,IF(A58='Données projet'!$A$62,'Données projet'!$B$62,AI57+AH58-AQ57)))</f>
        <v>231.99999999999989</v>
      </c>
      <c r="AJ58" s="13">
        <f>AI58*VLOOKUP('Données projet'!$B$10,Paramètres!$A$1:$I$89,3,0)*VLOOKUP('Données projet'!$B$10,Paramètres!$A$1:$I$89,5,0)</f>
        <v>170.1023999999999</v>
      </c>
      <c r="AK58" s="13">
        <f t="shared" si="35"/>
        <v>43.112956975087329</v>
      </c>
      <c r="AL58" s="20">
        <f t="shared" si="4"/>
        <v>371.35008006494354</v>
      </c>
      <c r="AM58" s="59">
        <f t="shared" si="5"/>
        <v>629.67253554541492</v>
      </c>
      <c r="AN58" s="59">
        <f ca="1">AVERAGE(OFFSET($AM$3,0,0,'Données projet'!$E$10+1,1))-AVERAGE(OFFSET($H$3,0,0,'Données projet'!$E$10+1,1))</f>
        <v>302.36110224755532</v>
      </c>
      <c r="AO58" s="59">
        <f t="shared" si="36"/>
        <v>292.08583531469412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13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30.005218805631099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30.005218805631099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10.118749999999999</v>
      </c>
      <c r="BD58" s="12">
        <f>IF('Données projet'!$A$88&gt;35,BD57+BC58-BL57,IF(A58&lt;'Données projet'!$A$88,$BA$205^A58,IF(A58='Données projet'!$A$88,'Données projet'!$B$88,BD57+BC58-BL57)))</f>
        <v>223.34375</v>
      </c>
      <c r="BE58" s="13">
        <f>BD58*VLOOKUP('Données projet'!$B$11,Paramètres!$A$1:$I$89,3,0)*VLOOKUP('Données projet'!$B$11,Paramètres!$A$1:$I$89,5,0)</f>
        <v>212.53391250000001</v>
      </c>
      <c r="BF58" s="13">
        <f t="shared" si="37"/>
        <v>52.4889222112512</v>
      </c>
      <c r="BG58" s="20">
        <f t="shared" si="7"/>
        <v>461.58143712209585</v>
      </c>
      <c r="BH58" s="59">
        <f t="shared" si="8"/>
        <v>719.90389260256723</v>
      </c>
      <c r="BI58" s="59">
        <f ca="1">AVERAGE(OFFSET($BH$3,0,0,'Données projet'!$E$11+1,1))-AVERAGE(OFFSET($H$3,0,0,'Données projet'!$E$11+1,1))</f>
        <v>697.21496579331188</v>
      </c>
      <c r="BJ58" s="59">
        <f t="shared" si="38"/>
        <v>215.64914236948769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29.686375176149227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29.686375176149227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181</v>
      </c>
      <c r="BW58" s="12">
        <f>VLOOKUP(A58,'Données projet'!$A$113:$I$133,9,0)</f>
        <v>5.2</v>
      </c>
      <c r="BX58" s="12">
        <f t="array" ref="BX58">INDEX(BW:BW,MIN(IF(ISNUMBER(BW58:BW254),ROW(BW58:BW254),"")))</f>
        <v>5.2</v>
      </c>
      <c r="BY58" s="12">
        <f>IF('Données projet'!$A$114&gt;35,BY57+BX58-CG57,IF(A58&lt;'Données projet'!$A$114,$BV$205^A58,IF(A58='Données projet'!$A$114,'Données projet'!$B$114,BY57+BX58-CG57)))</f>
        <v>180.99999999999997</v>
      </c>
      <c r="BZ58" s="13">
        <f>BY58*VLOOKUP('Données projet'!$B$12,Paramètres!$A$1:$I$89,3,0)*VLOOKUP('Données projet'!$B$12,Paramètres!$A$1:$I$89,5,0)</f>
        <v>158.1216</v>
      </c>
      <c r="CA58" s="13">
        <f t="shared" si="39"/>
        <v>40.418546284954211</v>
      </c>
      <c r="CB58" s="20">
        <f t="shared" si="10"/>
        <v>345.79075477962851</v>
      </c>
      <c r="CC58" s="59">
        <f t="shared" si="11"/>
        <v>604.11321026009989</v>
      </c>
      <c r="CD58" s="59">
        <f ca="1">AVERAGE(OFFSET($CC$3,0,0,'Données projet'!$E$12+1,1))-AVERAGE(OFFSET($H$3,0,0,'Données projet'!$E$12+1,1))</f>
        <v>330.58463337575432</v>
      </c>
      <c r="CE58" s="59">
        <f t="shared" si="40"/>
        <v>285.43250599232192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17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32.062133693618826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32.062133693618826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6">
        <f t="shared" si="1"/>
        <v>183.33333333333334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189.76714074331781</v>
      </c>
      <c r="T59" s="59">
        <f t="shared" si="34"/>
        <v>458.38901659119472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5.2</v>
      </c>
      <c r="AI59" s="13">
        <f>IF('Données projet'!$A$62&gt;35,AI58+AH59-AQ58,IF(A59&lt;'Données projet'!$A$62,$AF$205^A59,IF(A59='Données projet'!$A$62,'Données projet'!$B$62,AI58+AH59-AQ58)))</f>
        <v>224.19999999999987</v>
      </c>
      <c r="AJ59" s="13">
        <f>AI59*VLOOKUP('Données projet'!$B$10,Paramètres!$A$1:$I$89,3,0)*VLOOKUP('Données projet'!$B$10,Paramètres!$A$1:$I$89,5,0)</f>
        <v>164.38343999999992</v>
      </c>
      <c r="AK59" s="13">
        <f t="shared" si="35"/>
        <v>41.82965192331919</v>
      </c>
      <c r="AL59" s="20">
        <f t="shared" si="4"/>
        <v>359.15446843311406</v>
      </c>
      <c r="AM59" s="59">
        <f t="shared" si="5"/>
        <v>618.08428437173575</v>
      </c>
      <c r="AN59" s="59">
        <f ca="1">AVERAGE(OFFSET($AM$3,0,0,'Données projet'!$E$10+1,1))-AVERAGE(OFFSET($H$3,0,0,'Données projet'!$E$10+1,1))</f>
        <v>302.36110224755532</v>
      </c>
      <c r="AO59" s="59">
        <f t="shared" si="36"/>
        <v>292.08583531469412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29.416834766229034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29.416834766229034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10.118749999999999</v>
      </c>
      <c r="BD59" s="12">
        <f>IF('Données projet'!$A$88&gt;35,BD58+BC59-BL58,IF(A59&lt;'Données projet'!$A$88,$BA$205^A59,IF(A59='Données projet'!$A$88,'Données projet'!$B$88,BD58+BC59-BL58)))</f>
        <v>233.46250000000001</v>
      </c>
      <c r="BE59" s="13">
        <f>BD59*VLOOKUP('Données projet'!$B$11,Paramètres!$A$1:$I$89,3,0)*VLOOKUP('Données projet'!$B$11,Paramètres!$A$1:$I$89,5,0)</f>
        <v>222.16291500000003</v>
      </c>
      <c r="BF59" s="13">
        <f t="shared" si="37"/>
        <v>54.58471660275751</v>
      </c>
      <c r="BG59" s="20">
        <f t="shared" si="7"/>
        <v>482.00212504146936</v>
      </c>
      <c r="BH59" s="59">
        <f t="shared" si="8"/>
        <v>740.9319409800911</v>
      </c>
      <c r="BI59" s="59">
        <f ca="1">AVERAGE(OFFSET($BH$3,0,0,'Données projet'!$E$11+1,1))-AVERAGE(OFFSET($H$3,0,0,'Données projet'!$E$11+1,1))</f>
        <v>697.21496579331188</v>
      </c>
      <c r="BJ59" s="59">
        <f t="shared" si="38"/>
        <v>215.64914236948769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29.10424346584589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29.10424346584589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</v>
      </c>
      <c r="BY59" s="12">
        <f>IF('Données projet'!$A$114&gt;35,BY58+BX59-CG58,IF(A59&lt;'Données projet'!$A$114,$BV$205^A59,IF(A59='Données projet'!$A$114,'Données projet'!$B$114,BY58+BX59-CG58)))</f>
        <v>168.99999999999997</v>
      </c>
      <c r="BZ59" s="13">
        <f>BY59*VLOOKUP('Données projet'!$B$12,Paramètres!$A$1:$I$89,3,0)*VLOOKUP('Données projet'!$B$12,Paramètres!$A$1:$I$89,5,0)</f>
        <v>147.63839999999999</v>
      </c>
      <c r="CA59" s="13">
        <f t="shared" si="39"/>
        <v>38.041408878951295</v>
      </c>
      <c r="CB59" s="20">
        <f t="shared" si="10"/>
        <v>323.39233379750681</v>
      </c>
      <c r="CC59" s="59">
        <f t="shared" si="11"/>
        <v>582.32214973612849</v>
      </c>
      <c r="CD59" s="59">
        <f ca="1">AVERAGE(OFFSET($CC$3,0,0,'Données projet'!$E$12+1,1))-AVERAGE(OFFSET($H$3,0,0,'Données projet'!$E$12+1,1))</f>
        <v>330.58463337575432</v>
      </c>
      <c r="CE59" s="59">
        <f t="shared" si="40"/>
        <v>285.43250599232192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31.43341480785752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31.43341480785752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6">
        <f t="shared" si="1"/>
        <v>183.33333333333334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189.76714074331781</v>
      </c>
      <c r="T60" s="59">
        <f t="shared" si="34"/>
        <v>458.38901659119472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5.2</v>
      </c>
      <c r="AI60" s="13">
        <f>IF('Données projet'!$A$62&gt;35,AI59+AH60-AQ59,IF(A60&lt;'Données projet'!$A$62,$AF$205^A60,IF(A60='Données projet'!$A$62,'Données projet'!$B$62,AI59+AH60-AQ59)))</f>
        <v>229.39999999999986</v>
      </c>
      <c r="AJ60" s="13">
        <f>AI60*VLOOKUP('Données projet'!$B$10,Paramètres!$A$1:$I$89,3,0)*VLOOKUP('Données projet'!$B$10,Paramètres!$A$1:$I$89,5,0)</f>
        <v>168.19607999999988</v>
      </c>
      <c r="AK60" s="13">
        <f t="shared" si="35"/>
        <v>42.685755010634267</v>
      </c>
      <c r="AL60" s="20">
        <f t="shared" si="4"/>
        <v>367.28586264352111</v>
      </c>
      <c r="AM60" s="59">
        <f t="shared" si="5"/>
        <v>626.81250269419888</v>
      </c>
      <c r="AN60" s="59">
        <f ca="1">AVERAGE(OFFSET($AM$3,0,0,'Données projet'!$E$10+1,1))-AVERAGE(OFFSET($H$3,0,0,'Données projet'!$E$10+1,1))</f>
        <v>302.36110224755532</v>
      </c>
      <c r="AO60" s="59">
        <f t="shared" si="36"/>
        <v>292.08583531469412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28.839988578960817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28.839988578960817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10.118749999999999</v>
      </c>
      <c r="BD60" s="12">
        <f>IF('Données projet'!$A$88&gt;35,BD59+BC60-BL59,IF(A60&lt;'Données projet'!$A$88,$BA$205^A60,IF(A60='Données projet'!$A$88,'Données projet'!$B$88,BD59+BC60-BL59)))</f>
        <v>243.58125000000001</v>
      </c>
      <c r="BE60" s="13">
        <f>BD60*VLOOKUP('Données projet'!$B$11,Paramètres!$A$1:$I$89,3,0)*VLOOKUP('Données projet'!$B$11,Paramètres!$A$1:$I$89,5,0)</f>
        <v>231.79191750000001</v>
      </c>
      <c r="BF60" s="13">
        <f t="shared" si="37"/>
        <v>56.669960812295315</v>
      </c>
      <c r="BG60" s="20">
        <f t="shared" si="7"/>
        <v>502.40443806058096</v>
      </c>
      <c r="BH60" s="59">
        <f t="shared" si="8"/>
        <v>761.93107811125867</v>
      </c>
      <c r="BI60" s="59">
        <f ca="1">AVERAGE(OFFSET($BH$3,0,0,'Données projet'!$E$11+1,1))-AVERAGE(OFFSET($H$3,0,0,'Données projet'!$E$11+1,1))</f>
        <v>697.21496579331188</v>
      </c>
      <c r="BJ60" s="59">
        <f t="shared" si="38"/>
        <v>215.64914236948769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28.533527003316319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28.533527003316319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</v>
      </c>
      <c r="BY60" s="12">
        <f>IF('Données projet'!$A$114&gt;35,BY59+BX60-CG59,IF(A60&lt;'Données projet'!$A$114,$BV$205^A60,IF(A60='Données projet'!$A$114,'Données projet'!$B$114,BY59+BX60-CG59)))</f>
        <v>173.99999999999997</v>
      </c>
      <c r="BZ60" s="13">
        <f>BY60*VLOOKUP('Données projet'!$B$12,Paramètres!$A$1:$I$89,3,0)*VLOOKUP('Données projet'!$B$12,Paramètres!$A$1:$I$89,5,0)</f>
        <v>152.00640000000001</v>
      </c>
      <c r="CA60" s="13">
        <f t="shared" si="39"/>
        <v>39.03419401656145</v>
      </c>
      <c r="CB60" s="20">
        <f t="shared" si="10"/>
        <v>332.72903457884451</v>
      </c>
      <c r="CC60" s="59">
        <f t="shared" si="11"/>
        <v>592.25567462952222</v>
      </c>
      <c r="CD60" s="59">
        <f ca="1">AVERAGE(OFFSET($CC$3,0,0,'Données projet'!$E$12+1,1))-AVERAGE(OFFSET($H$3,0,0,'Données projet'!$E$12+1,1))</f>
        <v>330.58463337575432</v>
      </c>
      <c r="CE60" s="59">
        <f t="shared" si="40"/>
        <v>285.43250599232192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30.817024715965342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30.817024715965342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6">
        <f t="shared" si="1"/>
        <v>183.33333333333334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189.76714074331781</v>
      </c>
      <c r="T61" s="59">
        <f t="shared" si="34"/>
        <v>458.38901659119472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5.2</v>
      </c>
      <c r="AI61" s="13">
        <f>IF('Données projet'!$A$62&gt;35,AI60+AH61-AQ60,IF(A61&lt;'Données projet'!$A$62,$AF$205^A61,IF(A61='Données projet'!$A$62,'Données projet'!$B$62,AI60+AH61-AQ60)))</f>
        <v>234.59999999999985</v>
      </c>
      <c r="AJ61" s="13">
        <f>AI61*VLOOKUP('Données projet'!$B$10,Paramètres!$A$1:$I$89,3,0)*VLOOKUP('Données projet'!$B$10,Paramètres!$A$1:$I$89,5,0)</f>
        <v>172.0087199999999</v>
      </c>
      <c r="AK61" s="13">
        <f t="shared" si="35"/>
        <v>43.539602012936164</v>
      </c>
      <c r="AL61" s="20">
        <f t="shared" si="4"/>
        <v>375.41332750586366</v>
      </c>
      <c r="AM61" s="59">
        <f t="shared" si="5"/>
        <v>635.52643810455208</v>
      </c>
      <c r="AN61" s="59">
        <f ca="1">AVERAGE(OFFSET($AM$3,0,0,'Données projet'!$E$10+1,1))-AVERAGE(OFFSET($H$3,0,0,'Données projet'!$E$10+1,1))</f>
        <v>302.36110224755532</v>
      </c>
      <c r="AO61" s="59">
        <f t="shared" si="36"/>
        <v>292.08583531469412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28.274453993583496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28.274453993583496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253.7</v>
      </c>
      <c r="BB61" s="12">
        <f>VLOOKUP(A61,'Données projet'!$A$87:$I$107,9,0)</f>
        <v>10.118749999999999</v>
      </c>
      <c r="BC61" s="12">
        <f t="array" ref="BC61">INDEX(BB:BB,MIN(IF(ISNUMBER(BB61:BB257),ROW(BB61:BB257),"")))</f>
        <v>10.118749999999999</v>
      </c>
      <c r="BD61" s="12">
        <f>IF('Données projet'!$A$88&gt;35,BD60+BC61-BL60,IF(A61&lt;'Données projet'!$A$88,$BA$205^A61,IF(A61='Données projet'!$A$88,'Données projet'!$B$88,BD60+BC61-BL60)))</f>
        <v>253.70000000000002</v>
      </c>
      <c r="BE61" s="13">
        <f>BD61*VLOOKUP('Données projet'!$B$11,Paramètres!$A$1:$I$89,3,0)*VLOOKUP('Données projet'!$B$11,Paramètres!$A$1:$I$89,5,0)</f>
        <v>241.42092000000002</v>
      </c>
      <c r="BF61" s="13">
        <f t="shared" si="37"/>
        <v>58.745143231289255</v>
      </c>
      <c r="BG61" s="20">
        <f t="shared" si="7"/>
        <v>522.78922679449545</v>
      </c>
      <c r="BH61" s="59">
        <f t="shared" si="8"/>
        <v>782.90233739318387</v>
      </c>
      <c r="BI61" s="59">
        <f ca="1">AVERAGE(OFFSET($BH$3,0,0,'Données projet'!$E$11+1,1))-AVERAGE(OFFSET($H$3,0,0,'Données projet'!$E$11+1,1))</f>
        <v>697.21496579331188</v>
      </c>
      <c r="BJ61" s="59">
        <f t="shared" si="38"/>
        <v>215.64914236948769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44.93</v>
      </c>
      <c r="BM61" s="16">
        <f>IF(ISNA(VLOOKUP(A61,'Données projet'!$A$87:$I$107,5,0)),0%,VLOOKUP(A61,'Données projet'!$A$87:$I$107,5,0)*VLOOKUP('Données projet'!$B$11,Paramètres!$A$1:$I$89,7,0))</f>
        <v>0.43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48.297872392272851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48.297872392272851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</v>
      </c>
      <c r="BY61" s="12">
        <f>IF('Données projet'!$A$114&gt;35,BY60+BX61-CG60,IF(A61&lt;'Données projet'!$A$114,$BV$205^A61,IF(A61='Données projet'!$A$114,'Données projet'!$B$114,BY60+BX61-CG60)))</f>
        <v>178.99999999999997</v>
      </c>
      <c r="BZ61" s="13">
        <f>BY61*VLOOKUP('Données projet'!$B$12,Paramètres!$A$1:$I$89,3,0)*VLOOKUP('Données projet'!$B$12,Paramètres!$A$1:$I$89,5,0)</f>
        <v>156.37440000000001</v>
      </c>
      <c r="CA61" s="13">
        <f t="shared" si="39"/>
        <v>40.023663524293205</v>
      </c>
      <c r="CB61" s="20">
        <f t="shared" si="10"/>
        <v>342.05996063814399</v>
      </c>
      <c r="CC61" s="59">
        <f t="shared" si="11"/>
        <v>602.17307123683236</v>
      </c>
      <c r="CD61" s="59">
        <f ca="1">AVERAGE(OFFSET($CC$3,0,0,'Données projet'!$E$12+1,1))-AVERAGE(OFFSET($H$3,0,0,'Données projet'!$E$12+1,1))</f>
        <v>330.58463337575432</v>
      </c>
      <c r="CE61" s="59">
        <f t="shared" si="40"/>
        <v>285.43250599232192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30.212721657814335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30.212721657814335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6">
        <f t="shared" si="1"/>
        <v>183.33333333333334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189.76714074331781</v>
      </c>
      <c r="T62" s="59">
        <f t="shared" si="34"/>
        <v>458.38901659119472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5.2</v>
      </c>
      <c r="AI62" s="13">
        <f>IF('Données projet'!$A$62&gt;35,AI61+AH62-AQ61,IF(A62&lt;'Données projet'!$A$62,$AF$205^A62,IF(A62='Données projet'!$A$62,'Données projet'!$B$62,AI61+AH62-AQ61)))</f>
        <v>239.79999999999984</v>
      </c>
      <c r="AJ62" s="13">
        <f>AI62*VLOOKUP('Données projet'!$B$10,Paramètres!$A$1:$I$89,3,0)*VLOOKUP('Données projet'!$B$10,Paramètres!$A$1:$I$89,5,0)</f>
        <v>175.82135999999988</v>
      </c>
      <c r="AK62" s="13">
        <f t="shared" si="35"/>
        <v>44.391248695306977</v>
      </c>
      <c r="AL62" s="20">
        <f t="shared" si="4"/>
        <v>383.53696014432609</v>
      </c>
      <c r="AM62" s="59">
        <f t="shared" si="5"/>
        <v>644.22636733816887</v>
      </c>
      <c r="AN62" s="59">
        <f ca="1">AVERAGE(OFFSET($AM$3,0,0,'Données projet'!$E$10+1,1))-AVERAGE(OFFSET($H$3,0,0,'Données projet'!$E$10+1,1))</f>
        <v>302.36110224755532</v>
      </c>
      <c r="AO62" s="59">
        <f t="shared" si="36"/>
        <v>292.08583531469412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27.720009196483385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27.720009196483385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9.75</v>
      </c>
      <c r="BD62" s="12">
        <f>IF('Données projet'!$A$88&gt;35,BD61+BC62-BL61,IF(A62&lt;'Données projet'!$A$88,$BA$205^A62,IF(A62='Données projet'!$A$88,'Données projet'!$B$88,BD61+BC62-BL61)))</f>
        <v>218.52000000000004</v>
      </c>
      <c r="BE62" s="13">
        <f>BD62*VLOOKUP('Données projet'!$B$11,Paramètres!$A$1:$I$89,3,0)*VLOOKUP('Données projet'!$B$11,Paramètres!$A$1:$I$89,5,0)</f>
        <v>207.94363200000006</v>
      </c>
      <c r="BF62" s="13">
        <f t="shared" si="37"/>
        <v>51.485960516377354</v>
      </c>
      <c r="BG62" s="20">
        <f t="shared" si="7"/>
        <v>451.83987363269057</v>
      </c>
      <c r="BH62" s="59">
        <f t="shared" si="8"/>
        <v>712.5292808265333</v>
      </c>
      <c r="BI62" s="59">
        <f ca="1">AVERAGE(OFFSET($BH$3,0,0,'Données projet'!$E$11+1,1))-AVERAGE(OFFSET($H$3,0,0,'Données projet'!$E$11+1,1))</f>
        <v>697.21496579331188</v>
      </c>
      <c r="BJ62" s="59">
        <f t="shared" si="38"/>
        <v>215.64914236948769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47.350780573453726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47.350780573453726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</v>
      </c>
      <c r="BY62" s="12">
        <f>IF('Données projet'!$A$114&gt;35,BY61+BX62-CG61,IF(A62&lt;'Données projet'!$A$114,$BV$205^A62,IF(A62='Données projet'!$A$114,'Données projet'!$B$114,BY61+BX62-CG61)))</f>
        <v>183.99999999999997</v>
      </c>
      <c r="BZ62" s="13">
        <f>BY62*VLOOKUP('Données projet'!$B$12,Paramètres!$A$1:$I$89,3,0)*VLOOKUP('Données projet'!$B$12,Paramètres!$A$1:$I$89,5,0)</f>
        <v>160.7424</v>
      </c>
      <c r="CA62" s="13">
        <f t="shared" si="39"/>
        <v>41.009920657227809</v>
      </c>
      <c r="CB62" s="20">
        <f t="shared" si="10"/>
        <v>351.38529181133845</v>
      </c>
      <c r="CC62" s="59">
        <f t="shared" si="11"/>
        <v>612.07469900518117</v>
      </c>
      <c r="CD62" s="59">
        <f ca="1">AVERAGE(OFFSET($CC$3,0,0,'Données projet'!$E$12+1,1))-AVERAGE(OFFSET($H$3,0,0,'Données projet'!$E$12+1,1))</f>
        <v>330.58463337575432</v>
      </c>
      <c r="CE62" s="59">
        <f t="shared" si="40"/>
        <v>285.43250599232192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29.620268614045198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29.620268614045198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6">
        <f t="shared" si="1"/>
        <v>183.33333333333334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189.76714074331781</v>
      </c>
      <c r="T63" s="59">
        <f t="shared" si="34"/>
        <v>458.38901659119472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245</v>
      </c>
      <c r="AG63" s="12">
        <f>VLOOKUP(A63,'Données projet'!$A$61:$I$81,9,0)</f>
        <v>5.2</v>
      </c>
      <c r="AH63" s="12">
        <f t="array" ref="AH63">INDEX(AG:AG,MIN(IF(ISNUMBER(AG63:AG259),ROW(AG63:AG259),"")))</f>
        <v>5.2</v>
      </c>
      <c r="AI63" s="13">
        <f>IF('Données projet'!$A$62&gt;35,AI62+AH63-AQ62,IF(A63&lt;'Données projet'!$A$62,$AF$205^A63,IF(A63='Données projet'!$A$62,'Données projet'!$B$62,AI62+AH63-AQ62)))</f>
        <v>244.99999999999983</v>
      </c>
      <c r="AJ63" s="13">
        <f>AI63*VLOOKUP('Données projet'!$B$10,Paramètres!$A$1:$I$89,3,0)*VLOOKUP('Données projet'!$B$10,Paramètres!$A$1:$I$89,5,0)</f>
        <v>179.63399999999987</v>
      </c>
      <c r="AK63" s="13">
        <f t="shared" si="35"/>
        <v>45.240748266194686</v>
      </c>
      <c r="AL63" s="20">
        <f t="shared" si="4"/>
        <v>391.65685323028885</v>
      </c>
      <c r="AM63" s="59">
        <f t="shared" si="5"/>
        <v>652.91255956176633</v>
      </c>
      <c r="AN63" s="59">
        <f ca="1">AVERAGE(OFFSET($AM$3,0,0,'Données projet'!$E$10+1,1))-AVERAGE(OFFSET($H$3,0,0,'Données projet'!$E$10+1,1))</f>
        <v>302.36110224755532</v>
      </c>
      <c r="AO63" s="59">
        <f t="shared" si="36"/>
        <v>292.08583531469412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12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31.358776076208038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31.358776076208038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9.75</v>
      </c>
      <c r="BD63" s="12">
        <f>IF('Données projet'!$A$88&gt;35,BD62+BC63-BL62,IF(A63&lt;'Données projet'!$A$88,$BA$205^A63,IF(A63='Données projet'!$A$88,'Données projet'!$B$88,BD62+BC63-BL62)))</f>
        <v>228.27000000000004</v>
      </c>
      <c r="BE63" s="13">
        <f>BD63*VLOOKUP('Données projet'!$B$11,Paramètres!$A$1:$I$89,3,0)*VLOOKUP('Données projet'!$B$11,Paramètres!$A$1:$I$89,5,0)</f>
        <v>217.22173200000003</v>
      </c>
      <c r="BF63" s="13">
        <f t="shared" si="37"/>
        <v>53.51059698665523</v>
      </c>
      <c r="BG63" s="20">
        <f t="shared" si="7"/>
        <v>471.52547298509126</v>
      </c>
      <c r="BH63" s="59">
        <f t="shared" si="8"/>
        <v>732.7811793165688</v>
      </c>
      <c r="BI63" s="59">
        <f ca="1">AVERAGE(OFFSET($BH$3,0,0,'Données projet'!$E$11+1,1))-AVERAGE(OFFSET($H$3,0,0,'Données projet'!$E$11+1,1))</f>
        <v>697.21496579331188</v>
      </c>
      <c r="BJ63" s="59">
        <f t="shared" si="38"/>
        <v>215.64914236948769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46.422260647532674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46.422260647532674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189</v>
      </c>
      <c r="BW63" s="12">
        <f>VLOOKUP(A63,'Données projet'!$A$113:$I$133,9,0)</f>
        <v>5</v>
      </c>
      <c r="BX63" s="12">
        <f t="array" ref="BX63">INDEX(BW:BW,MIN(IF(ISNUMBER(BW63:BW259),ROW(BW63:BW259),"")))</f>
        <v>5</v>
      </c>
      <c r="BY63" s="12">
        <f>IF('Données projet'!$A$114&gt;35,BY62+BX63-CG62,IF(A63&lt;'Données projet'!$A$114,$BV$205^A63,IF(A63='Données projet'!$A$114,'Données projet'!$B$114,BY62+BX63-CG62)))</f>
        <v>188.99999999999997</v>
      </c>
      <c r="BZ63" s="13">
        <f>BY63*VLOOKUP('Données projet'!$B$12,Paramètres!$A$1:$I$89,3,0)*VLOOKUP('Données projet'!$B$12,Paramètres!$A$1:$I$89,5,0)</f>
        <v>165.1104</v>
      </c>
      <c r="CA63" s="13">
        <f t="shared" si="39"/>
        <v>41.993062739333446</v>
      </c>
      <c r="CB63" s="20">
        <f t="shared" si="10"/>
        <v>360.70519760433905</v>
      </c>
      <c r="CC63" s="59">
        <f t="shared" si="11"/>
        <v>621.96090393581653</v>
      </c>
      <c r="CD63" s="59">
        <f ca="1">AVERAGE(OFFSET($CC$3,0,0,'Données projet'!$E$12+1,1))-AVERAGE(OFFSET($H$3,0,0,'Données projet'!$E$12+1,1))</f>
        <v>330.58463337575432</v>
      </c>
      <c r="CE63" s="59">
        <f t="shared" si="40"/>
        <v>285.43250599232192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16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35.6837170071964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35.6837170071964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6">
        <f t="shared" si="1"/>
        <v>183.33333333333334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189.76714074331781</v>
      </c>
      <c r="T64" s="59">
        <f t="shared" si="34"/>
        <v>458.38901659119472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4.4000000000000004</v>
      </c>
      <c r="AI64" s="13">
        <f>IF('Données projet'!$A$62&gt;35,AI63+AH64-AQ63,IF(A64&lt;'Données projet'!$A$62,$AF$205^A64,IF(A64='Données projet'!$A$62,'Données projet'!$B$62,AI63+AH64-AQ63)))</f>
        <v>237.39999999999984</v>
      </c>
      <c r="AJ64" s="13">
        <f>AI64*VLOOKUP('Données projet'!$B$10,Paramètres!$A$1:$I$89,3,0)*VLOOKUP('Données projet'!$B$10,Paramètres!$A$1:$I$89,5,0)</f>
        <v>174.06167999999988</v>
      </c>
      <c r="AK64" s="13">
        <f t="shared" si="35"/>
        <v>43.998450960214953</v>
      </c>
      <c r="AL64" s="20">
        <f t="shared" si="4"/>
        <v>379.78806142237414</v>
      </c>
      <c r="AM64" s="59">
        <f t="shared" si="5"/>
        <v>641.60024286750354</v>
      </c>
      <c r="AN64" s="59">
        <f ca="1">AVERAGE(OFFSET($AM$3,0,0,'Données projet'!$E$10+1,1))-AVERAGE(OFFSET($H$3,0,0,'Données projet'!$E$10+1,1))</f>
        <v>302.36110224755532</v>
      </c>
      <c r="AO64" s="59">
        <f t="shared" si="36"/>
        <v>292.08583531469412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30.743849604318374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30.743849604318374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9.75</v>
      </c>
      <c r="BD64" s="12">
        <f>IF('Données projet'!$A$88&gt;35,BD63+BC64-BL63,IF(A64&lt;'Données projet'!$A$88,$BA$205^A64,IF(A64='Données projet'!$A$88,'Données projet'!$B$88,BD63+BC64-BL63)))</f>
        <v>238.02000000000004</v>
      </c>
      <c r="BE64" s="13">
        <f>BD64*VLOOKUP('Données projet'!$B$11,Paramètres!$A$1:$I$89,3,0)*VLOOKUP('Données projet'!$B$11,Paramètres!$A$1:$I$89,5,0)</f>
        <v>226.49983200000003</v>
      </c>
      <c r="BF64" s="13">
        <f t="shared" si="37"/>
        <v>55.525189238843865</v>
      </c>
      <c r="BG64" s="20">
        <f t="shared" si="7"/>
        <v>491.19357865765318</v>
      </c>
      <c r="BH64" s="59">
        <f t="shared" si="8"/>
        <v>753.00576010278246</v>
      </c>
      <c r="BI64" s="59">
        <f ca="1">AVERAGE(OFFSET($BH$3,0,0,'Données projet'!$E$11+1,1))-AVERAGE(OFFSET($H$3,0,0,'Données projet'!$E$11+1,1))</f>
        <v>697.21496579331188</v>
      </c>
      <c r="BJ64" s="59">
        <f t="shared" si="38"/>
        <v>215.64914236948769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45.5119484310177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45.5119484310177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177.39999999999998</v>
      </c>
      <c r="BZ64" s="13">
        <f>BY64*VLOOKUP('Données projet'!$B$12,Paramètres!$A$1:$I$89,3,0)*VLOOKUP('Données projet'!$B$12,Paramètres!$A$1:$I$89,5,0)</f>
        <v>154.97664</v>
      </c>
      <c r="CA64" s="13">
        <f t="shared" si="39"/>
        <v>39.707387607123913</v>
      </c>
      <c r="CB64" s="20">
        <f t="shared" si="10"/>
        <v>339.07468141574077</v>
      </c>
      <c r="CC64" s="59">
        <f t="shared" si="11"/>
        <v>600.88686286087011</v>
      </c>
      <c r="CD64" s="59">
        <f ca="1">AVERAGE(OFFSET($CC$3,0,0,'Données projet'!$E$12+1,1))-AVERAGE(OFFSET($H$3,0,0,'Données projet'!$E$12+1,1))</f>
        <v>330.58463337575432</v>
      </c>
      <c r="CE64" s="59">
        <f t="shared" si="40"/>
        <v>285.43250599232192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34.983981081603545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34.983981081603545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6">
        <f t="shared" si="1"/>
        <v>183.33333333333334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189.76714074331781</v>
      </c>
      <c r="T65" s="59">
        <f t="shared" si="34"/>
        <v>458.38901659119472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4.4000000000000004</v>
      </c>
      <c r="AI65" s="13">
        <f>IF('Données projet'!$A$62&gt;35,AI64+AH65-AQ64,IF(A65&lt;'Données projet'!$A$62,$AF$205^A65,IF(A65='Données projet'!$A$62,'Données projet'!$B$62,AI64+AH65-AQ64)))</f>
        <v>241.79999999999984</v>
      </c>
      <c r="AJ65" s="13">
        <f>AI65*VLOOKUP('Données projet'!$B$10,Paramètres!$A$1:$I$89,3,0)*VLOOKUP('Données projet'!$B$10,Paramètres!$A$1:$I$89,5,0)</f>
        <v>177.28775999999988</v>
      </c>
      <c r="AK65" s="13">
        <f t="shared" si="35"/>
        <v>44.718230568721658</v>
      </c>
      <c r="AL65" s="20">
        <f t="shared" si="4"/>
        <v>386.66043357385661</v>
      </c>
      <c r="AM65" s="59">
        <f t="shared" si="5"/>
        <v>649.01943653350793</v>
      </c>
      <c r="AN65" s="59">
        <f ca="1">AVERAGE(OFFSET($AM$3,0,0,'Données projet'!$E$10+1,1))-AVERAGE(OFFSET($H$3,0,0,'Données projet'!$E$10+1,1))</f>
        <v>302.36110224755532</v>
      </c>
      <c r="AO65" s="59">
        <f t="shared" si="36"/>
        <v>292.08583531469412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30.140981465474354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30.140981465474354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9.75</v>
      </c>
      <c r="BD65" s="12">
        <f>IF('Données projet'!$A$88&gt;35,BD64+BC65-BL64,IF(A65&lt;'Données projet'!$A$88,$BA$205^A65,IF(A65='Données projet'!$A$88,'Données projet'!$B$88,BD64+BC65-BL64)))</f>
        <v>247.77000000000004</v>
      </c>
      <c r="BE65" s="13">
        <f>BD65*VLOOKUP('Données projet'!$B$11,Paramètres!$A$1:$I$89,3,0)*VLOOKUP('Données projet'!$B$11,Paramètres!$A$1:$I$89,5,0)</f>
        <v>235.77793200000005</v>
      </c>
      <c r="BF65" s="13">
        <f t="shared" si="37"/>
        <v>57.530195773489787</v>
      </c>
      <c r="BG65" s="20">
        <f t="shared" si="7"/>
        <v>510.84498920549476</v>
      </c>
      <c r="BH65" s="59">
        <f t="shared" si="8"/>
        <v>773.20399216514602</v>
      </c>
      <c r="BI65" s="59">
        <f ca="1">AVERAGE(OFFSET($BH$3,0,0,'Données projet'!$E$11+1,1))-AVERAGE(OFFSET($H$3,0,0,'Données projet'!$E$11+1,1))</f>
        <v>697.21496579331188</v>
      </c>
      <c r="BJ65" s="59">
        <f t="shared" si="38"/>
        <v>215.64914236948769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44.619486881832955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44.619486881832955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181.79999999999998</v>
      </c>
      <c r="BZ65" s="13">
        <f>BY65*VLOOKUP('Données projet'!$B$12,Paramètres!$A$1:$I$89,3,0)*VLOOKUP('Données projet'!$B$12,Paramètres!$A$1:$I$89,5,0)</f>
        <v>158.82048</v>
      </c>
      <c r="CA65" s="13">
        <f t="shared" si="39"/>
        <v>40.57635691759311</v>
      </c>
      <c r="CB65" s="20">
        <f t="shared" si="10"/>
        <v>347.28282429814129</v>
      </c>
      <c r="CC65" s="59">
        <f t="shared" si="11"/>
        <v>609.64182725779256</v>
      </c>
      <c r="CD65" s="59">
        <f ca="1">AVERAGE(OFFSET($CC$3,0,0,'Données projet'!$E$12+1,1))-AVERAGE(OFFSET($H$3,0,0,'Données projet'!$E$12+1,1))</f>
        <v>330.58463337575432</v>
      </c>
      <c r="CE65" s="59">
        <f t="shared" si="40"/>
        <v>285.43250599232192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34.297966550714797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34.297966550714797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6">
        <f t="shared" si="1"/>
        <v>183.33333333333334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189.76714074331781</v>
      </c>
      <c r="T66" s="59">
        <f t="shared" si="34"/>
        <v>458.38901659119472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4.4000000000000004</v>
      </c>
      <c r="AI66" s="13">
        <f>IF('Données projet'!$A$62&gt;35,AI65+AH66-AQ65,IF(A66&lt;'Données projet'!$A$62,$AF$205^A66,IF(A66='Données projet'!$A$62,'Données projet'!$B$62,AI65+AH66-AQ65)))</f>
        <v>246.19999999999985</v>
      </c>
      <c r="AJ66" s="13">
        <f>AI66*VLOOKUP('Données projet'!$B$10,Paramètres!$A$1:$I$89,3,0)*VLOOKUP('Données projet'!$B$10,Paramètres!$A$1:$I$89,5,0)</f>
        <v>180.5138399999999</v>
      </c>
      <c r="AK66" s="13">
        <f t="shared" si="35"/>
        <v>45.43648712647358</v>
      </c>
      <c r="AL66" s="20">
        <f t="shared" si="4"/>
        <v>393.53015307860801</v>
      </c>
      <c r="AM66" s="59">
        <f t="shared" si="5"/>
        <v>656.42649142201412</v>
      </c>
      <c r="AN66" s="59">
        <f ca="1">AVERAGE(OFFSET($AM$3,0,0,'Données projet'!$E$10+1,1))-AVERAGE(OFFSET($H$3,0,0,'Données projet'!$E$10+1,1))</f>
        <v>302.36110224755532</v>
      </c>
      <c r="AO66" s="59">
        <f t="shared" si="36"/>
        <v>292.08583531469412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29.549935203119809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29.549935203119809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9.75</v>
      </c>
      <c r="BD66" s="12">
        <f>IF('Données projet'!$A$88&gt;35,BD65+BC66-BL65,IF(A66&lt;'Données projet'!$A$88,$BA$205^A66,IF(A66='Données projet'!$A$88,'Données projet'!$B$88,BD65+BC66-BL65)))</f>
        <v>257.52000000000004</v>
      </c>
      <c r="BE66" s="13">
        <f>BD66*VLOOKUP('Données projet'!$B$11,Paramètres!$A$1:$I$89,3,0)*VLOOKUP('Données projet'!$B$11,Paramètres!$A$1:$I$89,5,0)</f>
        <v>245.05603200000004</v>
      </c>
      <c r="BF66" s="13">
        <f t="shared" si="37"/>
        <v>59.52603696328277</v>
      </c>
      <c r="BG66" s="20">
        <f t="shared" si="7"/>
        <v>530.48043677771761</v>
      </c>
      <c r="BH66" s="59">
        <f t="shared" si="8"/>
        <v>793.37677512112373</v>
      </c>
      <c r="BI66" s="59">
        <f ca="1">AVERAGE(OFFSET($BH$3,0,0,'Données projet'!$E$11+1,1))-AVERAGE(OFFSET($H$3,0,0,'Données projet'!$E$11+1,1))</f>
        <v>697.21496579331188</v>
      </c>
      <c r="BJ66" s="59">
        <f t="shared" si="38"/>
        <v>215.64914236948769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43.744525959279933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43.744525959279933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186.2</v>
      </c>
      <c r="BZ66" s="13">
        <f>BY66*VLOOKUP('Données projet'!$B$12,Paramètres!$A$1:$I$89,3,0)*VLOOKUP('Données projet'!$B$12,Paramètres!$A$1:$I$89,5,0)</f>
        <v>162.66432</v>
      </c>
      <c r="CA66" s="13">
        <f t="shared" si="39"/>
        <v>41.442881393745317</v>
      </c>
      <c r="CB66" s="20">
        <f t="shared" si="10"/>
        <v>355.4867090941064</v>
      </c>
      <c r="CC66" s="59">
        <f t="shared" si="11"/>
        <v>618.38304743751246</v>
      </c>
      <c r="CD66" s="59">
        <f ca="1">AVERAGE(OFFSET($CC$3,0,0,'Données projet'!$E$12+1,1))-AVERAGE(OFFSET($H$3,0,0,'Données projet'!$E$12+1,1))</f>
        <v>330.58463337575432</v>
      </c>
      <c r="CE66" s="59">
        <f t="shared" si="40"/>
        <v>285.43250599232192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33.625404346349228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33.625404346349228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6">
        <f t="shared" si="1"/>
        <v>183.33333333333334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189.76714074331781</v>
      </c>
      <c r="T67" s="59">
        <f t="shared" si="34"/>
        <v>458.38901659119472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4.4000000000000004</v>
      </c>
      <c r="AI67" s="13">
        <f>IF('Données projet'!$A$62&gt;35,AI66+AH67-AQ66,IF(A67&lt;'Données projet'!$A$62,$AF$205^A67,IF(A67='Données projet'!$A$62,'Données projet'!$B$62,AI66+AH67-AQ66)))</f>
        <v>250.59999999999985</v>
      </c>
      <c r="AJ67" s="13">
        <f>AI67*VLOOKUP('Données projet'!$B$10,Paramètres!$A$1:$I$89,3,0)*VLOOKUP('Données projet'!$B$10,Paramètres!$A$1:$I$89,5,0)</f>
        <v>183.7399199999999</v>
      </c>
      <c r="AK67" s="13">
        <f t="shared" si="35"/>
        <v>46.153250992914103</v>
      </c>
      <c r="AL67" s="20">
        <f t="shared" si="4"/>
        <v>400.39727281265851</v>
      </c>
      <c r="AM67" s="59">
        <f t="shared" si="5"/>
        <v>663.82162497221327</v>
      </c>
      <c r="AN67" s="59">
        <f ca="1">AVERAGE(OFFSET($AM$3,0,0,'Données projet'!$E$10+1,1))-AVERAGE(OFFSET($H$3,0,0,'Données projet'!$E$10+1,1))</f>
        <v>302.36110224755532</v>
      </c>
      <c r="AO67" s="59">
        <f t="shared" si="36"/>
        <v>292.08583531469412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28.970478997467414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28.970478997467414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9.75</v>
      </c>
      <c r="BD67" s="12">
        <f>IF('Données projet'!$A$88&gt;35,BD66+BC67-BL66,IF(A67&lt;'Données projet'!$A$88,$BA$205^A67,IF(A67='Données projet'!$A$88,'Données projet'!$B$88,BD66+BC67-BL66)))</f>
        <v>267.27000000000004</v>
      </c>
      <c r="BE67" s="13">
        <f>BD67*VLOOKUP('Données projet'!$B$11,Paramètres!$A$1:$I$89,3,0)*VLOOKUP('Données projet'!$B$11,Paramètres!$A$1:$I$89,5,0)</f>
        <v>254.33413200000004</v>
      </c>
      <c r="BF67" s="13">
        <f t="shared" si="37"/>
        <v>61.513099546301312</v>
      </c>
      <c r="BG67" s="20">
        <f t="shared" si="7"/>
        <v>550.10059494314157</v>
      </c>
      <c r="BH67" s="59">
        <f t="shared" si="8"/>
        <v>813.52494710269639</v>
      </c>
      <c r="BI67" s="59">
        <f ca="1">AVERAGE(OFFSET($BH$3,0,0,'Données projet'!$E$11+1,1))-AVERAGE(OFFSET($H$3,0,0,'Données projet'!$E$11+1,1))</f>
        <v>697.21496579331188</v>
      </c>
      <c r="BJ67" s="59">
        <f t="shared" si="38"/>
        <v>215.64914236948769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42.886722486744709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42.886722486744709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190.6</v>
      </c>
      <c r="BZ67" s="13">
        <f>BY67*VLOOKUP('Données projet'!$B$12,Paramètres!$A$1:$I$89,3,0)*VLOOKUP('Données projet'!$B$12,Paramètres!$A$1:$I$89,5,0)</f>
        <v>166.50816</v>
      </c>
      <c r="CA67" s="13">
        <f t="shared" si="39"/>
        <v>42.307025456487715</v>
      </c>
      <c r="CB67" s="20">
        <f t="shared" si="10"/>
        <v>363.68644800338274</v>
      </c>
      <c r="CC67" s="59">
        <f t="shared" si="11"/>
        <v>627.11080016293749</v>
      </c>
      <c r="CD67" s="59">
        <f ca="1">AVERAGE(OFFSET($CC$3,0,0,'Données projet'!$E$12+1,1))-AVERAGE(OFFSET($H$3,0,0,'Données projet'!$E$12+1,1))</f>
        <v>330.58463337575432</v>
      </c>
      <c r="CE67" s="59">
        <f t="shared" si="40"/>
        <v>285.43250599232192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32.966030676588829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32.966030676588829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6">
        <f t="shared" ref="H68:H131" si="56">(B68+E68+F68)*44/12+(C68+D68)*0.475*44/12</f>
        <v>183.33333333333334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189.76714074331781</v>
      </c>
      <c r="T68" s="59">
        <f t="shared" si="34"/>
        <v>458.38901659119472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255</v>
      </c>
      <c r="AG68" s="12">
        <f>VLOOKUP(A68,'Données projet'!$A$61:$I$81,9,0)</f>
        <v>4.4000000000000004</v>
      </c>
      <c r="AH68" s="12">
        <f t="array" ref="AH68">INDEX(AG:AG,MIN(IF(ISNUMBER(AG68:AG264),ROW(AG68:AG264),"")))</f>
        <v>4.4000000000000004</v>
      </c>
      <c r="AI68" s="13">
        <f>IF('Données projet'!$A$62&gt;35,AI67+AH68-AQ67,IF(A68&lt;'Données projet'!$A$62,$AF$205^A68,IF(A68='Données projet'!$A$62,'Données projet'!$B$62,AI67+AH68-AQ67)))</f>
        <v>254.99999999999986</v>
      </c>
      <c r="AJ68" s="13">
        <f>AI68*VLOOKUP('Données projet'!$B$10,Paramètres!$A$1:$I$89,3,0)*VLOOKUP('Données projet'!$B$10,Paramètres!$A$1:$I$89,5,0)</f>
        <v>186.96599999999989</v>
      </c>
      <c r="AK68" s="13">
        <f t="shared" si="35"/>
        <v>46.868551400324606</v>
      </c>
      <c r="AL68" s="20">
        <f t="shared" ref="AL68:AL131" si="58">(AJ68+AK68)*0.475*44/12</f>
        <v>407.26184368889852</v>
      </c>
      <c r="AM68" s="59">
        <f t="shared" ref="AM68:AM131" si="59">AL68+(AD68+AE68)*44/12</f>
        <v>671.20504980535372</v>
      </c>
      <c r="AN68" s="59">
        <f ca="1">AVERAGE(OFFSET($AM$3,0,0,'Données projet'!$E$10+1,1))-AVERAGE(OFFSET($H$3,0,0,'Données projet'!$E$10+1,1))</f>
        <v>302.36110224755532</v>
      </c>
      <c r="AO68" s="59">
        <f t="shared" si="36"/>
        <v>292.08583531469412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11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32.236196647728406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32.236196647728406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9.75</v>
      </c>
      <c r="BD68" s="12">
        <f>IF('Données projet'!$A$88&gt;35,BD67+BC68-BL67,IF(A68&lt;'Données projet'!$A$88,$BA$205^A68,IF(A68='Données projet'!$A$88,'Données projet'!$B$88,BD67+BC68-BL67)))</f>
        <v>277.02000000000004</v>
      </c>
      <c r="BE68" s="13">
        <f>BD68*VLOOKUP('Données projet'!$B$11,Paramètres!$A$1:$I$89,3,0)*VLOOKUP('Données projet'!$B$11,Paramètres!$A$1:$I$89,5,0)</f>
        <v>263.61223200000001</v>
      </c>
      <c r="BF68" s="13">
        <f t="shared" si="37"/>
        <v>63.491740445176504</v>
      </c>
      <c r="BG68" s="20">
        <f t="shared" ref="BG68:BG131" si="61">(BE68+BF68)*0.475*44/12</f>
        <v>569.70608534201574</v>
      </c>
      <c r="BH68" s="59">
        <f t="shared" ref="BH68:BH131" si="62">BG68+(AY68+AZ68)*44/12</f>
        <v>833.649291458471</v>
      </c>
      <c r="BI68" s="59">
        <f ca="1">AVERAGE(OFFSET($BH$3,0,0,'Données projet'!$E$11+1,1))-AVERAGE(OFFSET($H$3,0,0,'Données projet'!$E$11+1,1))</f>
        <v>697.21496579331188</v>
      </c>
      <c r="BJ68" s="59">
        <f t="shared" si="38"/>
        <v>215.64914236948769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42.045740017097444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42.045740017097444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195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195</v>
      </c>
      <c r="BZ68" s="13">
        <f>BY68*VLOOKUP('Données projet'!$B$12,Paramètres!$A$1:$I$89,3,0)*VLOOKUP('Données projet'!$B$12,Paramètres!$A$1:$I$89,5,0)</f>
        <v>170.35200000000003</v>
      </c>
      <c r="CA68" s="13">
        <f t="shared" si="39"/>
        <v>43.168850382694487</v>
      </c>
      <c r="CB68" s="20">
        <f t="shared" ref="CB68:CB131" si="64">(BZ68+CA68)*0.475*44/12</f>
        <v>371.88214774985954</v>
      </c>
      <c r="CC68" s="59">
        <f t="shared" ref="CC68:CC131" si="65">CB68+(BT68+BU68)*44/12</f>
        <v>635.8253538663148</v>
      </c>
      <c r="CD68" s="59">
        <f ca="1">AVERAGE(OFFSET($CC$3,0,0,'Données projet'!$E$12+1,1))-AVERAGE(OFFSET($H$3,0,0,'Données projet'!$E$12+1,1))</f>
        <v>330.58463337575432</v>
      </c>
      <c r="CE68" s="59">
        <f t="shared" si="40"/>
        <v>285.43250599232192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15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38.548602979276112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38.548602979276112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6">
        <f t="shared" si="56"/>
        <v>183.33333333333334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189.76714074331781</v>
      </c>
      <c r="T69" s="59">
        <f t="shared" ref="T69:T132" si="88">$T$3</f>
        <v>458.38901659119472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3.8</v>
      </c>
      <c r="AI69" s="13">
        <f>IF('Données projet'!$A$62&gt;35,AI68+AH69-AQ68,IF(A69&lt;'Données projet'!$A$62,$AF$205^A69,IF(A69='Données projet'!$A$62,'Données projet'!$B$62,AI68+AH69-AQ68)))</f>
        <v>247.79999999999984</v>
      </c>
      <c r="AJ69" s="13">
        <f>AI69*VLOOKUP('Données projet'!$B$10,Paramètres!$A$1:$I$89,3,0)*VLOOKUP('Données projet'!$B$10,Paramètres!$A$1:$I$89,5,0)</f>
        <v>181.68695999999989</v>
      </c>
      <c r="AK69" s="13">
        <f t="shared" ref="AK69:AK132" si="89">EXP(-1.0587+0.8836*LN(AJ69)+0.284)</f>
        <v>45.697299679537338</v>
      </c>
      <c r="AL69" s="20">
        <f t="shared" si="58"/>
        <v>396.02758560852732</v>
      </c>
      <c r="AM69" s="59">
        <f t="shared" si="59"/>
        <v>660.48064472571446</v>
      </c>
      <c r="AN69" s="59">
        <f ca="1">AVERAGE(OFFSET($AM$3,0,0,'Données projet'!$E$10+1,1))-AVERAGE(OFFSET($H$3,0,0,'Données projet'!$E$10+1,1))</f>
        <v>302.36110224755532</v>
      </c>
      <c r="AO69" s="59">
        <f t="shared" ref="AO69:AO132" si="90">$AO$3</f>
        <v>292.08583531469412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31.60406449360493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31.60406449360493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286.77</v>
      </c>
      <c r="BB69" s="12">
        <f>VLOOKUP(A69,'Données projet'!$A$87:$I$107,9,0)</f>
        <v>9.75</v>
      </c>
      <c r="BC69" s="12">
        <f t="array" ref="BC69">INDEX(BB:BB,MIN(IF(ISNUMBER(BB69:BB265),ROW(BB69:BB265),"")))</f>
        <v>9.75</v>
      </c>
      <c r="BD69" s="12">
        <f>IF('Données projet'!$A$88&gt;35,BD68+BC69-BL68,IF(A69&lt;'Données projet'!$A$88,$BA$205^A69,IF(A69='Données projet'!$A$88,'Données projet'!$B$88,BD68+BC69-BL68)))</f>
        <v>286.77000000000004</v>
      </c>
      <c r="BE69" s="13">
        <f>BD69*VLOOKUP('Données projet'!$B$11,Paramètres!$A$1:$I$89,3,0)*VLOOKUP('Données projet'!$B$11,Paramètres!$A$1:$I$89,5,0)</f>
        <v>272.89033200000006</v>
      </c>
      <c r="BF69" s="13">
        <f t="shared" ref="BF69:BF132" si="91">EXP(-1.0587+0.8836*LN(BE69)+0.284)</f>
        <v>65.462290033470694</v>
      </c>
      <c r="BG69" s="20">
        <f t="shared" si="61"/>
        <v>589.29748337496153</v>
      </c>
      <c r="BH69" s="59">
        <f t="shared" si="62"/>
        <v>853.75054249214861</v>
      </c>
      <c r="BI69" s="59">
        <f ca="1">AVERAGE(OFFSET($BH$3,0,0,'Données projet'!$E$11+1,1))-AVERAGE(OFFSET($H$3,0,0,'Données projet'!$E$11+1,1))</f>
        <v>697.21496579331188</v>
      </c>
      <c r="BJ69" s="59">
        <f t="shared" ref="BJ69:BJ132" si="92">$BJ$3</f>
        <v>215.64914236948769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49.91</v>
      </c>
      <c r="BM69" s="16">
        <f>IF(ISNA(VLOOKUP(A69,'Données projet'!$A$87:$I$107,5,0)),0%,VLOOKUP(A69,'Données projet'!$A$87:$I$107,5,0)*VLOOKUP('Données projet'!$B$11,Paramètres!$A$1:$I$89,7,0))</f>
        <v>0.43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63.79779831451831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63.79779831451831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4.2</v>
      </c>
      <c r="BY69" s="12">
        <f>IF('Données projet'!$A$114&gt;35,BY68+BX69-CG68,IF(A69&lt;'Données projet'!$A$114,$BV$205^A69,IF(A69='Données projet'!$A$114,'Données projet'!$B$114,BY68+BX69-CG68)))</f>
        <v>184.2</v>
      </c>
      <c r="BZ69" s="13">
        <f>BY69*VLOOKUP('Données projet'!$B$12,Paramètres!$A$1:$I$89,3,0)*VLOOKUP('Données projet'!$B$12,Paramètres!$A$1:$I$89,5,0)</f>
        <v>160.91712000000001</v>
      </c>
      <c r="CA69" s="13">
        <f t="shared" ref="CA69:CA132" si="93">EXP(-1.0587+0.8836*LN(BZ69)+0.284)</f>
        <v>41.049305520788089</v>
      </c>
      <c r="CB69" s="20">
        <f t="shared" si="64"/>
        <v>351.75819111537254</v>
      </c>
      <c r="CC69" s="59">
        <f t="shared" si="65"/>
        <v>616.21125023255968</v>
      </c>
      <c r="CD69" s="59">
        <f ca="1">AVERAGE(OFFSET($CC$3,0,0,'Données projet'!$E$12+1,1))-AVERAGE(OFFSET($H$3,0,0,'Données projet'!$E$12+1,1))</f>
        <v>330.58463337575432</v>
      </c>
      <c r="CE69" s="59">
        <f t="shared" ref="CE69:CE132" si="94">$CE$3</f>
        <v>285.43250599232192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37.792688387178679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37.792688387178679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6">
        <f t="shared" si="56"/>
        <v>183.33333333333334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189.76714074331781</v>
      </c>
      <c r="T70" s="59">
        <f t="shared" si="88"/>
        <v>458.38901659119472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3.8</v>
      </c>
      <c r="AI70" s="13">
        <f>IF('Données projet'!$A$62&gt;35,AI69+AH70-AQ69,IF(A70&lt;'Données projet'!$A$62,$AF$205^A70,IF(A70='Données projet'!$A$62,'Données projet'!$B$62,AI69+AH70-AQ69)))</f>
        <v>251.59999999999985</v>
      </c>
      <c r="AJ70" s="13">
        <f>AI70*VLOOKUP('Données projet'!$B$10,Paramètres!$A$1:$I$89,3,0)*VLOOKUP('Données projet'!$B$10,Paramètres!$A$1:$I$89,5,0)</f>
        <v>184.47311999999988</v>
      </c>
      <c r="AK70" s="13">
        <f t="shared" si="89"/>
        <v>46.315946745200115</v>
      </c>
      <c r="AL70" s="20">
        <f t="shared" si="58"/>
        <v>401.95762458122334</v>
      </c>
      <c r="AM70" s="59">
        <f t="shared" si="59"/>
        <v>666.91169188944025</v>
      </c>
      <c r="AN70" s="59">
        <f ca="1">AVERAGE(OFFSET($AM$3,0,0,'Données projet'!$E$10+1,1))-AVERAGE(OFFSET($H$3,0,0,'Données projet'!$E$10+1,1))</f>
        <v>302.36110224755532</v>
      </c>
      <c r="AO70" s="59">
        <f t="shared" si="90"/>
        <v>292.08583531469412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30.984328065461273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30.984328065461273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9.2624999999999993</v>
      </c>
      <c r="BD70" s="12">
        <f>IF('Données projet'!$A$88&gt;35,BD69+BC70-BL69,IF(A70&lt;'Données projet'!$A$88,$BA$205^A70,IF(A70='Données projet'!$A$88,'Données projet'!$B$88,BD69+BC70-BL69)))</f>
        <v>246.12250000000003</v>
      </c>
      <c r="BE70" s="13">
        <f>BD70*VLOOKUP('Données projet'!$B$11,Paramètres!$A$1:$I$89,3,0)*VLOOKUP('Données projet'!$B$11,Paramètres!$A$1:$I$89,5,0)</f>
        <v>234.210171</v>
      </c>
      <c r="BF70" s="13">
        <f t="shared" si="91"/>
        <v>57.192055644634451</v>
      </c>
      <c r="BG70" s="20">
        <f t="shared" si="61"/>
        <v>507.52554473940489</v>
      </c>
      <c r="BH70" s="59">
        <f t="shared" si="62"/>
        <v>772.4796120476218</v>
      </c>
      <c r="BI70" s="59">
        <f ca="1">AVERAGE(OFFSET($BH$3,0,0,'Données projet'!$E$11+1,1))-AVERAGE(OFFSET($H$3,0,0,'Données projet'!$E$11+1,1))</f>
        <v>697.21496579331188</v>
      </c>
      <c r="BJ70" s="59">
        <f t="shared" si="92"/>
        <v>215.64914236948769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62.546762402385255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62.546762402385255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4.2</v>
      </c>
      <c r="BY70" s="12">
        <f>IF('Données projet'!$A$114&gt;35,BY69+BX70-CG69,IF(A70&lt;'Données projet'!$A$114,$BV$205^A70,IF(A70='Données projet'!$A$114,'Données projet'!$B$114,BY69+BX70-CG69)))</f>
        <v>188.39999999999998</v>
      </c>
      <c r="BZ70" s="13">
        <f>BY70*VLOOKUP('Données projet'!$B$12,Paramètres!$A$1:$I$89,3,0)*VLOOKUP('Données projet'!$B$12,Paramètres!$A$1:$I$89,5,0)</f>
        <v>164.58624</v>
      </c>
      <c r="CA70" s="13">
        <f t="shared" si="93"/>
        <v>41.875247075991886</v>
      </c>
      <c r="CB70" s="20">
        <f t="shared" si="64"/>
        <v>359.58708999068585</v>
      </c>
      <c r="CC70" s="59">
        <f t="shared" si="65"/>
        <v>624.54115729890282</v>
      </c>
      <c r="CD70" s="59">
        <f ca="1">AVERAGE(OFFSET($CC$3,0,0,'Données projet'!$E$12+1,1))-AVERAGE(OFFSET($H$3,0,0,'Données projet'!$E$12+1,1))</f>
        <v>330.58463337575432</v>
      </c>
      <c r="CE70" s="59">
        <f t="shared" si="94"/>
        <v>285.43250599232192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37.051596819169895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37.051596819169895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6">
        <f t="shared" si="56"/>
        <v>183.33333333333334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189.76714074331781</v>
      </c>
      <c r="T71" s="59">
        <f t="shared" si="88"/>
        <v>458.38901659119472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3.8</v>
      </c>
      <c r="AI71" s="13">
        <f>IF('Données projet'!$A$62&gt;35,AI70+AH71-AQ70,IF(A71&lt;'Données projet'!$A$62,$AF$205^A71,IF(A71='Données projet'!$A$62,'Données projet'!$B$62,AI70+AH71-AQ70)))</f>
        <v>255.39999999999986</v>
      </c>
      <c r="AJ71" s="13">
        <f>AI71*VLOOKUP('Données projet'!$B$10,Paramètres!$A$1:$I$89,3,0)*VLOOKUP('Données projet'!$B$10,Paramètres!$A$1:$I$89,5,0)</f>
        <v>187.2592799999999</v>
      </c>
      <c r="AK71" s="13">
        <f t="shared" si="89"/>
        <v>46.933507123390406</v>
      </c>
      <c r="AL71" s="20">
        <f t="shared" si="58"/>
        <v>407.88577090657145</v>
      </c>
      <c r="AM71" s="59">
        <f t="shared" si="59"/>
        <v>673.33215503379029</v>
      </c>
      <c r="AN71" s="59">
        <f ca="1">AVERAGE(OFFSET($AM$3,0,0,'Données projet'!$E$10+1,1))-AVERAGE(OFFSET($H$3,0,0,'Données projet'!$E$10+1,1))</f>
        <v>302.36110224755532</v>
      </c>
      <c r="AO71" s="59">
        <f t="shared" si="90"/>
        <v>292.08583531469412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30.376744290671617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30.376744290671617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9.2624999999999993</v>
      </c>
      <c r="BD71" s="12">
        <f>IF('Données projet'!$A$88&gt;35,BD70+BC71-BL70,IF(A71&lt;'Données projet'!$A$88,$BA$205^A71,IF(A71='Données projet'!$A$88,'Données projet'!$B$88,BD70+BC71-BL70)))</f>
        <v>255.38500000000002</v>
      </c>
      <c r="BE71" s="13">
        <f>BD71*VLOOKUP('Données projet'!$B$11,Paramètres!$A$1:$I$89,3,0)*VLOOKUP('Données projet'!$B$11,Paramètres!$A$1:$I$89,5,0)</f>
        <v>243.02436600000001</v>
      </c>
      <c r="BF71" s="13">
        <f t="shared" si="91"/>
        <v>59.089762548878838</v>
      </c>
      <c r="BG71" s="20">
        <f t="shared" si="61"/>
        <v>526.18210722263063</v>
      </c>
      <c r="BH71" s="59">
        <f t="shared" si="62"/>
        <v>791.62849134984947</v>
      </c>
      <c r="BI71" s="59">
        <f ca="1">AVERAGE(OFFSET($BH$3,0,0,'Données projet'!$E$11+1,1))-AVERAGE(OFFSET($H$3,0,0,'Données projet'!$E$11+1,1))</f>
        <v>697.21496579331188</v>
      </c>
      <c r="BJ71" s="59">
        <f t="shared" si="92"/>
        <v>215.64914236948769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61.320258541432572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61.320258541432572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4.2</v>
      </c>
      <c r="BY71" s="12">
        <f>IF('Données projet'!$A$114&gt;35,BY70+BX71-CG70,IF(A71&lt;'Données projet'!$A$114,$BV$205^A71,IF(A71='Données projet'!$A$114,'Données projet'!$B$114,BY70+BX71-CG70)))</f>
        <v>192.59999999999997</v>
      </c>
      <c r="BZ71" s="13">
        <f>BY71*VLOOKUP('Données projet'!$B$12,Paramètres!$A$1:$I$89,3,0)*VLOOKUP('Données projet'!$B$12,Paramètres!$A$1:$I$89,5,0)</f>
        <v>168.25536</v>
      </c>
      <c r="CA71" s="13">
        <f t="shared" si="93"/>
        <v>42.699047982710887</v>
      </c>
      <c r="CB71" s="20">
        <f t="shared" si="64"/>
        <v>367.41226056988808</v>
      </c>
      <c r="CC71" s="59">
        <f t="shared" si="65"/>
        <v>632.85864469710691</v>
      </c>
      <c r="CD71" s="59">
        <f ca="1">AVERAGE(OFFSET($CC$3,0,0,'Données projet'!$E$12+1,1))-AVERAGE(OFFSET($H$3,0,0,'Données projet'!$E$12+1,1))</f>
        <v>330.58463337575432</v>
      </c>
      <c r="CE71" s="59">
        <f t="shared" si="94"/>
        <v>285.43250599232192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36.325037604788541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36.325037604788541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6">
        <f t="shared" si="56"/>
        <v>183.33333333333334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189.76714074331781</v>
      </c>
      <c r="T72" s="59">
        <f t="shared" si="88"/>
        <v>458.38901659119472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3.8</v>
      </c>
      <c r="AI72" s="13">
        <f>IF('Données projet'!$A$62&gt;35,AI71+AH72-AQ71,IF(A72&lt;'Données projet'!$A$62,$AF$205^A72,IF(A72='Données projet'!$A$62,'Données projet'!$B$62,AI71+AH72-AQ71)))</f>
        <v>259.19999999999987</v>
      </c>
      <c r="AJ72" s="13">
        <f>AI72*VLOOKUP('Données projet'!$B$10,Paramètres!$A$1:$I$89,3,0)*VLOOKUP('Données projet'!$B$10,Paramètres!$A$1:$I$89,5,0)</f>
        <v>190.04543999999993</v>
      </c>
      <c r="AK72" s="13">
        <f t="shared" si="89"/>
        <v>47.549998850241536</v>
      </c>
      <c r="AL72" s="20">
        <f t="shared" si="58"/>
        <v>413.81205599750388</v>
      </c>
      <c r="AM72" s="59">
        <f t="shared" si="59"/>
        <v>679.74221634757043</v>
      </c>
      <c r="AN72" s="59">
        <f ca="1">AVERAGE(OFFSET($AM$3,0,0,'Données projet'!$E$10+1,1))-AVERAGE(OFFSET($H$3,0,0,'Données projet'!$E$10+1,1))</f>
        <v>302.36110224755532</v>
      </c>
      <c r="AO72" s="59">
        <f t="shared" si="90"/>
        <v>292.08583531469412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29.781074863116078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29.781074863116078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9.2624999999999993</v>
      </c>
      <c r="BD72" s="12">
        <f>IF('Données projet'!$A$88&gt;35,BD71+BC72-BL71,IF(A72&lt;'Données projet'!$A$88,$BA$205^A72,IF(A72='Données projet'!$A$88,'Données projet'!$B$88,BD71+BC72-BL71)))</f>
        <v>264.64750000000004</v>
      </c>
      <c r="BE72" s="13">
        <f>BD72*VLOOKUP('Données projet'!$B$11,Paramètres!$A$1:$I$89,3,0)*VLOOKUP('Données projet'!$B$11,Paramètres!$A$1:$I$89,5,0)</f>
        <v>251.83856100000003</v>
      </c>
      <c r="BF72" s="13">
        <f t="shared" si="91"/>
        <v>60.979472967975418</v>
      </c>
      <c r="BG72" s="20">
        <f t="shared" si="61"/>
        <v>544.82474249422387</v>
      </c>
      <c r="BH72" s="59">
        <f t="shared" si="62"/>
        <v>810.75490284429043</v>
      </c>
      <c r="BI72" s="59">
        <f ca="1">AVERAGE(OFFSET($BH$3,0,0,'Données projet'!$E$11+1,1))-AVERAGE(OFFSET($H$3,0,0,'Données projet'!$E$11+1,1))</f>
        <v>697.21496579331188</v>
      </c>
      <c r="BJ72" s="59">
        <f t="shared" si="92"/>
        <v>215.64914236948769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60.117805673099681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60.117805673099681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4.2</v>
      </c>
      <c r="BY72" s="12">
        <f>IF('Données projet'!$A$114&gt;35,BY71+BX72-CG71,IF(A72&lt;'Données projet'!$A$114,$BV$205^A72,IF(A72='Données projet'!$A$114,'Données projet'!$B$114,BY71+BX72-CG71)))</f>
        <v>196.79999999999995</v>
      </c>
      <c r="BZ72" s="13">
        <f>BY72*VLOOKUP('Données projet'!$B$12,Paramètres!$A$1:$I$89,3,0)*VLOOKUP('Données projet'!$B$12,Paramètres!$A$1:$I$89,5,0)</f>
        <v>171.92447999999999</v>
      </c>
      <c r="CA72" s="13">
        <f t="shared" si="93"/>
        <v>43.520760297647755</v>
      </c>
      <c r="CB72" s="20">
        <f t="shared" si="64"/>
        <v>375.23379351840316</v>
      </c>
      <c r="CC72" s="59">
        <f t="shared" si="65"/>
        <v>641.16395386846966</v>
      </c>
      <c r="CD72" s="59">
        <f ca="1">AVERAGE(OFFSET($CC$3,0,0,'Données projet'!$E$12+1,1))-AVERAGE(OFFSET($H$3,0,0,'Données projet'!$E$12+1,1))</f>
        <v>330.58463337575432</v>
      </c>
      <c r="CE72" s="59">
        <f t="shared" si="94"/>
        <v>285.43250599232192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35.612725773443842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35.612725773443842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6">
        <f t="shared" si="56"/>
        <v>183.33333333333334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189.76714074331781</v>
      </c>
      <c r="T73" s="59">
        <f t="shared" si="88"/>
        <v>458.38901659119472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3.8</v>
      </c>
      <c r="AH73" s="12">
        <f t="array" ref="AH73">INDEX(AG:AG,MIN(IF(ISNUMBER(AG73:AG269),ROW(AG73:AG269),"")))</f>
        <v>3.8</v>
      </c>
      <c r="AI73" s="13">
        <f>IF('Données projet'!$A$62&gt;35,AI72+AH73-AQ72,IF(A73&lt;'Données projet'!$A$62,$AF$205^A73,IF(A73='Données projet'!$A$62,'Données projet'!$B$62,AI72+AH73-AQ72)))</f>
        <v>262.99999999999989</v>
      </c>
      <c r="AJ73" s="13">
        <f>AI73*VLOOKUP('Données projet'!$B$10,Paramètres!$A$1:$I$89,3,0)*VLOOKUP('Données projet'!$B$10,Paramètres!$A$1:$I$89,5,0)</f>
        <v>192.83159999999992</v>
      </c>
      <c r="AK73" s="13">
        <f t="shared" si="89"/>
        <v>48.165439402688776</v>
      </c>
      <c r="AL73" s="20">
        <f t="shared" si="58"/>
        <v>419.73651029301612</v>
      </c>
      <c r="AM73" s="59">
        <f t="shared" si="59"/>
        <v>686.14205443002561</v>
      </c>
      <c r="AN73" s="59">
        <f ca="1">AVERAGE(OFFSET($AM$3,0,0,'Données projet'!$E$10+1,1))-AVERAGE(OFFSET($H$3,0,0,'Données projet'!$E$10+1,1))</f>
        <v>302.36110224755532</v>
      </c>
      <c r="AO73" s="59">
        <f t="shared" si="90"/>
        <v>292.08583531469412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10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32.682368943488726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32.682368943488726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9.2624999999999993</v>
      </c>
      <c r="BD73" s="12">
        <f>IF('Données projet'!$A$88&gt;35,BD72+BC73-BL72,IF(A73&lt;'Données projet'!$A$88,$BA$205^A73,IF(A73='Données projet'!$A$88,'Données projet'!$B$88,BD72+BC73-BL72)))</f>
        <v>273.91000000000003</v>
      </c>
      <c r="BE73" s="13">
        <f>BD73*VLOOKUP('Données projet'!$B$11,Paramètres!$A$1:$I$89,3,0)*VLOOKUP('Données projet'!$B$11,Paramètres!$A$1:$I$89,5,0)</f>
        <v>260.65275600000001</v>
      </c>
      <c r="BF73" s="13">
        <f t="shared" si="91"/>
        <v>62.861498844981192</v>
      </c>
      <c r="BG73" s="20">
        <f t="shared" si="61"/>
        <v>563.45399385500889</v>
      </c>
      <c r="BH73" s="59">
        <f t="shared" si="62"/>
        <v>829.85953799201843</v>
      </c>
      <c r="BI73" s="59">
        <f ca="1">AVERAGE(OFFSET($BH$3,0,0,'Données projet'!$E$11+1,1))-AVERAGE(OFFSET($H$3,0,0,'Données projet'!$E$11+1,1))</f>
        <v>697.21496579331188</v>
      </c>
      <c r="BJ73" s="59">
        <f t="shared" si="92"/>
        <v>215.64914236948769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58.938932172090972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58.938932172090972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201</v>
      </c>
      <c r="BW73" s="12">
        <f>VLOOKUP(A73,'Données projet'!$A$113:$I$133,9,0)</f>
        <v>4.2</v>
      </c>
      <c r="BX73" s="12">
        <f t="array" ref="BX73">INDEX(BW:BW,MIN(IF(ISNUMBER(BW73:BW269),ROW(BW73:BW269),"")))</f>
        <v>4.2</v>
      </c>
      <c r="BY73" s="12">
        <f>IF('Données projet'!$A$114&gt;35,BY72+BX73-CG72,IF(A73&lt;'Données projet'!$A$114,$BV$205^A73,IF(A73='Données projet'!$A$114,'Données projet'!$B$114,BY72+BX73-CG72)))</f>
        <v>200.99999999999994</v>
      </c>
      <c r="BZ73" s="13">
        <f>BY73*VLOOKUP('Données projet'!$B$12,Paramètres!$A$1:$I$89,3,0)*VLOOKUP('Données projet'!$B$12,Paramètres!$A$1:$I$89,5,0)</f>
        <v>175.59359999999995</v>
      </c>
      <c r="CA73" s="13">
        <f t="shared" si="93"/>
        <v>44.340433728638573</v>
      </c>
      <c r="CB73" s="20">
        <f t="shared" si="64"/>
        <v>383.05177541071203</v>
      </c>
      <c r="CC73" s="59">
        <f t="shared" si="65"/>
        <v>649.45731954772145</v>
      </c>
      <c r="CD73" s="59">
        <f ca="1">AVERAGE(OFFSET($CC$3,0,0,'Données projet'!$E$12+1,1))-AVERAGE(OFFSET($H$3,0,0,'Données projet'!$E$12+1,1))</f>
        <v>330.58463337575432</v>
      </c>
      <c r="CE73" s="59">
        <f t="shared" si="94"/>
        <v>285.43250599232192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14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40.728130262475609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40.728130262475609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6">
        <f t="shared" si="56"/>
        <v>183.33333333333334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189.76714074331781</v>
      </c>
      <c r="T74" s="59">
        <f t="shared" si="88"/>
        <v>458.38901659119472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3.4</v>
      </c>
      <c r="AI74" s="13">
        <f>IF('Données projet'!$A$62&gt;35,AI73+AH74-AQ73,IF(A74&lt;'Données projet'!$A$62,$AF$205^A74,IF(A74='Données projet'!$A$62,'Données projet'!$B$62,AI73+AH74-AQ73)))</f>
        <v>256.39999999999986</v>
      </c>
      <c r="AJ74" s="13">
        <f>AI74*VLOOKUP('Données projet'!$B$10,Paramètres!$A$1:$I$89,3,0)*VLOOKUP('Données projet'!$B$10,Paramètres!$A$1:$I$89,5,0)</f>
        <v>187.99247999999989</v>
      </c>
      <c r="AK74" s="13">
        <f t="shared" si="89"/>
        <v>47.095844674053957</v>
      </c>
      <c r="AL74" s="20">
        <f t="shared" si="58"/>
        <v>409.44549880731046</v>
      </c>
      <c r="AM74" s="59">
        <f t="shared" si="59"/>
        <v>676.3181798853584</v>
      </c>
      <c r="AN74" s="59">
        <f ca="1">AVERAGE(OFFSET($AM$3,0,0,'Données projet'!$E$10+1,1))-AVERAGE(OFFSET($H$3,0,0,'Données projet'!$E$10+1,1))</f>
        <v>302.36110224755532</v>
      </c>
      <c r="AO74" s="59">
        <f t="shared" si="90"/>
        <v>292.08583531469412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32.04148762278362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32.04148762278362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9.2624999999999993</v>
      </c>
      <c r="BD74" s="12">
        <f>IF('Données projet'!$A$88&gt;35,BD73+BC74-BL73,IF(A74&lt;'Données projet'!$A$88,$BA$205^A74,IF(A74='Données projet'!$A$88,'Données projet'!$B$88,BD73+BC74-BL73)))</f>
        <v>283.17250000000001</v>
      </c>
      <c r="BE74" s="13">
        <f>BD74*VLOOKUP('Données projet'!$B$11,Paramètres!$A$1:$I$89,3,0)*VLOOKUP('Données projet'!$B$11,Paramètres!$A$1:$I$89,5,0)</f>
        <v>269.46695100000005</v>
      </c>
      <c r="BF74" s="13">
        <f t="shared" si="91"/>
        <v>64.736129828806455</v>
      </c>
      <c r="BG74" s="20">
        <f t="shared" si="61"/>
        <v>582.070365776838</v>
      </c>
      <c r="BH74" s="59">
        <f t="shared" si="62"/>
        <v>848.94304685488601</v>
      </c>
      <c r="BI74" s="59">
        <f ca="1">AVERAGE(OFFSET($BH$3,0,0,'Données projet'!$E$11+1,1))-AVERAGE(OFFSET($H$3,0,0,'Données projet'!$E$11+1,1))</f>
        <v>697.21496579331188</v>
      </c>
      <c r="BJ74" s="59">
        <f t="shared" si="92"/>
        <v>215.64914236948769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57.783175661395205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57.783175661395205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190.39999999999995</v>
      </c>
      <c r="BZ74" s="13">
        <f>BY74*VLOOKUP('Données projet'!$B$12,Paramètres!$A$1:$I$89,3,0)*VLOOKUP('Données projet'!$B$12,Paramètres!$A$1:$I$89,5,0)</f>
        <v>166.33343999999997</v>
      </c>
      <c r="CA74" s="13">
        <f t="shared" si="93"/>
        <v>42.267796944897761</v>
      </c>
      <c r="CB74" s="20">
        <f t="shared" si="64"/>
        <v>363.31382101236346</v>
      </c>
      <c r="CC74" s="59">
        <f t="shared" si="65"/>
        <v>630.18650209041141</v>
      </c>
      <c r="CD74" s="59">
        <f ca="1">AVERAGE(OFFSET($CC$3,0,0,'Données projet'!$E$12+1,1))-AVERAGE(OFFSET($H$3,0,0,'Données projet'!$E$12+1,1))</f>
        <v>330.58463337575432</v>
      </c>
      <c r="CE74" s="59">
        <f t="shared" si="94"/>
        <v>285.43250599232192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39.929476469735008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39.929476469735008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6">
        <f t="shared" si="56"/>
        <v>183.33333333333334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189.76714074331781</v>
      </c>
      <c r="T75" s="59">
        <f t="shared" si="88"/>
        <v>458.38901659119472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3.4</v>
      </c>
      <c r="AI75" s="13">
        <f>IF('Données projet'!$A$62&gt;35,AI74+AH75-AQ74,IF(A75&lt;'Données projet'!$A$62,$AF$205^A75,IF(A75='Données projet'!$A$62,'Données projet'!$B$62,AI74+AH75-AQ74)))</f>
        <v>259.79999999999984</v>
      </c>
      <c r="AJ75" s="13">
        <f>AI75*VLOOKUP('Données projet'!$B$10,Paramètres!$A$1:$I$89,3,0)*VLOOKUP('Données projet'!$B$10,Paramètres!$A$1:$I$89,5,0)</f>
        <v>190.4853599999999</v>
      </c>
      <c r="AK75" s="13">
        <f t="shared" si="89"/>
        <v>47.647243117546552</v>
      </c>
      <c r="AL75" s="20">
        <f t="shared" si="58"/>
        <v>414.74761709639341</v>
      </c>
      <c r="AM75" s="59">
        <f t="shared" si="59"/>
        <v>682.07933133391452</v>
      </c>
      <c r="AN75" s="59">
        <f ca="1">AVERAGE(OFFSET($AM$3,0,0,'Données projet'!$E$10+1,1))-AVERAGE(OFFSET($H$3,0,0,'Données projet'!$E$10+1,1))</f>
        <v>302.36110224755532</v>
      </c>
      <c r="AO75" s="59">
        <f t="shared" si="90"/>
        <v>292.08583531469412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31.413173593878536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31.413173593878536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9.2624999999999993</v>
      </c>
      <c r="BD75" s="12">
        <f>IF('Données projet'!$A$88&gt;35,BD74+BC75-BL74,IF(A75&lt;'Données projet'!$A$88,$BA$205^A75,IF(A75='Données projet'!$A$88,'Données projet'!$B$88,BD74+BC75-BL74)))</f>
        <v>292.435</v>
      </c>
      <c r="BE75" s="13">
        <f>BD75*VLOOKUP('Données projet'!$B$11,Paramètres!$A$1:$I$89,3,0)*VLOOKUP('Données projet'!$B$11,Paramètres!$A$1:$I$89,5,0)</f>
        <v>278.28114599999998</v>
      </c>
      <c r="BF75" s="13">
        <f t="shared" si="91"/>
        <v>66.603635544137703</v>
      </c>
      <c r="BG75" s="20">
        <f t="shared" si="61"/>
        <v>600.67432785603978</v>
      </c>
      <c r="BH75" s="59">
        <f t="shared" si="62"/>
        <v>868.00604209356084</v>
      </c>
      <c r="BI75" s="59">
        <f ca="1">AVERAGE(OFFSET($BH$3,0,0,'Données projet'!$E$11+1,1))-AVERAGE(OFFSET($H$3,0,0,'Données projet'!$E$11+1,1))</f>
        <v>697.21496579331188</v>
      </c>
      <c r="BJ75" s="59">
        <f t="shared" si="92"/>
        <v>215.64914236948769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56.65008283093232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56.65008283093232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193.79999999999995</v>
      </c>
      <c r="BZ75" s="13">
        <f>BY75*VLOOKUP('Données projet'!$B$12,Paramètres!$A$1:$I$89,3,0)*VLOOKUP('Données projet'!$B$12,Paramètres!$A$1:$I$89,5,0)</f>
        <v>169.30367999999999</v>
      </c>
      <c r="CA75" s="13">
        <f t="shared" si="93"/>
        <v>42.934033834973214</v>
      </c>
      <c r="CB75" s="20">
        <f t="shared" si="64"/>
        <v>369.64735159591163</v>
      </c>
      <c r="CC75" s="59">
        <f t="shared" si="65"/>
        <v>636.97906583343274</v>
      </c>
      <c r="CD75" s="59">
        <f ca="1">AVERAGE(OFFSET($CC$3,0,0,'Données projet'!$E$12+1,1))-AVERAGE(OFFSET($H$3,0,0,'Données projet'!$E$12+1,1))</f>
        <v>330.58463337575432</v>
      </c>
      <c r="CE75" s="59">
        <f t="shared" si="94"/>
        <v>285.43250599232192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39.146483790739339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39.146483790739339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6">
        <f t="shared" si="56"/>
        <v>183.33333333333334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189.76714074331781</v>
      </c>
      <c r="T76" s="59">
        <f t="shared" si="88"/>
        <v>458.38901659119472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3.4</v>
      </c>
      <c r="AI76" s="13">
        <f>IF('Données projet'!$A$62&gt;35,AI75+AH76-AQ75,IF(A76&lt;'Données projet'!$A$62,$AF$205^A76,IF(A76='Données projet'!$A$62,'Données projet'!$B$62,AI75+AH76-AQ75)))</f>
        <v>263.19999999999982</v>
      </c>
      <c r="AJ76" s="13">
        <f>AI76*VLOOKUP('Données projet'!$B$10,Paramètres!$A$1:$I$89,3,0)*VLOOKUP('Données projet'!$B$10,Paramètres!$A$1:$I$89,5,0)</f>
        <v>192.97823999999986</v>
      </c>
      <c r="AK76" s="13">
        <f t="shared" si="89"/>
        <v>48.197802215761001</v>
      </c>
      <c r="AL76" s="20">
        <f t="shared" si="58"/>
        <v>420.04827352578349</v>
      </c>
      <c r="AM76" s="59">
        <f t="shared" si="59"/>
        <v>687.83105772370527</v>
      </c>
      <c r="AN76" s="59">
        <f ca="1">AVERAGE(OFFSET($AM$3,0,0,'Données projet'!$E$10+1,1))-AVERAGE(OFFSET($H$3,0,0,'Données projet'!$E$10+1,1))</f>
        <v>302.36110224755532</v>
      </c>
      <c r="AO76" s="59">
        <f t="shared" si="90"/>
        <v>292.08583531469412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30.797180419846562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30.797180419846562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9.2624999999999993</v>
      </c>
      <c r="BD76" s="12">
        <f>IF('Données projet'!$A$88&gt;35,BD75+BC76-BL75,IF(A76&lt;'Données projet'!$A$88,$BA$205^A76,IF(A76='Données projet'!$A$88,'Données projet'!$B$88,BD75+BC76-BL75)))</f>
        <v>301.69749999999999</v>
      </c>
      <c r="BE76" s="13">
        <f>BD76*VLOOKUP('Données projet'!$B$11,Paramètres!$A$1:$I$89,3,0)*VLOOKUP('Données projet'!$B$11,Paramètres!$A$1:$I$89,5,0)</f>
        <v>287.09534100000002</v>
      </c>
      <c r="BF76" s="13">
        <f t="shared" si="91"/>
        <v>68.464267565694144</v>
      </c>
      <c r="BG76" s="20">
        <f t="shared" si="61"/>
        <v>619.26631825191726</v>
      </c>
      <c r="BH76" s="59">
        <f t="shared" si="62"/>
        <v>887.04910244983898</v>
      </c>
      <c r="BI76" s="59">
        <f ca="1">AVERAGE(OFFSET($BH$3,0,0,'Données projet'!$E$11+1,1))-AVERAGE(OFFSET($H$3,0,0,'Données projet'!$E$11+1,1))</f>
        <v>697.21496579331188</v>
      </c>
      <c r="BJ76" s="59">
        <f t="shared" si="92"/>
        <v>215.64914236948769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55.539209259756426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55.539209259756426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197.19999999999996</v>
      </c>
      <c r="BZ76" s="13">
        <f>BY76*VLOOKUP('Données projet'!$B$12,Paramètres!$A$1:$I$89,3,0)*VLOOKUP('Données projet'!$B$12,Paramètres!$A$1:$I$89,5,0)</f>
        <v>172.27391999999998</v>
      </c>
      <c r="CA76" s="13">
        <f t="shared" si="93"/>
        <v>43.598911513699605</v>
      </c>
      <c r="CB76" s="20">
        <f t="shared" si="64"/>
        <v>375.97851488636002</v>
      </c>
      <c r="CC76" s="59">
        <f t="shared" si="65"/>
        <v>643.76129908428175</v>
      </c>
      <c r="CD76" s="59">
        <f ca="1">AVERAGE(OFFSET($CC$3,0,0,'Données projet'!$E$12+1,1))-AVERAGE(OFFSET($H$3,0,0,'Données projet'!$E$12+1,1))</f>
        <v>330.58463337575432</v>
      </c>
      <c r="CE76" s="59">
        <f t="shared" si="94"/>
        <v>285.43250599232192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38.378845120600396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38.378845120600396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6">
        <f t="shared" si="56"/>
        <v>183.33333333333334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189.76714074331781</v>
      </c>
      <c r="T77" s="59">
        <f t="shared" si="88"/>
        <v>458.38901659119472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3.4</v>
      </c>
      <c r="AI77" s="13">
        <f>IF('Données projet'!$A$62&gt;35,AI76+AH77-AQ76,IF(A77&lt;'Données projet'!$A$62,$AF$205^A77,IF(A77='Données projet'!$A$62,'Données projet'!$B$62,AI76+AH77-AQ76)))</f>
        <v>266.5999999999998</v>
      </c>
      <c r="AJ77" s="13">
        <f>AI77*VLOOKUP('Données projet'!$B$10,Paramètres!$A$1:$I$89,3,0)*VLOOKUP('Données projet'!$B$10,Paramètres!$A$1:$I$89,5,0)</f>
        <v>195.47111999999984</v>
      </c>
      <c r="AK77" s="13">
        <f t="shared" si="89"/>
        <v>48.747534064963503</v>
      </c>
      <c r="AL77" s="20">
        <f t="shared" si="58"/>
        <v>425.34748916314447</v>
      </c>
      <c r="AM77" s="59">
        <f t="shared" si="59"/>
        <v>693.57351826609533</v>
      </c>
      <c r="AN77" s="59">
        <f ca="1">AVERAGE(OFFSET($AM$3,0,0,'Données projet'!$E$10+1,1))-AVERAGE(OFFSET($H$3,0,0,'Données projet'!$E$10+1,1))</f>
        <v>302.36110224755532</v>
      </c>
      <c r="AO77" s="59">
        <f t="shared" si="90"/>
        <v>292.08583531469412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30.193266496238618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30.193266496238618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310.95999999999998</v>
      </c>
      <c r="BB77" s="12">
        <f>VLOOKUP(A77,'Données projet'!$A$87:$I$107,9,0)</f>
        <v>9.2624999999999993</v>
      </c>
      <c r="BC77" s="12">
        <f t="array" ref="BC77">INDEX(BB:BB,MIN(IF(ISNUMBER(BB77:BB273),ROW(BB77:BB273),"")))</f>
        <v>9.2624999999999993</v>
      </c>
      <c r="BD77" s="12">
        <f>IF('Données projet'!$A$88&gt;35,BD76+BC77-BL76,IF(A77&lt;'Données projet'!$A$88,$BA$205^A77,IF(A77='Données projet'!$A$88,'Données projet'!$B$88,BD76+BC77-BL76)))</f>
        <v>310.95999999999998</v>
      </c>
      <c r="BE77" s="13">
        <f>BD77*VLOOKUP('Données projet'!$B$11,Paramètres!$A$1:$I$89,3,0)*VLOOKUP('Données projet'!$B$11,Paramètres!$A$1:$I$89,5,0)</f>
        <v>295.909536</v>
      </c>
      <c r="BF77" s="13">
        <f t="shared" si="91"/>
        <v>70.31826114322331</v>
      </c>
      <c r="BG77" s="20">
        <f t="shared" si="61"/>
        <v>637.84674669111394</v>
      </c>
      <c r="BH77" s="59">
        <f t="shared" si="62"/>
        <v>906.0727757940648</v>
      </c>
      <c r="BI77" s="59">
        <f ca="1">AVERAGE(OFFSET($BH$3,0,0,'Données projet'!$E$11+1,1))-AVERAGE(OFFSET($H$3,0,0,'Données projet'!$E$11+1,1))</f>
        <v>697.21496579331188</v>
      </c>
      <c r="BJ77" s="59">
        <f t="shared" si="92"/>
        <v>215.64914236948769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47.4</v>
      </c>
      <c r="BM77" s="16">
        <f>IF(ISNA(VLOOKUP(A77,'Données projet'!$A$87:$I$107,5,0)),0%,VLOOKUP(A77,'Données projet'!$A$87:$I$107,5,0)*VLOOKUP('Données projet'!$B$11,Paramètres!$A$1:$I$89,7,0))</f>
        <v>0.43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75.891282369244891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75.891282369244891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200.59999999999997</v>
      </c>
      <c r="BZ77" s="13">
        <f>BY77*VLOOKUP('Données projet'!$B$12,Paramètres!$A$1:$I$89,3,0)*VLOOKUP('Données projet'!$B$12,Paramètres!$A$1:$I$89,5,0)</f>
        <v>175.24415999999999</v>
      </c>
      <c r="CA77" s="13">
        <f t="shared" si="93"/>
        <v>44.262456119927037</v>
      </c>
      <c r="CB77" s="20">
        <f t="shared" si="64"/>
        <v>382.30735640887292</v>
      </c>
      <c r="CC77" s="59">
        <f t="shared" si="65"/>
        <v>650.53338551182378</v>
      </c>
      <c r="CD77" s="59">
        <f ca="1">AVERAGE(OFFSET($CC$3,0,0,'Données projet'!$E$12+1,1))-AVERAGE(OFFSET($H$3,0,0,'Données projet'!$E$12+1,1))</f>
        <v>330.58463337575432</v>
      </c>
      <c r="CE77" s="59">
        <f t="shared" si="94"/>
        <v>285.43250599232192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37.626259376569521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37.626259376569521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6">
        <f t="shared" si="56"/>
        <v>183.33333333333334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189.76714074331781</v>
      </c>
      <c r="T78" s="59">
        <f t="shared" si="88"/>
        <v>458.38901659119472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270</v>
      </c>
      <c r="AG78" s="12">
        <f>VLOOKUP(A78,'Données projet'!$A$61:$I$81,9,0)</f>
        <v>3.4</v>
      </c>
      <c r="AH78" s="12">
        <f t="array" ref="AH78">INDEX(AG:AG,MIN(IF(ISNUMBER(AG78:AG274),ROW(AG78:AG274),"")))</f>
        <v>3.4</v>
      </c>
      <c r="AI78" s="13">
        <f>IF('Données projet'!$A$62&gt;35,AI77+AH78-AQ77,IF(A78&lt;'Données projet'!$A$62,$AF$205^A78,IF(A78='Données projet'!$A$62,'Données projet'!$B$62,AI77+AH78-AQ77)))</f>
        <v>269.99999999999977</v>
      </c>
      <c r="AJ78" s="13">
        <f>AI78*VLOOKUP('Données projet'!$B$10,Paramètres!$A$1:$I$89,3,0)*VLOOKUP('Données projet'!$B$10,Paramètres!$A$1:$I$89,5,0)</f>
        <v>197.96399999999983</v>
      </c>
      <c r="AK78" s="13">
        <f t="shared" si="89"/>
        <v>49.296450435147719</v>
      </c>
      <c r="AL78" s="20">
        <f t="shared" si="58"/>
        <v>430.64528450788202</v>
      </c>
      <c r="AM78" s="59">
        <f t="shared" si="59"/>
        <v>699.30686920770677</v>
      </c>
      <c r="AN78" s="59">
        <f ca="1">AVERAGE(OFFSET($AM$3,0,0,'Données projet'!$E$10+1,1))-AVERAGE(OFFSET($H$3,0,0,'Données projet'!$E$10+1,1))</f>
        <v>302.36110224755532</v>
      </c>
      <c r="AO78" s="59">
        <f t="shared" si="90"/>
        <v>292.08583531469412</v>
      </c>
      <c r="AP78" s="15">
        <f>IF(ISNA(VLOOKUP(A78,'Données projet'!$A$61:$I$81,3,0)),0,VLOOKUP(A78,'Données projet'!$A$61:$I$81,3,0))</f>
        <v>13</v>
      </c>
      <c r="AQ78" s="15">
        <f>IF(ISNA(VLOOKUP(A78,'Données projet'!$A$61:$I$81,4,0)),0,VLOOKUP(A78,'Données projet'!$A$61:$I$81,4,0))</f>
        <v>9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32.737949470720174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32.737949470720174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9.1529999999999969</v>
      </c>
      <c r="BD78" s="12">
        <f>IF('Données projet'!$A$88&gt;35,BD77+BC78-BL77,IF(A78&lt;'Données projet'!$A$88,$BA$205^A78,IF(A78='Données projet'!$A$88,'Données projet'!$B$88,BD77+BC78-BL77)))</f>
        <v>272.71300000000002</v>
      </c>
      <c r="BE78" s="13">
        <f>BD78*VLOOKUP('Données projet'!$B$11,Paramètres!$A$1:$I$89,3,0)*VLOOKUP('Données projet'!$B$11,Paramètres!$A$1:$I$89,5,0)</f>
        <v>259.51369080000001</v>
      </c>
      <c r="BF78" s="13">
        <f t="shared" si="91"/>
        <v>62.618705194634003</v>
      </c>
      <c r="BG78" s="20">
        <f t="shared" si="61"/>
        <v>561.04725635732086</v>
      </c>
      <c r="BH78" s="59">
        <f t="shared" si="62"/>
        <v>829.70884105714572</v>
      </c>
      <c r="BI78" s="59">
        <f ca="1">AVERAGE(OFFSET($BH$3,0,0,'Données projet'!$E$11+1,1))-AVERAGE(OFFSET($H$3,0,0,'Données projet'!$E$11+1,1))</f>
        <v>697.21496579331188</v>
      </c>
      <c r="BJ78" s="59">
        <f t="shared" si="92"/>
        <v>215.64914236948769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74.403100611095567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74.403100611095567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204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203.99999999999997</v>
      </c>
      <c r="BZ78" s="13">
        <f>BY78*VLOOKUP('Données projet'!$B$12,Paramètres!$A$1:$I$89,3,0)*VLOOKUP('Données projet'!$B$12,Paramètres!$A$1:$I$89,5,0)</f>
        <v>178.21440000000001</v>
      </c>
      <c r="CA78" s="13">
        <f t="shared" si="93"/>
        <v>44.924692855664368</v>
      </c>
      <c r="CB78" s="20">
        <f t="shared" si="64"/>
        <v>388.63392005694874</v>
      </c>
      <c r="CC78" s="59">
        <f t="shared" si="65"/>
        <v>657.29550475677354</v>
      </c>
      <c r="CD78" s="59">
        <f ca="1">AVERAGE(OFFSET($CC$3,0,0,'Données projet'!$E$12+1,1))-AVERAGE(OFFSET($H$3,0,0,'Données projet'!$E$12+1,1))</f>
        <v>330.58463337575432</v>
      </c>
      <c r="CE78" s="59">
        <f t="shared" si="94"/>
        <v>285.43250599232192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41.87164422551664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41.87164422551664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6">
        <f t="shared" si="56"/>
        <v>183.33333333333334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189.76714074331781</v>
      </c>
      <c r="T79" s="59">
        <f t="shared" si="88"/>
        <v>458.38901659119472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2.8</v>
      </c>
      <c r="AI79" s="13">
        <f>IF('Données projet'!$A$62&gt;35,AI78+AH79-AQ78,IF(A79&lt;'Données projet'!$A$62,$AF$205^A79,IF(A79='Données projet'!$A$62,'Données projet'!$B$62,AI78+AH79-AQ78)))</f>
        <v>263.79999999999978</v>
      </c>
      <c r="AJ79" s="13">
        <f>AI79*VLOOKUP('Données projet'!$B$10,Paramètres!$A$1:$I$89,3,0)*VLOOKUP('Données projet'!$B$10,Paramètres!$A$1:$I$89,5,0)</f>
        <v>193.41815999999983</v>
      </c>
      <c r="AK79" s="13">
        <f t="shared" si="89"/>
        <v>48.29487349052124</v>
      </c>
      <c r="AL79" s="20">
        <f t="shared" si="58"/>
        <v>420.98353332932419</v>
      </c>
      <c r="AM79" s="59">
        <f t="shared" si="59"/>
        <v>690.07311771017362</v>
      </c>
      <c r="AN79" s="59">
        <f ca="1">AVERAGE(OFFSET($AM$3,0,0,'Données projet'!$E$10+1,1))-AVERAGE(OFFSET($H$3,0,0,'Données projet'!$E$10+1,1))</f>
        <v>302.36110224755532</v>
      </c>
      <c r="AO79" s="59">
        <f t="shared" si="90"/>
        <v>292.08583531469412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32.095978249776834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32.095978249776834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9.1529999999999969</v>
      </c>
      <c r="BD79" s="12">
        <f>IF('Données projet'!$A$88&gt;35,BD78+BC79-BL78,IF(A79&lt;'Données projet'!$A$88,$BA$205^A79,IF(A79='Données projet'!$A$88,'Données projet'!$B$88,BD78+BC79-BL78)))</f>
        <v>281.86600000000004</v>
      </c>
      <c r="BE79" s="13">
        <f>BD79*VLOOKUP('Données projet'!$B$11,Paramètres!$A$1:$I$89,3,0)*VLOOKUP('Données projet'!$B$11,Paramètres!$A$1:$I$89,5,0)</f>
        <v>268.22368560000001</v>
      </c>
      <c r="BF79" s="13">
        <f t="shared" si="91"/>
        <v>64.472145843304247</v>
      </c>
      <c r="BG79" s="20">
        <f t="shared" si="61"/>
        <v>579.4452397637549</v>
      </c>
      <c r="BH79" s="59">
        <f t="shared" si="62"/>
        <v>848.53482414460427</v>
      </c>
      <c r="BI79" s="59">
        <f ca="1">AVERAGE(OFFSET($BH$3,0,0,'Données projet'!$E$11+1,1))-AVERAGE(OFFSET($H$3,0,0,'Données projet'!$E$11+1,1))</f>
        <v>697.21496579331188</v>
      </c>
      <c r="BJ79" s="59">
        <f t="shared" si="92"/>
        <v>215.64914236948769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72.944101189522314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72.944101189522314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3.2</v>
      </c>
      <c r="BY79" s="12">
        <f>IF('Données projet'!$A$114&gt;35,BY78+BX79-CG78,IF(A79&lt;'Données projet'!$A$114,$BV$205^A79,IF(A79='Données projet'!$A$114,'Données projet'!$B$114,BY78+BX79-CG78)))</f>
        <v>195.19999999999996</v>
      </c>
      <c r="BZ79" s="13">
        <f>BY79*VLOOKUP('Données projet'!$B$12,Paramètres!$A$1:$I$89,3,0)*VLOOKUP('Données projet'!$B$12,Paramètres!$A$1:$I$89,5,0)</f>
        <v>170.52671999999998</v>
      </c>
      <c r="CA79" s="13">
        <f t="shared" si="93"/>
        <v>43.207970095682747</v>
      </c>
      <c r="CB79" s="20">
        <f t="shared" si="64"/>
        <v>372.25458524998072</v>
      </c>
      <c r="CC79" s="59">
        <f t="shared" si="65"/>
        <v>641.34416963083015</v>
      </c>
      <c r="CD79" s="59">
        <f ca="1">AVERAGE(OFFSET($CC$3,0,0,'Données projet'!$E$12+1,1))-AVERAGE(OFFSET($H$3,0,0,'Données projet'!$E$12+1,1))</f>
        <v>330.58463337575432</v>
      </c>
      <c r="CE79" s="59">
        <f t="shared" si="94"/>
        <v>285.43250599232192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41.050566821435453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41.050566821435453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6">
        <f t="shared" si="56"/>
        <v>183.33333333333334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189.76714074331781</v>
      </c>
      <c r="T80" s="59">
        <f t="shared" si="88"/>
        <v>458.38901659119472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2.8</v>
      </c>
      <c r="AI80" s="13">
        <f>IF('Données projet'!$A$62&gt;35,AI79+AH80-AQ79,IF(A80&lt;'Données projet'!$A$62,$AF$205^A80,IF(A80='Données projet'!$A$62,'Données projet'!$B$62,AI79+AH80-AQ79)))</f>
        <v>266.5999999999998</v>
      </c>
      <c r="AJ80" s="13">
        <f>AI80*VLOOKUP('Données projet'!$B$10,Paramètres!$A$1:$I$89,3,0)*VLOOKUP('Données projet'!$B$10,Paramètres!$A$1:$I$89,5,0)</f>
        <v>195.47111999999984</v>
      </c>
      <c r="AK80" s="13">
        <f t="shared" si="89"/>
        <v>48.747534064963503</v>
      </c>
      <c r="AL80" s="20">
        <f t="shared" si="58"/>
        <v>425.34748916314447</v>
      </c>
      <c r="AM80" s="59">
        <f t="shared" si="59"/>
        <v>694.8576483874167</v>
      </c>
      <c r="AN80" s="59">
        <f ca="1">AVERAGE(OFFSET($AM$3,0,0,'Données projet'!$E$10+1,1))-AVERAGE(OFFSET($H$3,0,0,'Données projet'!$E$10+1,1))</f>
        <v>302.36110224755532</v>
      </c>
      <c r="AO80" s="59">
        <f t="shared" si="90"/>
        <v>292.08583531469412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31.466595692912414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31.466595692912414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9.1529999999999969</v>
      </c>
      <c r="BD80" s="12">
        <f>IF('Données projet'!$A$88&gt;35,BD79+BC80-BL79,IF(A80&lt;'Données projet'!$A$88,$BA$205^A80,IF(A80='Données projet'!$A$88,'Données projet'!$B$88,BD79+BC80-BL79)))</f>
        <v>291.01900000000006</v>
      </c>
      <c r="BE80" s="13">
        <f>BD80*VLOOKUP('Données projet'!$B$11,Paramètres!$A$1:$I$89,3,0)*VLOOKUP('Données projet'!$B$11,Paramètres!$A$1:$I$89,5,0)</f>
        <v>276.93368040000007</v>
      </c>
      <c r="BF80" s="13">
        <f t="shared" si="91"/>
        <v>66.318592702518586</v>
      </c>
      <c r="BG80" s="20">
        <f t="shared" si="61"/>
        <v>597.83104232022004</v>
      </c>
      <c r="BH80" s="59">
        <f t="shared" si="62"/>
        <v>867.34120154449238</v>
      </c>
      <c r="BI80" s="59">
        <f ca="1">AVERAGE(OFFSET($BH$3,0,0,'Données projet'!$E$11+1,1))-AVERAGE(OFFSET($H$3,0,0,'Données projet'!$E$11+1,1))</f>
        <v>697.21496579331188</v>
      </c>
      <c r="BJ80" s="59">
        <f t="shared" si="92"/>
        <v>215.64914236948769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71.513711856704333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71.513711856704333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3.2</v>
      </c>
      <c r="BY80" s="12">
        <f>IF('Données projet'!$A$114&gt;35,BY79+BX80-CG79,IF(A80&lt;'Données projet'!$A$114,$BV$205^A80,IF(A80='Données projet'!$A$114,'Données projet'!$B$114,BY79+BX80-CG79)))</f>
        <v>198.39999999999995</v>
      </c>
      <c r="BZ80" s="13">
        <f>BY80*VLOOKUP('Données projet'!$B$12,Paramètres!$A$1:$I$89,3,0)*VLOOKUP('Données projet'!$B$12,Paramètres!$A$1:$I$89,5,0)</f>
        <v>173.32223999999999</v>
      </c>
      <c r="CA80" s="13">
        <f t="shared" si="93"/>
        <v>43.833254629845122</v>
      </c>
      <c r="CB80" s="20">
        <f t="shared" si="64"/>
        <v>378.2124864803136</v>
      </c>
      <c r="CC80" s="59">
        <f t="shared" si="65"/>
        <v>647.72264570458583</v>
      </c>
      <c r="CD80" s="59">
        <f ca="1">AVERAGE(OFFSET($CC$3,0,0,'Données projet'!$E$12+1,1))-AVERAGE(OFFSET($H$3,0,0,'Données projet'!$E$12+1,1))</f>
        <v>330.58463337575432</v>
      </c>
      <c r="CE80" s="59">
        <f t="shared" si="94"/>
        <v>285.43250599232192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40.245590244440528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40.245590244440528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6">
        <f t="shared" si="56"/>
        <v>183.33333333333334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189.76714074331781</v>
      </c>
      <c r="T81" s="59">
        <f t="shared" si="88"/>
        <v>458.38901659119472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2.8</v>
      </c>
      <c r="AI81" s="13">
        <f>IF('Données projet'!$A$62&gt;35,AI80+AH81-AQ80,IF(A81&lt;'Données projet'!$A$62,$AF$205^A81,IF(A81='Données projet'!$A$62,'Données projet'!$B$62,AI80+AH81-AQ80)))</f>
        <v>269.39999999999981</v>
      </c>
      <c r="AJ81" s="13">
        <f>AI81*VLOOKUP('Données projet'!$B$10,Paramètres!$A$1:$I$89,3,0)*VLOOKUP('Données projet'!$B$10,Paramètres!$A$1:$I$89,5,0)</f>
        <v>197.52407999999986</v>
      </c>
      <c r="AK81" s="13">
        <f t="shared" si="89"/>
        <v>49.199641586671113</v>
      </c>
      <c r="AL81" s="20">
        <f t="shared" si="58"/>
        <v>429.71048176345192</v>
      </c>
      <c r="AM81" s="59">
        <f t="shared" si="59"/>
        <v>699.63391979787821</v>
      </c>
      <c r="AN81" s="59">
        <f ca="1">AVERAGE(OFFSET($AM$3,0,0,'Données projet'!$E$10+1,1))-AVERAGE(OFFSET($H$3,0,0,'Données projet'!$E$10+1,1))</f>
        <v>302.36110224755532</v>
      </c>
      <c r="AO81" s="59">
        <f t="shared" si="90"/>
        <v>292.08583531469412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30.84955494410265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30.84955494410265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9.1529999999999969</v>
      </c>
      <c r="BD81" s="12">
        <f>IF('Données projet'!$A$88&gt;35,BD80+BC81-BL80,IF(A81&lt;'Données projet'!$A$88,$BA$205^A81,IF(A81='Données projet'!$A$88,'Données projet'!$B$88,BD80+BC81-BL80)))</f>
        <v>300.17200000000008</v>
      </c>
      <c r="BE81" s="13">
        <f>BD81*VLOOKUP('Données projet'!$B$11,Paramètres!$A$1:$I$89,3,0)*VLOOKUP('Données projet'!$B$11,Paramètres!$A$1:$I$89,5,0)</f>
        <v>285.64367520000008</v>
      </c>
      <c r="BF81" s="13">
        <f t="shared" si="91"/>
        <v>68.158290974892552</v>
      </c>
      <c r="BG81" s="20">
        <f t="shared" si="61"/>
        <v>616.20509108793794</v>
      </c>
      <c r="BH81" s="59">
        <f t="shared" si="62"/>
        <v>886.12852912236417</v>
      </c>
      <c r="BI81" s="59">
        <f ca="1">AVERAGE(OFFSET($BH$3,0,0,'Données projet'!$E$11+1,1))-AVERAGE(OFFSET($H$3,0,0,'Données projet'!$E$11+1,1))</f>
        <v>697.21496579331188</v>
      </c>
      <c r="BJ81" s="59">
        <f t="shared" si="92"/>
        <v>215.64914236948769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70.111371586251565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70.111371586251565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3.2</v>
      </c>
      <c r="BY81" s="12">
        <f>IF('Données projet'!$A$114&gt;35,BY80+BX81-CG80,IF(A81&lt;'Données projet'!$A$114,$BV$205^A81,IF(A81='Données projet'!$A$114,'Données projet'!$B$114,BY80+BX81-CG80)))</f>
        <v>201.59999999999994</v>
      </c>
      <c r="BZ81" s="13">
        <f>BY81*VLOOKUP('Données projet'!$B$12,Paramètres!$A$1:$I$89,3,0)*VLOOKUP('Données projet'!$B$12,Paramètres!$A$1:$I$89,5,0)</f>
        <v>176.11775999999998</v>
      </c>
      <c r="CA81" s="13">
        <f t="shared" si="93"/>
        <v>44.457366290237204</v>
      </c>
      <c r="CB81" s="20">
        <f t="shared" si="64"/>
        <v>384.16834495549637</v>
      </c>
      <c r="CC81" s="59">
        <f t="shared" si="65"/>
        <v>654.09178298992265</v>
      </c>
      <c r="CD81" s="59">
        <f ca="1">AVERAGE(OFFSET($CC$3,0,0,'Données projet'!$E$12+1,1))-AVERAGE(OFFSET($H$3,0,0,'Données projet'!$E$12+1,1))</f>
        <v>330.58463337575432</v>
      </c>
      <c r="CE81" s="59">
        <f t="shared" si="94"/>
        <v>285.43250599232192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39.456398767133244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39.456398767133244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6">
        <f t="shared" si="56"/>
        <v>183.33333333333334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189.76714074331781</v>
      </c>
      <c r="T82" s="59">
        <f t="shared" si="88"/>
        <v>458.38901659119472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2.8</v>
      </c>
      <c r="AI82" s="13">
        <f>IF('Données projet'!$A$62&gt;35,AI81+AH82-AQ81,IF(A82&lt;'Données projet'!$A$62,$AF$205^A82,IF(A82='Données projet'!$A$62,'Données projet'!$B$62,AI81+AH82-AQ81)))</f>
        <v>272.19999999999982</v>
      </c>
      <c r="AJ82" s="13">
        <f>AI82*VLOOKUP('Données projet'!$B$10,Paramètres!$A$1:$I$89,3,0)*VLOOKUP('Données projet'!$B$10,Paramètres!$A$1:$I$89,5,0)</f>
        <v>199.57703999999987</v>
      </c>
      <c r="AK82" s="13">
        <f t="shared" si="89"/>
        <v>49.651202469214105</v>
      </c>
      <c r="AL82" s="20">
        <f t="shared" si="58"/>
        <v>434.07252230054763</v>
      </c>
      <c r="AM82" s="59">
        <f t="shared" si="59"/>
        <v>704.40206968172458</v>
      </c>
      <c r="AN82" s="59">
        <f ca="1">AVERAGE(OFFSET($AM$3,0,0,'Données projet'!$E$10+1,1))-AVERAGE(OFFSET($H$3,0,0,'Données projet'!$E$10+1,1))</f>
        <v>302.36110224755532</v>
      </c>
      <c r="AO82" s="59">
        <f t="shared" si="90"/>
        <v>292.08583531469412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30.244613988019349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30.244613988019349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9.1529999999999969</v>
      </c>
      <c r="BD82" s="12">
        <f>IF('Données projet'!$A$88&gt;35,BD81+BC82-BL81,IF(A82&lt;'Données projet'!$A$88,$BA$205^A82,IF(A82='Données projet'!$A$88,'Données projet'!$B$88,BD81+BC82-BL81)))</f>
        <v>309.3250000000001</v>
      </c>
      <c r="BE82" s="13">
        <f>BD82*VLOOKUP('Données projet'!$B$11,Paramètres!$A$1:$I$89,3,0)*VLOOKUP('Données projet'!$B$11,Paramètres!$A$1:$I$89,5,0)</f>
        <v>294.35367000000014</v>
      </c>
      <c r="BF82" s="13">
        <f t="shared" si="91"/>
        <v>69.991470059671371</v>
      </c>
      <c r="BG82" s="20">
        <f t="shared" si="61"/>
        <v>634.56778560392775</v>
      </c>
      <c r="BH82" s="59">
        <f t="shared" si="62"/>
        <v>904.89733298510464</v>
      </c>
      <c r="BI82" s="59">
        <f ca="1">AVERAGE(OFFSET($BH$3,0,0,'Données projet'!$E$11+1,1))-AVERAGE(OFFSET($H$3,0,0,'Données projet'!$E$11+1,1))</f>
        <v>697.21496579331188</v>
      </c>
      <c r="BJ82" s="59">
        <f t="shared" si="92"/>
        <v>215.64914236948769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68.736530353159267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68.736530353159267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3.2</v>
      </c>
      <c r="BY82" s="12">
        <f>IF('Données projet'!$A$114&gt;35,BY81+BX82-CG81,IF(A82&lt;'Données projet'!$A$114,$BV$205^A82,IF(A82='Données projet'!$A$114,'Données projet'!$B$114,BY81+BX82-CG81)))</f>
        <v>204.79999999999993</v>
      </c>
      <c r="BZ82" s="13">
        <f>BY82*VLOOKUP('Données projet'!$B$12,Paramètres!$A$1:$I$89,3,0)*VLOOKUP('Données projet'!$B$12,Paramètres!$A$1:$I$89,5,0)</f>
        <v>178.91327999999996</v>
      </c>
      <c r="CA82" s="13">
        <f t="shared" si="93"/>
        <v>45.080325843494805</v>
      </c>
      <c r="CB82" s="20">
        <f t="shared" si="64"/>
        <v>390.12219684408677</v>
      </c>
      <c r="CC82" s="59">
        <f t="shared" si="65"/>
        <v>660.45174422526372</v>
      </c>
      <c r="CD82" s="59">
        <f ca="1">AVERAGE(OFFSET($CC$3,0,0,'Données projet'!$E$12+1,1))-AVERAGE(OFFSET($H$3,0,0,'Données projet'!$E$12+1,1))</f>
        <v>330.58463337575432</v>
      </c>
      <c r="CE82" s="59">
        <f t="shared" si="94"/>
        <v>285.43250599232192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38.682682853336686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38.682682853336686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6">
        <f t="shared" si="56"/>
        <v>183.33333333333334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189.76714074331781</v>
      </c>
      <c r="T83" s="59">
        <f t="shared" si="88"/>
        <v>458.38901659119472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275</v>
      </c>
      <c r="AG83" s="12">
        <f>VLOOKUP(A83,'Données projet'!$A$61:$I$81,9,0)</f>
        <v>2.8</v>
      </c>
      <c r="AH83" s="12">
        <f t="array" ref="AH83">INDEX(AG:AG,MIN(IF(ISNUMBER(AG83:AG279),ROW(AG83:AG279),"")))</f>
        <v>2.8</v>
      </c>
      <c r="AI83" s="13">
        <f>IF('Données projet'!$A$62&gt;35,AI82+AH83-AQ82,IF(A83&lt;'Données projet'!$A$62,$AF$205^A83,IF(A83='Données projet'!$A$62,'Données projet'!$B$62,AI82+AH83-AQ82)))</f>
        <v>274.99999999999983</v>
      </c>
      <c r="AJ83" s="13">
        <f>AI83*VLOOKUP('Données projet'!$B$10,Paramètres!$A$1:$I$89,3,0)*VLOOKUP('Données projet'!$B$10,Paramètres!$A$1:$I$89,5,0)</f>
        <v>201.62999999999988</v>
      </c>
      <c r="AK83" s="13">
        <f t="shared" si="89"/>
        <v>50.102222986612503</v>
      </c>
      <c r="AL83" s="20">
        <f t="shared" si="58"/>
        <v>438.43362170168325</v>
      </c>
      <c r="AM83" s="59">
        <f t="shared" si="59"/>
        <v>709.16223334036931</v>
      </c>
      <c r="AN83" s="59">
        <f ca="1">AVERAGE(OFFSET($AM$3,0,0,'Données projet'!$E$10+1,1))-AVERAGE(OFFSET($H$3,0,0,'Données projet'!$E$10+1,1))</f>
        <v>302.36110224755532</v>
      </c>
      <c r="AO83" s="59">
        <f t="shared" si="90"/>
        <v>292.08583531469412</v>
      </c>
      <c r="AP83" s="15">
        <f>IF(ISNA(VLOOKUP(A83,'Données projet'!$A$61:$I$81,3,0)),0,VLOOKUP(A83,'Données projet'!$A$61:$I$81,3,0))</f>
        <v>14</v>
      </c>
      <c r="AQ83" s="15">
        <f>IF(ISNA(VLOOKUP(A83,'Données projet'!$A$61:$I$81,4,0)),0,VLOOKUP(A83,'Données projet'!$A$61:$I$81,4,0))</f>
        <v>8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32.439761790128337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32.439761790128337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9.1529999999999969</v>
      </c>
      <c r="BD83" s="12">
        <f>IF('Données projet'!$A$88&gt;35,BD82+BC83-BL82,IF(A83&lt;'Données projet'!$A$88,$BA$205^A83,IF(A83='Données projet'!$A$88,'Données projet'!$B$88,BD82+BC83-BL82)))</f>
        <v>318.47800000000012</v>
      </c>
      <c r="BE83" s="13">
        <f>BD83*VLOOKUP('Données projet'!$B$11,Paramètres!$A$1:$I$89,3,0)*VLOOKUP('Données projet'!$B$11,Paramètres!$A$1:$I$89,5,0)</f>
        <v>303.06366480000008</v>
      </c>
      <c r="BF83" s="13">
        <f t="shared" si="91"/>
        <v>71.818345008393493</v>
      </c>
      <c r="BG83" s="20">
        <f t="shared" si="61"/>
        <v>652.91950041628559</v>
      </c>
      <c r="BH83" s="59">
        <f t="shared" si="62"/>
        <v>923.64811205497176</v>
      </c>
      <c r="BI83" s="59">
        <f ca="1">AVERAGE(OFFSET($BH$3,0,0,'Données projet'!$E$11+1,1))-AVERAGE(OFFSET($H$3,0,0,'Données projet'!$E$11+1,1))</f>
        <v>697.21496579331188</v>
      </c>
      <c r="BJ83" s="59">
        <f t="shared" si="92"/>
        <v>215.64914236948769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67.388648918077564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67.388648918077564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208</v>
      </c>
      <c r="BW83" s="12">
        <f>VLOOKUP(A83,'Données projet'!$A$113:$I$133,9,0)</f>
        <v>3.2</v>
      </c>
      <c r="BX83" s="12">
        <f t="array" ref="BX83">INDEX(BW:BW,MIN(IF(ISNUMBER(BW83:BW279),ROW(BW83:BW279),"")))</f>
        <v>3.2</v>
      </c>
      <c r="BY83" s="12">
        <f>IF('Données projet'!$A$114&gt;35,BY82+BX83-CG82,IF(A83&lt;'Données projet'!$A$114,$BV$205^A83,IF(A83='Données projet'!$A$114,'Données projet'!$B$114,BY82+BX83-CG82)))</f>
        <v>207.99999999999991</v>
      </c>
      <c r="BZ83" s="13">
        <f>BY83*VLOOKUP('Données projet'!$B$12,Paramètres!$A$1:$I$89,3,0)*VLOOKUP('Données projet'!$B$12,Paramètres!$A$1:$I$89,5,0)</f>
        <v>181.70879999999994</v>
      </c>
      <c r="CA83" s="13">
        <f t="shared" si="93"/>
        <v>45.702153370067769</v>
      </c>
      <c r="CB83" s="20">
        <f t="shared" si="64"/>
        <v>396.07407711953459</v>
      </c>
      <c r="CC83" s="59">
        <f t="shared" si="65"/>
        <v>666.80268875822071</v>
      </c>
      <c r="CD83" s="59">
        <f ca="1">AVERAGE(OFFSET($CC$3,0,0,'Données projet'!$E$12+1,1))-AVERAGE(OFFSET($H$3,0,0,'Données projet'!$E$12+1,1))</f>
        <v>330.58463337575432</v>
      </c>
      <c r="CE83" s="59">
        <f t="shared" si="94"/>
        <v>285.43250599232192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11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42.492084145128302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42.492084145128302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6">
        <f t="shared" si="56"/>
        <v>183.33333333333334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189.76714074331781</v>
      </c>
      <c r="T84" s="59">
        <f t="shared" si="88"/>
        <v>458.38901659119472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266.99999999999983</v>
      </c>
      <c r="AJ84" s="13">
        <f>AI84*VLOOKUP('Données projet'!$B$10,Paramètres!$A$1:$I$89,3,0)*VLOOKUP('Données projet'!$B$10,Paramètres!$A$1:$I$89,5,0)</f>
        <v>195.76439999999985</v>
      </c>
      <c r="AK84" s="13">
        <f t="shared" si="89"/>
        <v>48.812154563023455</v>
      </c>
      <c r="AL84" s="20">
        <f t="shared" si="58"/>
        <v>425.9708325305989</v>
      </c>
      <c r="AM84" s="59">
        <f t="shared" si="59"/>
        <v>697.09158555410033</v>
      </c>
      <c r="AN84" s="59">
        <f ca="1">AVERAGE(OFFSET($AM$3,0,0,'Données projet'!$E$10+1,1))-AVERAGE(OFFSET($H$3,0,0,'Données projet'!$E$10+1,1))</f>
        <v>302.36110224755532</v>
      </c>
      <c r="AO84" s="59">
        <f t="shared" si="90"/>
        <v>292.08583531469412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31.803637847724879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31.803637847724879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9.1529999999999969</v>
      </c>
      <c r="BD84" s="12">
        <f>IF('Données projet'!$A$88&gt;35,BD83+BC84-BL83,IF(A84&lt;'Données projet'!$A$88,$BA$205^A84,IF(A84='Données projet'!$A$88,'Données projet'!$B$88,BD83+BC84-BL83)))</f>
        <v>327.63100000000014</v>
      </c>
      <c r="BE84" s="13">
        <f>BD84*VLOOKUP('Données projet'!$B$11,Paramètres!$A$1:$I$89,3,0)*VLOOKUP('Données projet'!$B$11,Paramètres!$A$1:$I$89,5,0)</f>
        <v>311.77365960000014</v>
      </c>
      <c r="BF84" s="13">
        <f t="shared" si="91"/>
        <v>73.639117808510434</v>
      </c>
      <c r="BG84" s="20">
        <f t="shared" si="61"/>
        <v>671.26058731982255</v>
      </c>
      <c r="BH84" s="59">
        <f t="shared" si="62"/>
        <v>942.38134034332393</v>
      </c>
      <c r="BI84" s="59">
        <f ca="1">AVERAGE(OFFSET($BH$3,0,0,'Données projet'!$E$11+1,1))-AVERAGE(OFFSET($H$3,0,0,'Données projet'!$E$11+1,1))</f>
        <v>697.21496579331188</v>
      </c>
      <c r="BJ84" s="59">
        <f t="shared" si="92"/>
        <v>215.64914236948769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66.067198615811321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66.067198615811321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2.8</v>
      </c>
      <c r="BY84" s="12">
        <f>IF('Données projet'!$A$114&gt;35,BY83+BX84-CG83,IF(A84&lt;'Données projet'!$A$114,$BV$205^A84,IF(A84='Données projet'!$A$114,'Données projet'!$B$114,BY83+BX84-CG83)))</f>
        <v>199.79999999999993</v>
      </c>
      <c r="BZ84" s="13">
        <f>BY84*VLOOKUP('Données projet'!$B$12,Paramètres!$A$1:$I$89,3,0)*VLOOKUP('Données projet'!$B$12,Paramètres!$A$1:$I$89,5,0)</f>
        <v>174.54527999999993</v>
      </c>
      <c r="CA84" s="13">
        <f t="shared" si="93"/>
        <v>44.106446559111959</v>
      </c>
      <c r="CB84" s="20">
        <f t="shared" si="64"/>
        <v>380.81842375711989</v>
      </c>
      <c r="CC84" s="59">
        <f t="shared" si="65"/>
        <v>651.93917678062132</v>
      </c>
      <c r="CD84" s="59">
        <f ca="1">AVERAGE(OFFSET($CC$3,0,0,'Données projet'!$E$12+1,1))-AVERAGE(OFFSET($H$3,0,0,'Données projet'!$E$12+1,1))</f>
        <v>330.58463337575432</v>
      </c>
      <c r="CE84" s="59">
        <f t="shared" si="94"/>
        <v>285.43250599232192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41.65884029265451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41.65884029265451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6">
        <f t="shared" si="56"/>
        <v>183.33333333333334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189.76714074331781</v>
      </c>
      <c r="T85" s="59">
        <f t="shared" si="88"/>
        <v>458.38901659119472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266.99999999999983</v>
      </c>
      <c r="AJ85" s="13">
        <f>AI85*VLOOKUP('Données projet'!$B$10,Paramètres!$A$1:$I$89,3,0)*VLOOKUP('Données projet'!$B$10,Paramètres!$A$1:$I$89,5,0)</f>
        <v>195.76439999999985</v>
      </c>
      <c r="AK85" s="13">
        <f t="shared" si="89"/>
        <v>48.812154563023455</v>
      </c>
      <c r="AL85" s="20">
        <f t="shared" si="58"/>
        <v>425.9708325305989</v>
      </c>
      <c r="AM85" s="59">
        <f t="shared" si="59"/>
        <v>697.47692416258587</v>
      </c>
      <c r="AN85" s="59">
        <f ca="1">AVERAGE(OFFSET($AM$3,0,0,'Données projet'!$E$10+1,1))-AVERAGE(OFFSET($H$3,0,0,'Données projet'!$E$10+1,1))</f>
        <v>302.36110224755532</v>
      </c>
      <c r="AO85" s="59">
        <f t="shared" si="90"/>
        <v>292.08583531469412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31.179987907834658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31.179987907834658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9.1529999999999969</v>
      </c>
      <c r="BD85" s="12">
        <f>IF('Données projet'!$A$88&gt;35,BD84+BC85-BL84,IF(A85&lt;'Données projet'!$A$88,$BA$205^A85,IF(A85='Données projet'!$A$88,'Données projet'!$B$88,BD84+BC85-BL84)))</f>
        <v>336.78400000000016</v>
      </c>
      <c r="BE85" s="13">
        <f>BD85*VLOOKUP('Données projet'!$B$11,Paramètres!$A$1:$I$89,3,0)*VLOOKUP('Données projet'!$B$11,Paramètres!$A$1:$I$89,5,0)</f>
        <v>320.48365440000015</v>
      </c>
      <c r="BF85" s="13">
        <f t="shared" si="91"/>
        <v>75.453978519530921</v>
      </c>
      <c r="BG85" s="20">
        <f t="shared" si="61"/>
        <v>689.59137733484988</v>
      </c>
      <c r="BH85" s="59">
        <f t="shared" si="62"/>
        <v>961.09746896683691</v>
      </c>
      <c r="BI85" s="59">
        <f ca="1">AVERAGE(OFFSET($BH$3,0,0,'Données projet'!$E$11+1,1))-AVERAGE(OFFSET($H$3,0,0,'Données projet'!$E$11+1,1))</f>
        <v>697.21496579331188</v>
      </c>
      <c r="BJ85" s="59">
        <f t="shared" si="92"/>
        <v>215.64914236948769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64.771661147967421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64.771661147967421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2.8</v>
      </c>
      <c r="BY85" s="12">
        <f>IF('Données projet'!$A$114&gt;35,BY84+BX85-CG84,IF(A85&lt;'Données projet'!$A$114,$BV$205^A85,IF(A85='Données projet'!$A$114,'Données projet'!$B$114,BY84+BX85-CG84)))</f>
        <v>202.59999999999994</v>
      </c>
      <c r="BZ85" s="13">
        <f>BY85*VLOOKUP('Données projet'!$B$12,Paramètres!$A$1:$I$89,3,0)*VLOOKUP('Données projet'!$B$12,Paramètres!$A$1:$I$89,5,0)</f>
        <v>176.99135999999996</v>
      </c>
      <c r="CA85" s="13">
        <f t="shared" si="93"/>
        <v>44.65216395512175</v>
      </c>
      <c r="CB85" s="20">
        <f t="shared" si="64"/>
        <v>386.02913755517028</v>
      </c>
      <c r="CC85" s="59">
        <f t="shared" si="65"/>
        <v>657.53522918715726</v>
      </c>
      <c r="CD85" s="59">
        <f ca="1">AVERAGE(OFFSET($CC$3,0,0,'Données projet'!$E$12+1,1))-AVERAGE(OFFSET($H$3,0,0,'Données projet'!$E$12+1,1))</f>
        <v>330.58463337575432</v>
      </c>
      <c r="CE85" s="59">
        <f t="shared" si="94"/>
        <v>285.43250599232192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40.841935843899165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40.841935843899165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6">
        <f t="shared" si="56"/>
        <v>183.33333333333334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189.76714074331781</v>
      </c>
      <c r="T86" s="59">
        <f t="shared" si="88"/>
        <v>458.38901659119472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266.99999999999983</v>
      </c>
      <c r="AJ86" s="13">
        <f>AI86*VLOOKUP('Données projet'!$B$10,Paramètres!$A$1:$I$89,3,0)*VLOOKUP('Données projet'!$B$10,Paramètres!$A$1:$I$89,5,0)</f>
        <v>195.76439999999985</v>
      </c>
      <c r="AK86" s="13">
        <f t="shared" si="89"/>
        <v>48.812154563023455</v>
      </c>
      <c r="AL86" s="20">
        <f t="shared" si="58"/>
        <v>425.9708325305989</v>
      </c>
      <c r="AM86" s="59">
        <f t="shared" si="59"/>
        <v>697.85557800770243</v>
      </c>
      <c r="AN86" s="59">
        <f ca="1">AVERAGE(OFFSET($AM$3,0,0,'Données projet'!$E$10+1,1))-AVERAGE(OFFSET($H$3,0,0,'Données projet'!$E$10+1,1))</f>
        <v>302.36110224755532</v>
      </c>
      <c r="AO86" s="59">
        <f t="shared" si="90"/>
        <v>292.08583531469412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30.568567362876781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30.568567362876781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9.1529999999999969</v>
      </c>
      <c r="BD86" s="12">
        <f>IF('Données projet'!$A$88&gt;35,BD85+BC86-BL85,IF(A86&lt;'Données projet'!$A$88,$BA$205^A86,IF(A86='Données projet'!$A$88,'Données projet'!$B$88,BD85+BC86-BL85)))</f>
        <v>345.93700000000018</v>
      </c>
      <c r="BE86" s="13">
        <f>BD86*VLOOKUP('Données projet'!$B$11,Paramètres!$A$1:$I$89,3,0)*VLOOKUP('Données projet'!$B$11,Paramètres!$A$1:$I$89,5,0)</f>
        <v>329.19364920000021</v>
      </c>
      <c r="BF86" s="13">
        <f t="shared" si="91"/>
        <v>77.263106282182619</v>
      </c>
      <c r="BG86" s="20">
        <f t="shared" si="61"/>
        <v>707.91218246480173</v>
      </c>
      <c r="BH86" s="59">
        <f t="shared" si="62"/>
        <v>979.79692794190521</v>
      </c>
      <c r="BI86" s="59">
        <f ca="1">AVERAGE(OFFSET($BH$3,0,0,'Données projet'!$E$11+1,1))-AVERAGE(OFFSET($H$3,0,0,'Données projet'!$E$11+1,1))</f>
        <v>697.21496579331188</v>
      </c>
      <c r="BJ86" s="59">
        <f t="shared" si="92"/>
        <v>215.64914236948769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63.501528379668109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63.501528379668109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2.8</v>
      </c>
      <c r="BY86" s="12">
        <f>IF('Données projet'!$A$114&gt;35,BY85+BX86-CG85,IF(A86&lt;'Données projet'!$A$114,$BV$205^A86,IF(A86='Données projet'!$A$114,'Données projet'!$B$114,BY85+BX86-CG85)))</f>
        <v>205.39999999999995</v>
      </c>
      <c r="BZ86" s="13">
        <f>BY86*VLOOKUP('Données projet'!$B$12,Paramètres!$A$1:$I$89,3,0)*VLOOKUP('Données projet'!$B$12,Paramètres!$A$1:$I$89,5,0)</f>
        <v>179.43743999999998</v>
      </c>
      <c r="CA86" s="13">
        <f t="shared" si="93"/>
        <v>45.197004138831623</v>
      </c>
      <c r="CB86" s="20">
        <f t="shared" si="64"/>
        <v>391.23832354179837</v>
      </c>
      <c r="CC86" s="59">
        <f t="shared" si="65"/>
        <v>663.12306901890179</v>
      </c>
      <c r="CD86" s="59">
        <f ca="1">AVERAGE(OFFSET($CC$3,0,0,'Données projet'!$E$12+1,1))-AVERAGE(OFFSET($H$3,0,0,'Données projet'!$E$12+1,1))</f>
        <v>330.58463337575432</v>
      </c>
      <c r="CE86" s="59">
        <f t="shared" si="94"/>
        <v>285.43250599232192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40.041050393121395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40.041050393121395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6">
        <f t="shared" si="56"/>
        <v>183.33333333333334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189.76714074331781</v>
      </c>
      <c r="T87" s="59">
        <f t="shared" si="88"/>
        <v>458.38901659119472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266.99999999999983</v>
      </c>
      <c r="AJ87" s="13">
        <f>AI87*VLOOKUP('Données projet'!$B$10,Paramètres!$A$1:$I$89,3,0)*VLOOKUP('Données projet'!$B$10,Paramètres!$A$1:$I$89,5,0)</f>
        <v>195.76439999999985</v>
      </c>
      <c r="AK87" s="13">
        <f t="shared" si="89"/>
        <v>48.812154563023455</v>
      </c>
      <c r="AL87" s="20">
        <f t="shared" si="58"/>
        <v>425.9708325305989</v>
      </c>
      <c r="AM87" s="59">
        <f t="shared" si="59"/>
        <v>698.22766305514915</v>
      </c>
      <c r="AN87" s="59">
        <f ca="1">AVERAGE(OFFSET($AM$3,0,0,'Données projet'!$E$10+1,1))-AVERAGE(OFFSET($H$3,0,0,'Données projet'!$E$10+1,1))</f>
        <v>302.36110224755532</v>
      </c>
      <c r="AO87" s="59">
        <f t="shared" si="90"/>
        <v>292.08583531469412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29.969136401875819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29.969136401875819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355.09</v>
      </c>
      <c r="BB87" s="12">
        <f>VLOOKUP(A87,'Données projet'!$A$87:$I$107,9,0)</f>
        <v>9.1529999999999969</v>
      </c>
      <c r="BC87" s="12">
        <f t="array" ref="BC87">INDEX(BB:BB,MIN(IF(ISNUMBER(BB87:BB283),ROW(BB87:BB283),"")))</f>
        <v>9.1529999999999969</v>
      </c>
      <c r="BD87" s="12">
        <f>IF('Données projet'!$A$88&gt;35,BD86+BC87-BL86,IF(A87&lt;'Données projet'!$A$88,$BA$205^A87,IF(A87='Données projet'!$A$88,'Données projet'!$B$88,BD86+BC87-BL86)))</f>
        <v>355.0900000000002</v>
      </c>
      <c r="BE87" s="13">
        <f>BD87*VLOOKUP('Données projet'!$B$11,Paramètres!$A$1:$I$89,3,0)*VLOOKUP('Données projet'!$B$11,Paramètres!$A$1:$I$89,5,0)</f>
        <v>337.90364400000021</v>
      </c>
      <c r="BF87" s="13">
        <f t="shared" si="91"/>
        <v>79.066670217764241</v>
      </c>
      <c r="BG87" s="20">
        <f t="shared" si="61"/>
        <v>726.22329726260625</v>
      </c>
      <c r="BH87" s="59">
        <f t="shared" si="62"/>
        <v>998.48012778715656</v>
      </c>
      <c r="BI87" s="59">
        <f ca="1">AVERAGE(OFFSET($BH$3,0,0,'Données projet'!$E$11+1,1))-AVERAGE(OFFSET($H$3,0,0,'Données projet'!$E$11+1,1))</f>
        <v>697.21496579331188</v>
      </c>
      <c r="BJ87" s="59">
        <f t="shared" si="92"/>
        <v>215.64914236948769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61.47</v>
      </c>
      <c r="BM87" s="16">
        <f>IF(ISNA(VLOOKUP(A87,'Données projet'!$A$87:$I$107,5,0)),0%,VLOOKUP(A87,'Données projet'!$A$87:$I$107,5,0)*VLOOKUP('Données projet'!$B$11,Paramètres!$A$1:$I$89,7,0))</f>
        <v>0.43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90.061962423951059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90.061962423951059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2.8</v>
      </c>
      <c r="BY87" s="12">
        <f>IF('Données projet'!$A$114&gt;35,BY86+BX87-CG86,IF(A87&lt;'Données projet'!$A$114,$BV$205^A87,IF(A87='Données projet'!$A$114,'Données projet'!$B$114,BY86+BX87-CG86)))</f>
        <v>208.19999999999996</v>
      </c>
      <c r="BZ87" s="13">
        <f>BY87*VLOOKUP('Données projet'!$B$12,Paramètres!$A$1:$I$89,3,0)*VLOOKUP('Données projet'!$B$12,Paramètres!$A$1:$I$89,5,0)</f>
        <v>181.88351999999998</v>
      </c>
      <c r="CA87" s="13">
        <f t="shared" si="93"/>
        <v>45.740980450513447</v>
      </c>
      <c r="CB87" s="20">
        <f t="shared" si="64"/>
        <v>396.4460049513109</v>
      </c>
      <c r="CC87" s="59">
        <f t="shared" si="65"/>
        <v>668.70283547586121</v>
      </c>
      <c r="CD87" s="59">
        <f ca="1">AVERAGE(OFFSET($CC$3,0,0,'Données projet'!$E$12+1,1))-AVERAGE(OFFSET($H$3,0,0,'Données projet'!$E$12+1,1))</f>
        <v>330.58463337575432</v>
      </c>
      <c r="CE87" s="59">
        <f t="shared" si="94"/>
        <v>285.43250599232192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39.255869817541488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39.255869817541488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6">
        <f t="shared" si="56"/>
        <v>183.33333333333334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189.76714074331781</v>
      </c>
      <c r="T88" s="59">
        <f t="shared" si="88"/>
        <v>458.38901659119472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266.99999999999983</v>
      </c>
      <c r="AJ88" s="13">
        <f>AI88*VLOOKUP('Données projet'!$B$10,Paramètres!$A$1:$I$89,3,0)*VLOOKUP('Données projet'!$B$10,Paramètres!$A$1:$I$89,5,0)</f>
        <v>195.76439999999985</v>
      </c>
      <c r="AK88" s="13">
        <f t="shared" si="89"/>
        <v>48.812154563023455</v>
      </c>
      <c r="AL88" s="20">
        <f t="shared" si="58"/>
        <v>425.9708325305989</v>
      </c>
      <c r="AM88" s="59">
        <f t="shared" si="59"/>
        <v>698.59329325888041</v>
      </c>
      <c r="AN88" s="59">
        <f ca="1">AVERAGE(OFFSET($AM$3,0,0,'Données projet'!$E$10+1,1))-AVERAGE(OFFSET($H$3,0,0,'Données projet'!$E$10+1,1))</f>
        <v>302.36110224755532</v>
      </c>
      <c r="AO88" s="59">
        <f t="shared" si="90"/>
        <v>292.08583531469412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29.381459916403301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29.381459916403301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8.6509999999999998</v>
      </c>
      <c r="BD88" s="12">
        <f>IF('Données projet'!$A$88&gt;35,BD87+BC88-BL87,IF(A88&lt;'Données projet'!$A$88,$BA$205^A88,IF(A88='Données projet'!$A$88,'Données projet'!$B$88,BD87+BC88-BL87)))</f>
        <v>302.27100000000019</v>
      </c>
      <c r="BE88" s="13">
        <f>BD88*VLOOKUP('Données projet'!$B$11,Paramètres!$A$1:$I$89,3,0)*VLOOKUP('Données projet'!$B$11,Paramètres!$A$1:$I$89,5,0)</f>
        <v>287.64108360000017</v>
      </c>
      <c r="BF88" s="13">
        <f t="shared" si="91"/>
        <v>68.5792504949669</v>
      </c>
      <c r="BG88" s="20">
        <f t="shared" si="61"/>
        <v>620.41708188206758</v>
      </c>
      <c r="BH88" s="59">
        <f t="shared" si="62"/>
        <v>893.03954261034914</v>
      </c>
      <c r="BI88" s="59">
        <f ca="1">AVERAGE(OFFSET($BH$3,0,0,'Données projet'!$E$11+1,1))-AVERAGE(OFFSET($H$3,0,0,'Données projet'!$E$11+1,1))</f>
        <v>697.21496579331188</v>
      </c>
      <c r="BJ88" s="59">
        <f t="shared" si="92"/>
        <v>215.64914236948769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88.295902273190336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88.295902273190336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211</v>
      </c>
      <c r="BW88" s="12">
        <f>VLOOKUP(A88,'Données projet'!$A$113:$I$133,9,0)</f>
        <v>2.8</v>
      </c>
      <c r="BX88" s="12">
        <f t="array" ref="BX88">INDEX(BW:BW,MIN(IF(ISNUMBER(BW88:BW284),ROW(BW88:BW284),"")))</f>
        <v>2.8</v>
      </c>
      <c r="BY88" s="12">
        <f>IF('Données projet'!$A$114&gt;35,BY87+BX88-CG87,IF(A88&lt;'Données projet'!$A$114,$BV$205^A88,IF(A88='Données projet'!$A$114,'Données projet'!$B$114,BY87+BX88-CG87)))</f>
        <v>210.99999999999997</v>
      </c>
      <c r="BZ88" s="13">
        <f>BY88*VLOOKUP('Données projet'!$B$12,Paramètres!$A$1:$I$89,3,0)*VLOOKUP('Données projet'!$B$12,Paramètres!$A$1:$I$89,5,0)</f>
        <v>184.3296</v>
      </c>
      <c r="CA88" s="13">
        <f t="shared" si="93"/>
        <v>46.284105851003062</v>
      </c>
      <c r="CB88" s="20">
        <f t="shared" si="64"/>
        <v>401.65220435716361</v>
      </c>
      <c r="CC88" s="59">
        <f t="shared" si="65"/>
        <v>674.27466508544512</v>
      </c>
      <c r="CD88" s="59">
        <f ca="1">AVERAGE(OFFSET($CC$3,0,0,'Données projet'!$E$12+1,1))-AVERAGE(OFFSET($H$3,0,0,'Données projet'!$E$12+1,1))</f>
        <v>330.58463337575432</v>
      </c>
      <c r="CE88" s="59">
        <f t="shared" si="94"/>
        <v>285.43250599232192</v>
      </c>
      <c r="CF88" s="15">
        <f>IF(ISNA(VLOOKUP(A88,'Données projet'!$A$113:$I$133,3,0)),0,VLOOKUP(A88,'Données projet'!$A$113:$I$133,3,0))</f>
        <v>14</v>
      </c>
      <c r="CG88" s="15">
        <f>IF(ISNA(VLOOKUP(A88,'Données projet'!$A$113:$I$133,4,0)),0,VLOOKUP(A88,'Données projet'!$A$113:$I$133,4,0))</f>
        <v>10</v>
      </c>
      <c r="CH88" s="16">
        <f>IF(ISNA(VLOOKUP(A88,'Données projet'!$A$113:$I$133,5,0)),0%,VLOOKUP(A88,'Données projet'!$A$113:$I$133,5,0)*VLOOKUP('Données projet'!$B$12,Paramètres!$A$1:$I$89,7,0))</f>
        <v>0.43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42.638763525443778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42.638763525443778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6">
        <f t="shared" si="56"/>
        <v>183.33333333333334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189.76714074331781</v>
      </c>
      <c r="T89" s="59">
        <f t="shared" si="88"/>
        <v>458.38901659119472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266.99999999999983</v>
      </c>
      <c r="AJ89" s="13">
        <f>AI89*VLOOKUP('Données projet'!$B$10,Paramètres!$A$1:$I$89,3,0)*VLOOKUP('Données projet'!$B$10,Paramètres!$A$1:$I$89,5,0)</f>
        <v>195.76439999999985</v>
      </c>
      <c r="AK89" s="13">
        <f t="shared" si="89"/>
        <v>48.812154563023455</v>
      </c>
      <c r="AL89" s="20">
        <f t="shared" si="58"/>
        <v>425.9708325305989</v>
      </c>
      <c r="AM89" s="59">
        <f t="shared" si="59"/>
        <v>698.9525805960036</v>
      </c>
      <c r="AN89" s="59">
        <f ca="1">AVERAGE(OFFSET($AM$3,0,0,'Données projet'!$E$10+1,1))-AVERAGE(OFFSET($H$3,0,0,'Données projet'!$E$10+1,1))</f>
        <v>302.36110224755532</v>
      </c>
      <c r="AO89" s="59">
        <f t="shared" si="90"/>
        <v>292.08583531469412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28.805307408363639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28.805307408363639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8.6509999999999998</v>
      </c>
      <c r="BD89" s="12">
        <f>IF('Données projet'!$A$88&gt;35,BD88+BC89-BL88,IF(A89&lt;'Données projet'!$A$88,$BA$205^A89,IF(A89='Données projet'!$A$88,'Données projet'!$B$88,BD88+BC89-BL88)))</f>
        <v>310.9220000000002</v>
      </c>
      <c r="BE89" s="13">
        <f>BD89*VLOOKUP('Données projet'!$B$11,Paramètres!$A$1:$I$89,3,0)*VLOOKUP('Données projet'!$B$11,Paramètres!$A$1:$I$89,5,0)</f>
        <v>295.87337520000017</v>
      </c>
      <c r="BF89" s="13">
        <f t="shared" si="91"/>
        <v>70.310668272809806</v>
      </c>
      <c r="BG89" s="20">
        <f t="shared" si="61"/>
        <v>637.77054238181074</v>
      </c>
      <c r="BH89" s="59">
        <f t="shared" si="62"/>
        <v>910.7522904472155</v>
      </c>
      <c r="BI89" s="59">
        <f ca="1">AVERAGE(OFFSET($BH$3,0,0,'Données projet'!$E$11+1,1))-AVERAGE(OFFSET($H$3,0,0,'Données projet'!$E$11+1,1))</f>
        <v>697.21496579331188</v>
      </c>
      <c r="BJ89" s="59">
        <f t="shared" si="92"/>
        <v>215.64914236948769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86.564473484795698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86.564473484795698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2.8</v>
      </c>
      <c r="BY89" s="12">
        <f>IF('Données projet'!$A$114&gt;35,BY88+BX89-CG88,IF(A89&lt;'Données projet'!$A$114,$BV$205^A89,IF(A89='Données projet'!$A$114,'Données projet'!$B$114,BY88+BX89-CG88)))</f>
        <v>203.79999999999998</v>
      </c>
      <c r="BZ89" s="13">
        <f>BY89*VLOOKUP('Données projet'!$B$12,Paramètres!$A$1:$I$89,3,0)*VLOOKUP('Données projet'!$B$12,Paramètres!$A$1:$I$89,5,0)</f>
        <v>178.03968</v>
      </c>
      <c r="CA89" s="13">
        <f t="shared" si="93"/>
        <v>44.885773518007284</v>
      </c>
      <c r="CB89" s="20">
        <f t="shared" si="64"/>
        <v>388.26183154386268</v>
      </c>
      <c r="CC89" s="59">
        <f t="shared" si="65"/>
        <v>661.24357960926739</v>
      </c>
      <c r="CD89" s="59">
        <f ca="1">AVERAGE(OFFSET($CC$3,0,0,'Données projet'!$E$12+1,1))-AVERAGE(OFFSET($H$3,0,0,'Données projet'!$E$12+1,1))</f>
        <v>330.58463337575432</v>
      </c>
      <c r="CE89" s="59">
        <f t="shared" si="94"/>
        <v>285.43250599232192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41.80264337978759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41.80264337978759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6">
        <f t="shared" si="56"/>
        <v>183.33333333333334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189.76714074331781</v>
      </c>
      <c r="T90" s="59">
        <f t="shared" si="88"/>
        <v>458.38901659119472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266.99999999999983</v>
      </c>
      <c r="AJ90" s="13">
        <f>AI90*VLOOKUP('Données projet'!$B$10,Paramètres!$A$1:$I$89,3,0)*VLOOKUP('Données projet'!$B$10,Paramètres!$A$1:$I$89,5,0)</f>
        <v>195.76439999999985</v>
      </c>
      <c r="AK90" s="13">
        <f t="shared" si="89"/>
        <v>48.812154563023455</v>
      </c>
      <c r="AL90" s="20">
        <f t="shared" si="58"/>
        <v>425.9708325305989</v>
      </c>
      <c r="AM90" s="59">
        <f t="shared" si="59"/>
        <v>699.30563510107368</v>
      </c>
      <c r="AN90" s="59">
        <f ca="1">AVERAGE(OFFSET($AM$3,0,0,'Données projet'!$E$10+1,1))-AVERAGE(OFFSET($H$3,0,0,'Données projet'!$E$10+1,1))</f>
        <v>302.36110224755532</v>
      </c>
      <c r="AO90" s="59">
        <f t="shared" si="90"/>
        <v>292.08583531469412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28.240452899588302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28.240452899588302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8.6509999999999998</v>
      </c>
      <c r="BD90" s="12">
        <f>IF('Données projet'!$A$88&gt;35,BD89+BC90-BL89,IF(A90&lt;'Données projet'!$A$88,$BA$205^A90,IF(A90='Données projet'!$A$88,'Données projet'!$B$88,BD89+BC90-BL89)))</f>
        <v>319.57300000000021</v>
      </c>
      <c r="BE90" s="13">
        <f>BD90*VLOOKUP('Données projet'!$B$11,Paramètres!$A$1:$I$89,3,0)*VLOOKUP('Données projet'!$B$11,Paramètres!$A$1:$I$89,5,0)</f>
        <v>304.10566680000022</v>
      </c>
      <c r="BF90" s="13">
        <f t="shared" si="91"/>
        <v>72.036486852364632</v>
      </c>
      <c r="BG90" s="20">
        <f t="shared" si="61"/>
        <v>655.11425094453546</v>
      </c>
      <c r="BH90" s="59">
        <f t="shared" si="62"/>
        <v>928.44905351501029</v>
      </c>
      <c r="BI90" s="59">
        <f ca="1">AVERAGE(OFFSET($BH$3,0,0,'Données projet'!$E$11+1,1))-AVERAGE(OFFSET($H$3,0,0,'Données projet'!$E$11+1,1))</f>
        <v>697.21496579331188</v>
      </c>
      <c r="BJ90" s="59">
        <f t="shared" si="92"/>
        <v>215.64914236948769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84.866996958874196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84.866996958874196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2.8</v>
      </c>
      <c r="BY90" s="12">
        <f>IF('Données projet'!$A$114&gt;35,BY89+BX90-CG89,IF(A90&lt;'Données projet'!$A$114,$BV$205^A90,IF(A90='Données projet'!$A$114,'Données projet'!$B$114,BY89+BX90-CG89)))</f>
        <v>206.6</v>
      </c>
      <c r="BZ90" s="13">
        <f>BY90*VLOOKUP('Données projet'!$B$12,Paramètres!$A$1:$I$89,3,0)*VLOOKUP('Données projet'!$B$12,Paramètres!$A$1:$I$89,5,0)</f>
        <v>180.48576000000003</v>
      </c>
      <c r="CA90" s="13">
        <f t="shared" si="93"/>
        <v>45.430241859839441</v>
      </c>
      <c r="CB90" s="20">
        <f t="shared" si="64"/>
        <v>393.47036990588708</v>
      </c>
      <c r="CC90" s="59">
        <f t="shared" si="65"/>
        <v>666.80517247636192</v>
      </c>
      <c r="CD90" s="59">
        <f ca="1">AVERAGE(OFFSET($CC$3,0,0,'Données projet'!$E$12+1,1))-AVERAGE(OFFSET($H$3,0,0,'Données projet'!$E$12+1,1))</f>
        <v>330.58463337575432</v>
      </c>
      <c r="CE90" s="59">
        <f t="shared" si="94"/>
        <v>285.43250599232192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40.982919040204784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40.982919040204784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6">
        <f t="shared" si="56"/>
        <v>183.33333333333334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189.76714074331781</v>
      </c>
      <c r="T91" s="59">
        <f t="shared" si="88"/>
        <v>458.38901659119472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266.99999999999983</v>
      </c>
      <c r="AJ91" s="13">
        <f>AI91*VLOOKUP('Données projet'!$B$10,Paramètres!$A$1:$I$89,3,0)*VLOOKUP('Données projet'!$B$10,Paramètres!$A$1:$I$89,5,0)</f>
        <v>195.76439999999985</v>
      </c>
      <c r="AK91" s="13">
        <f t="shared" si="89"/>
        <v>48.812154563023455</v>
      </c>
      <c r="AL91" s="20">
        <f t="shared" si="58"/>
        <v>425.9708325305989</v>
      </c>
      <c r="AM91" s="59">
        <f t="shared" si="59"/>
        <v>699.65256489979265</v>
      </c>
      <c r="AN91" s="59">
        <f ca="1">AVERAGE(OFFSET($AM$3,0,0,'Données projet'!$E$10+1,1))-AVERAGE(OFFSET($H$3,0,0,'Données projet'!$E$10+1,1))</f>
        <v>302.36110224755532</v>
      </c>
      <c r="AO91" s="59">
        <f t="shared" si="90"/>
        <v>292.08583531469412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27.68667484320282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27.68667484320282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8.6509999999999998</v>
      </c>
      <c r="BD91" s="12">
        <f>IF('Données projet'!$A$88&gt;35,BD90+BC91-BL90,IF(A91&lt;'Données projet'!$A$88,$BA$205^A91,IF(A91='Données projet'!$A$88,'Données projet'!$B$88,BD90+BC91-BL90)))</f>
        <v>328.22400000000022</v>
      </c>
      <c r="BE91" s="13">
        <f>BD91*VLOOKUP('Données projet'!$B$11,Paramètres!$A$1:$I$89,3,0)*VLOOKUP('Données projet'!$B$11,Paramètres!$A$1:$I$89,5,0)</f>
        <v>312.33795840000022</v>
      </c>
      <c r="BF91" s="13">
        <f t="shared" si="91"/>
        <v>73.756875225294692</v>
      </c>
      <c r="BG91" s="20">
        <f t="shared" si="61"/>
        <v>672.44850189738861</v>
      </c>
      <c r="BH91" s="59">
        <f t="shared" si="62"/>
        <v>946.13023426658231</v>
      </c>
      <c r="BI91" s="59">
        <f ca="1">AVERAGE(OFFSET($BH$3,0,0,'Données projet'!$E$11+1,1))-AVERAGE(OFFSET($H$3,0,0,'Données projet'!$E$11+1,1))</f>
        <v>697.21496579331188</v>
      </c>
      <c r="BJ91" s="59">
        <f t="shared" si="92"/>
        <v>215.64914236948769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83.202806912267576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83.202806912267576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2.8</v>
      </c>
      <c r="BY91" s="12">
        <f>IF('Données projet'!$A$114&gt;35,BY90+BX91-CG90,IF(A91&lt;'Données projet'!$A$114,$BV$205^A91,IF(A91='Données projet'!$A$114,'Données projet'!$B$114,BY90+BX91-CG90)))</f>
        <v>209.4</v>
      </c>
      <c r="BZ91" s="13">
        <f>BY91*VLOOKUP('Données projet'!$B$12,Paramètres!$A$1:$I$89,3,0)*VLOOKUP('Données projet'!$B$12,Paramètres!$A$1:$I$89,5,0)</f>
        <v>182.93184000000002</v>
      </c>
      <c r="CA91" s="13">
        <f t="shared" si="93"/>
        <v>45.973851929814685</v>
      </c>
      <c r="CB91" s="20">
        <f t="shared" si="64"/>
        <v>398.67741344442726</v>
      </c>
      <c r="CC91" s="59">
        <f t="shared" si="65"/>
        <v>672.3591458136209</v>
      </c>
      <c r="CD91" s="59">
        <f ca="1">AVERAGE(OFFSET($CC$3,0,0,'Données projet'!$E$12+1,1))-AVERAGE(OFFSET($H$3,0,0,'Données projet'!$E$12+1,1))</f>
        <v>330.58463337575432</v>
      </c>
      <c r="CE91" s="59">
        <f t="shared" si="94"/>
        <v>285.43250599232192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40.179268994938724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40.179268994938724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6">
        <f t="shared" si="56"/>
        <v>183.33333333333334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189.76714074331781</v>
      </c>
      <c r="T92" s="59">
        <f t="shared" si="88"/>
        <v>458.38901659119472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266.99999999999983</v>
      </c>
      <c r="AJ92" s="13">
        <f>AI92*VLOOKUP('Données projet'!$B$10,Paramètres!$A$1:$I$89,3,0)*VLOOKUP('Données projet'!$B$10,Paramètres!$A$1:$I$89,5,0)</f>
        <v>195.76439999999985</v>
      </c>
      <c r="AK92" s="13">
        <f t="shared" si="89"/>
        <v>48.812154563023455</v>
      </c>
      <c r="AL92" s="20">
        <f t="shared" si="58"/>
        <v>425.9708325305989</v>
      </c>
      <c r="AM92" s="59">
        <f t="shared" si="59"/>
        <v>699.99347624212248</v>
      </c>
      <c r="AN92" s="59">
        <f ca="1">AVERAGE(OFFSET($AM$3,0,0,'Données projet'!$E$10+1,1))-AVERAGE(OFFSET($H$3,0,0,'Données projet'!$E$10+1,1))</f>
        <v>302.36110224755532</v>
      </c>
      <c r="AO92" s="59">
        <f t="shared" si="90"/>
        <v>292.08583531469412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27.143756036731794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27.143756036731794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8.6509999999999998</v>
      </c>
      <c r="BD92" s="12">
        <f>IF('Données projet'!$A$88&gt;35,BD91+BC92-BL91,IF(A92&lt;'Données projet'!$A$88,$BA$205^A92,IF(A92='Données projet'!$A$88,'Données projet'!$B$88,BD91+BC92-BL91)))</f>
        <v>336.87500000000023</v>
      </c>
      <c r="BE92" s="13">
        <f>BD92*VLOOKUP('Données projet'!$B$11,Paramètres!$A$1:$I$89,3,0)*VLOOKUP('Données projet'!$B$11,Paramètres!$A$1:$I$89,5,0)</f>
        <v>320.57025000000021</v>
      </c>
      <c r="BF92" s="13">
        <f t="shared" si="91"/>
        <v>75.471992967732689</v>
      </c>
      <c r="BG92" s="20">
        <f t="shared" si="61"/>
        <v>689.77357316880159</v>
      </c>
      <c r="BH92" s="59">
        <f t="shared" si="62"/>
        <v>963.79621688032512</v>
      </c>
      <c r="BI92" s="59">
        <f ca="1">AVERAGE(OFFSET($BH$3,0,0,'Données projet'!$E$11+1,1))-AVERAGE(OFFSET($H$3,0,0,'Données projet'!$E$11+1,1))</f>
        <v>697.21496579331188</v>
      </c>
      <c r="BJ92" s="59">
        <f t="shared" si="92"/>
        <v>215.64914236948769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81.57125061741921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81.57125061741921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2.8</v>
      </c>
      <c r="BY92" s="12">
        <f>IF('Données projet'!$A$114&gt;35,BY91+BX92-CG91,IF(A92&lt;'Données projet'!$A$114,$BV$205^A92,IF(A92='Données projet'!$A$114,'Données projet'!$B$114,BY91+BX92-CG91)))</f>
        <v>212.20000000000002</v>
      </c>
      <c r="BZ92" s="13">
        <f>BY92*VLOOKUP('Données projet'!$B$12,Paramètres!$A$1:$I$89,3,0)*VLOOKUP('Données projet'!$B$12,Paramètres!$A$1:$I$89,5,0)</f>
        <v>185.37792000000005</v>
      </c>
      <c r="CA92" s="13">
        <f t="shared" si="93"/>
        <v>46.516616531004161</v>
      </c>
      <c r="CB92" s="20">
        <f t="shared" si="64"/>
        <v>403.88298445816571</v>
      </c>
      <c r="CC92" s="59">
        <f t="shared" si="65"/>
        <v>677.90562816968929</v>
      </c>
      <c r="CD92" s="59">
        <f ca="1">AVERAGE(OFFSET($CC$3,0,0,'Données projet'!$E$12+1,1))-AVERAGE(OFFSET($H$3,0,0,'Données projet'!$E$12+1,1))</f>
        <v>330.58463337575432</v>
      </c>
      <c r="CE92" s="59">
        <f t="shared" si="94"/>
        <v>285.43250599232192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39.391378036882202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39.391378036882202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6">
        <f t="shared" si="56"/>
        <v>183.33333333333334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189.76714074331781</v>
      </c>
      <c r="T93" s="59">
        <f t="shared" si="88"/>
        <v>458.38901659119472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266.99999999999983</v>
      </c>
      <c r="AJ93" s="13">
        <f>AI93*VLOOKUP('Données projet'!$B$10,Paramètres!$A$1:$I$89,3,0)*VLOOKUP('Données projet'!$B$10,Paramètres!$A$1:$I$89,5,0)</f>
        <v>195.76439999999985</v>
      </c>
      <c r="AK93" s="13">
        <f t="shared" si="89"/>
        <v>48.812154563023455</v>
      </c>
      <c r="AL93" s="20">
        <f t="shared" si="58"/>
        <v>425.9708325305989</v>
      </c>
      <c r="AM93" s="59">
        <f t="shared" si="59"/>
        <v>700.32847353482657</v>
      </c>
      <c r="AN93" s="59">
        <f ca="1">AVERAGE(OFFSET($AM$3,0,0,'Données projet'!$E$10+1,1))-AVERAGE(OFFSET($H$3,0,0,'Données projet'!$E$10+1,1))</f>
        <v>302.36110224755532</v>
      </c>
      <c r="AO93" s="59">
        <f t="shared" si="90"/>
        <v>292.08583531469412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26.61148353690789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26.61148353690789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8.6509999999999998</v>
      </c>
      <c r="BD93" s="12">
        <f>IF('Données projet'!$A$88&gt;35,BD92+BC93-BL92,IF(A93&lt;'Données projet'!$A$88,$BA$205^A93,IF(A93='Données projet'!$A$88,'Données projet'!$B$88,BD92+BC93-BL92)))</f>
        <v>345.52600000000024</v>
      </c>
      <c r="BE93" s="13">
        <f>BD93*VLOOKUP('Données projet'!$B$11,Paramètres!$A$1:$I$89,3,0)*VLOOKUP('Données projet'!$B$11,Paramètres!$A$1:$I$89,5,0)</f>
        <v>328.80254160000021</v>
      </c>
      <c r="BF93" s="13">
        <f t="shared" si="91"/>
        <v>77.181990993010714</v>
      </c>
      <c r="BG93" s="20">
        <f t="shared" si="61"/>
        <v>707.08972759949404</v>
      </c>
      <c r="BH93" s="59">
        <f t="shared" si="62"/>
        <v>981.44736860372177</v>
      </c>
      <c r="BI93" s="59">
        <f ca="1">AVERAGE(OFFSET($BH$3,0,0,'Données projet'!$E$11+1,1))-AVERAGE(OFFSET($H$3,0,0,'Données projet'!$E$11+1,1))</f>
        <v>697.21496579331188</v>
      </c>
      <c r="BJ93" s="59">
        <f t="shared" si="92"/>
        <v>215.64914236948769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79.971688146361743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79.971688146361743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215</v>
      </c>
      <c r="BW93" s="12">
        <f>VLOOKUP(A93,'Données projet'!$A$113:$I$133,9,0)</f>
        <v>2.8</v>
      </c>
      <c r="BX93" s="12">
        <f t="array" ref="BX93">INDEX(BW:BW,MIN(IF(ISNUMBER(BW93:BW289),ROW(BW93:BW289),"")))</f>
        <v>2.8</v>
      </c>
      <c r="BY93" s="12">
        <f>IF('Données projet'!$A$114&gt;35,BY92+BX93-CG92,IF(A93&lt;'Données projet'!$A$114,$BV$205^A93,IF(A93='Données projet'!$A$114,'Données projet'!$B$114,BY92+BX93-CG92)))</f>
        <v>215.00000000000003</v>
      </c>
      <c r="BZ93" s="13">
        <f>BY93*VLOOKUP('Données projet'!$B$12,Paramètres!$A$1:$I$89,3,0)*VLOOKUP('Données projet'!$B$12,Paramètres!$A$1:$I$89,5,0)</f>
        <v>187.82400000000007</v>
      </c>
      <c r="CA93" s="13">
        <f t="shared" si="93"/>
        <v>47.05854810918273</v>
      </c>
      <c r="CB93" s="20">
        <f t="shared" si="64"/>
        <v>409.08710462349336</v>
      </c>
      <c r="CC93" s="59">
        <f t="shared" si="65"/>
        <v>683.44474562772098</v>
      </c>
      <c r="CD93" s="59">
        <f ca="1">AVERAGE(OFFSET($CC$3,0,0,'Données projet'!$E$12+1,1))-AVERAGE(OFFSET($H$3,0,0,'Données projet'!$E$12+1,1))</f>
        <v>330.58463337575432</v>
      </c>
      <c r="CE93" s="59">
        <f t="shared" si="94"/>
        <v>285.43250599232192</v>
      </c>
      <c r="CF93" s="15">
        <f>IF(ISNA(VLOOKUP(A93,'Données projet'!$A$113:$I$133,3,0)),0,VLOOKUP(A93,'Données projet'!$A$113:$I$133,3,0))</f>
        <v>15</v>
      </c>
      <c r="CG93" s="15">
        <f>IF(ISNA(VLOOKUP(A93,'Données projet'!$A$113:$I$133,4,0)),0,VLOOKUP(A93,'Données projet'!$A$113:$I$133,4,0))</f>
        <v>10</v>
      </c>
      <c r="CH93" s="16">
        <f>IF(ISNA(VLOOKUP(A93,'Données projet'!$A$113:$I$133,5,0)),0%,VLOOKUP(A93,'Données projet'!$A$113:$I$133,5,0)*VLOOKUP('Données projet'!$B$12,Paramètres!$A$1:$I$89,7,0))</f>
        <v>0.43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42.771614511255073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42.771614511255073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6">
        <f t="shared" si="56"/>
        <v>183.33333333333334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189.76714074331781</v>
      </c>
      <c r="T94" s="59">
        <f t="shared" si="88"/>
        <v>458.38901659119472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266.99999999999983</v>
      </c>
      <c r="AJ94" s="13">
        <f>AI94*VLOOKUP('Données projet'!$B$10,Paramètres!$A$1:$I$89,3,0)*VLOOKUP('Données projet'!$B$10,Paramètres!$A$1:$I$89,5,0)</f>
        <v>195.76439999999985</v>
      </c>
      <c r="AK94" s="13">
        <f t="shared" si="89"/>
        <v>48.812154563023455</v>
      </c>
      <c r="AL94" s="20">
        <f t="shared" si="58"/>
        <v>425.9708325305989</v>
      </c>
      <c r="AM94" s="59">
        <f t="shared" si="59"/>
        <v>700.65765937344395</v>
      </c>
      <c r="AN94" s="59">
        <f ca="1">AVERAGE(OFFSET($AM$3,0,0,'Données projet'!$E$10+1,1))-AVERAGE(OFFSET($H$3,0,0,'Données projet'!$E$10+1,1))</f>
        <v>302.36110224755532</v>
      </c>
      <c r="AO94" s="59">
        <f t="shared" si="90"/>
        <v>292.08583531469412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26.089648576151365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26.089648576151365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8.6509999999999998</v>
      </c>
      <c r="BD94" s="12">
        <f>IF('Données projet'!$A$88&gt;35,BD93+BC94-BL93,IF(A94&lt;'Données projet'!$A$88,$BA$205^A94,IF(A94='Données projet'!$A$88,'Données projet'!$B$88,BD93+BC94-BL93)))</f>
        <v>354.17700000000025</v>
      </c>
      <c r="BE94" s="13">
        <f>BD94*VLOOKUP('Données projet'!$B$11,Paramètres!$A$1:$I$89,3,0)*VLOOKUP('Données projet'!$B$11,Paramètres!$A$1:$I$89,5,0)</f>
        <v>337.03483320000021</v>
      </c>
      <c r="BF94" s="13">
        <f t="shared" si="91"/>
        <v>78.887012226883613</v>
      </c>
      <c r="BG94" s="20">
        <f t="shared" si="61"/>
        <v>724.39721411848916</v>
      </c>
      <c r="BH94" s="59">
        <f t="shared" si="62"/>
        <v>999.08404096133427</v>
      </c>
      <c r="BI94" s="59">
        <f ca="1">AVERAGE(OFFSET($BH$3,0,0,'Données projet'!$E$11+1,1))-AVERAGE(OFFSET($H$3,0,0,'Données projet'!$E$11+1,1))</f>
        <v>697.21496579331188</v>
      </c>
      <c r="BJ94" s="59">
        <f t="shared" si="92"/>
        <v>215.64914236948769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78.403492119724945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78.403492119724945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2.8</v>
      </c>
      <c r="BY94" s="12">
        <f>IF('Données projet'!$A$114&gt;35,BY93+BX94-CG93,IF(A94&lt;'Données projet'!$A$114,$BV$205^A94,IF(A94='Données projet'!$A$114,'Données projet'!$B$114,BY93+BX94-CG93)))</f>
        <v>207.80000000000004</v>
      </c>
      <c r="BZ94" s="13">
        <f>BY94*VLOOKUP('Données projet'!$B$12,Paramètres!$A$1:$I$89,3,0)*VLOOKUP('Données projet'!$B$12,Paramètres!$A$1:$I$89,5,0)</f>
        <v>181.53408000000007</v>
      </c>
      <c r="CA94" s="13">
        <f t="shared" si="93"/>
        <v>45.663321943731901</v>
      </c>
      <c r="CB94" s="20">
        <f t="shared" si="64"/>
        <v>395.7021417186665</v>
      </c>
      <c r="CC94" s="59">
        <f t="shared" si="65"/>
        <v>670.38896856151155</v>
      </c>
      <c r="CD94" s="59">
        <f ca="1">AVERAGE(OFFSET($CC$3,0,0,'Données projet'!$E$12+1,1))-AVERAGE(OFFSET($H$3,0,0,'Données projet'!$E$12+1,1))</f>
        <v>330.58463337575432</v>
      </c>
      <c r="CE94" s="59">
        <f t="shared" si="94"/>
        <v>285.43250599232192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41.932889238798225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41.932889238798225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6">
        <f t="shared" si="56"/>
        <v>183.33333333333334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189.76714074331781</v>
      </c>
      <c r="T95" s="59">
        <f t="shared" si="88"/>
        <v>458.38901659119472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266.99999999999983</v>
      </c>
      <c r="AJ95" s="13">
        <f>AI95*VLOOKUP('Données projet'!$B$10,Paramètres!$A$1:$I$89,3,0)*VLOOKUP('Données projet'!$B$10,Paramètres!$A$1:$I$89,5,0)</f>
        <v>195.76439999999985</v>
      </c>
      <c r="AK95" s="13">
        <f t="shared" si="89"/>
        <v>48.812154563023455</v>
      </c>
      <c r="AL95" s="20">
        <f t="shared" si="58"/>
        <v>425.9708325305989</v>
      </c>
      <c r="AM95" s="59">
        <f t="shared" si="59"/>
        <v>700.98113457371062</v>
      </c>
      <c r="AN95" s="59">
        <f ca="1">AVERAGE(OFFSET($AM$3,0,0,'Données projet'!$E$10+1,1))-AVERAGE(OFFSET($H$3,0,0,'Données projet'!$E$10+1,1))</f>
        <v>302.36110224755532</v>
      </c>
      <c r="AO95" s="59">
        <f t="shared" si="90"/>
        <v>292.08583531469412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25.57804648068738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25.57804648068738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8.6509999999999998</v>
      </c>
      <c r="BD95" s="12">
        <f>IF('Données projet'!$A$88&gt;35,BD94+BC95-BL94,IF(A95&lt;'Données projet'!$A$88,$BA$205^A95,IF(A95='Données projet'!$A$88,'Données projet'!$B$88,BD94+BC95-BL94)))</f>
        <v>362.82800000000026</v>
      </c>
      <c r="BE95" s="13">
        <f>BD95*VLOOKUP('Données projet'!$B$11,Paramètres!$A$1:$I$89,3,0)*VLOOKUP('Données projet'!$B$11,Paramètres!$A$1:$I$89,5,0)</f>
        <v>345.26712480000026</v>
      </c>
      <c r="BF95" s="13">
        <f t="shared" si="91"/>
        <v>80.587192214923689</v>
      </c>
      <c r="BG95" s="20">
        <f t="shared" si="61"/>
        <v>741.69626880099247</v>
      </c>
      <c r="BH95" s="59">
        <f t="shared" si="62"/>
        <v>1016.7065708441041</v>
      </c>
      <c r="BI95" s="59">
        <f ca="1">AVERAGE(OFFSET($BH$3,0,0,'Données projet'!$E$11+1,1))-AVERAGE(OFFSET($H$3,0,0,'Données projet'!$E$11+1,1))</f>
        <v>697.21496579331188</v>
      </c>
      <c r="BJ95" s="59">
        <f t="shared" si="92"/>
        <v>215.64914236948769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76.866047460665357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76.866047460665357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2.8</v>
      </c>
      <c r="BY95" s="12">
        <f>IF('Données projet'!$A$114&gt;35,BY94+BX95-CG94,IF(A95&lt;'Données projet'!$A$114,$BV$205^A95,IF(A95='Données projet'!$A$114,'Données projet'!$B$114,BY94+BX95-CG94)))</f>
        <v>210.60000000000005</v>
      </c>
      <c r="BZ95" s="13">
        <f>BY95*VLOOKUP('Données projet'!$B$12,Paramètres!$A$1:$I$89,3,0)*VLOOKUP('Données projet'!$B$12,Paramètres!$A$1:$I$89,5,0)</f>
        <v>183.98016000000007</v>
      </c>
      <c r="CA95" s="13">
        <f t="shared" si="93"/>
        <v>46.206568123393758</v>
      </c>
      <c r="CB95" s="20">
        <f t="shared" si="64"/>
        <v>400.9085514815776</v>
      </c>
      <c r="CC95" s="59">
        <f t="shared" si="65"/>
        <v>675.91885352468933</v>
      </c>
      <c r="CD95" s="59">
        <f ca="1">AVERAGE(OFFSET($CC$3,0,0,'Données projet'!$E$12+1,1))-AVERAGE(OFFSET($H$3,0,0,'Données projet'!$E$12+1,1))</f>
        <v>330.58463337575432</v>
      </c>
      <c r="CE95" s="59">
        <f t="shared" si="94"/>
        <v>285.43250599232192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41.110610857362353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41.110610857362353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6">
        <f t="shared" si="56"/>
        <v>183.33333333333334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189.76714074331781</v>
      </c>
      <c r="T96" s="59">
        <f t="shared" si="88"/>
        <v>458.38901659119472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266.99999999999983</v>
      </c>
      <c r="AJ96" s="13">
        <f>AI96*VLOOKUP('Données projet'!$B$10,Paramètres!$A$1:$I$89,3,0)*VLOOKUP('Données projet'!$B$10,Paramètres!$A$1:$I$89,5,0)</f>
        <v>195.76439999999985</v>
      </c>
      <c r="AK96" s="13">
        <f t="shared" si="89"/>
        <v>48.812154563023455</v>
      </c>
      <c r="AL96" s="20">
        <f t="shared" si="58"/>
        <v>425.9708325305989</v>
      </c>
      <c r="AM96" s="59">
        <f t="shared" si="59"/>
        <v>701.29899820243486</v>
      </c>
      <c r="AN96" s="59">
        <f ca="1">AVERAGE(OFFSET($AM$3,0,0,'Données projet'!$E$10+1,1))-AVERAGE(OFFSET($H$3,0,0,'Données projet'!$E$10+1,1))</f>
        <v>302.36110224755532</v>
      </c>
      <c r="AO96" s="59">
        <f t="shared" si="90"/>
        <v>292.08583531469412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25.076476590268978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25.076476590268978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8.6509999999999998</v>
      </c>
      <c r="BD96" s="12">
        <f>IF('Données projet'!$A$88&gt;35,BD95+BC96-BL95,IF(A96&lt;'Données projet'!$A$88,$BA$205^A96,IF(A96='Données projet'!$A$88,'Données projet'!$B$88,BD95+BC96-BL95)))</f>
        <v>371.47900000000027</v>
      </c>
      <c r="BE96" s="13">
        <f>BD96*VLOOKUP('Données projet'!$B$11,Paramètres!$A$1:$I$89,3,0)*VLOOKUP('Données projet'!$B$11,Paramètres!$A$1:$I$89,5,0)</f>
        <v>353.49941640000026</v>
      </c>
      <c r="BF96" s="13">
        <f t="shared" si="91"/>
        <v>82.282659670354974</v>
      </c>
      <c r="BG96" s="20">
        <f t="shared" si="61"/>
        <v>758.98711582253543</v>
      </c>
      <c r="BH96" s="59">
        <f t="shared" si="62"/>
        <v>1034.3152814943714</v>
      </c>
      <c r="BI96" s="59">
        <f ca="1">AVERAGE(OFFSET($BH$3,0,0,'Données projet'!$E$11+1,1))-AVERAGE(OFFSET($H$3,0,0,'Données projet'!$E$11+1,1))</f>
        <v>697.21496579331188</v>
      </c>
      <c r="BJ96" s="59">
        <f t="shared" si="92"/>
        <v>215.64914236948769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75.358751153621284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75.358751153621284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2.8</v>
      </c>
      <c r="BY96" s="12">
        <f>IF('Données projet'!$A$114&gt;35,BY95+BX96-CG95,IF(A96&lt;'Données projet'!$A$114,$BV$205^A96,IF(A96='Données projet'!$A$114,'Données projet'!$B$114,BY95+BX96-CG95)))</f>
        <v>213.40000000000006</v>
      </c>
      <c r="BZ96" s="13">
        <f>BY96*VLOOKUP('Données projet'!$B$12,Paramètres!$A$1:$I$89,3,0)*VLOOKUP('Données projet'!$B$12,Paramètres!$A$1:$I$89,5,0)</f>
        <v>186.42624000000009</v>
      </c>
      <c r="CA96" s="13">
        <f t="shared" si="93"/>
        <v>46.748974211060826</v>
      </c>
      <c r="CB96" s="20">
        <f t="shared" si="64"/>
        <v>406.11349808426439</v>
      </c>
      <c r="CC96" s="59">
        <f t="shared" si="65"/>
        <v>681.4416637561003</v>
      </c>
      <c r="CD96" s="59">
        <f ca="1">AVERAGE(OFFSET($CC$3,0,0,'Données projet'!$E$12+1,1))-AVERAGE(OFFSET($H$3,0,0,'Données projet'!$E$12+1,1))</f>
        <v>330.58463337575432</v>
      </c>
      <c r="CE96" s="59">
        <f t="shared" si="94"/>
        <v>285.43250599232192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40.304456853446148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40.304456853446148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6">
        <f t="shared" si="56"/>
        <v>183.33333333333334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189.76714074331781</v>
      </c>
      <c r="T97" s="59">
        <f t="shared" si="88"/>
        <v>458.38901659119472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266.99999999999983</v>
      </c>
      <c r="AJ97" s="13">
        <f>AI97*VLOOKUP('Données projet'!$B$10,Paramètres!$A$1:$I$89,3,0)*VLOOKUP('Données projet'!$B$10,Paramètres!$A$1:$I$89,5,0)</f>
        <v>195.76439999999985</v>
      </c>
      <c r="AK97" s="13">
        <f t="shared" si="89"/>
        <v>48.812154563023455</v>
      </c>
      <c r="AL97" s="20">
        <f t="shared" si="58"/>
        <v>425.9708325305989</v>
      </c>
      <c r="AM97" s="59">
        <f t="shared" si="59"/>
        <v>701.61134760783739</v>
      </c>
      <c r="AN97" s="59">
        <f ca="1">AVERAGE(OFFSET($AM$3,0,0,'Données projet'!$E$10+1,1))-AVERAGE(OFFSET($H$3,0,0,'Données projet'!$E$10+1,1))</f>
        <v>302.36110224755532</v>
      </c>
      <c r="AO97" s="59">
        <f t="shared" si="90"/>
        <v>292.08583531469412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24.584742179474254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24.584742179474254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380.13</v>
      </c>
      <c r="BB97" s="12">
        <f>VLOOKUP(A97,'Données projet'!$A$87:$I$107,9,0)</f>
        <v>8.6509999999999998</v>
      </c>
      <c r="BC97" s="12">
        <f t="array" ref="BC97">INDEX(BB:BB,MIN(IF(ISNUMBER(BB97:BB293),ROW(BB97:BB293),"")))</f>
        <v>8.6509999999999998</v>
      </c>
      <c r="BD97" s="12">
        <f>IF('Données projet'!$A$88&gt;35,BD96+BC97-BL96,IF(A97&lt;'Données projet'!$A$88,$BA$205^A97,IF(A97='Données projet'!$A$88,'Données projet'!$B$88,BD96+BC97-BL96)))</f>
        <v>380.13000000000028</v>
      </c>
      <c r="BE97" s="13">
        <f>BD97*VLOOKUP('Données projet'!$B$11,Paramètres!$A$1:$I$89,3,0)*VLOOKUP('Données projet'!$B$11,Paramètres!$A$1:$I$89,5,0)</f>
        <v>361.73170800000025</v>
      </c>
      <c r="BF97" s="13">
        <f t="shared" si="91"/>
        <v>83.973536969416926</v>
      </c>
      <c r="BG97" s="20">
        <f t="shared" si="61"/>
        <v>776.26996832173484</v>
      </c>
      <c r="BH97" s="59">
        <f t="shared" si="62"/>
        <v>1051.9104833989734</v>
      </c>
      <c r="BI97" s="59">
        <f ca="1">AVERAGE(OFFSET($BH$3,0,0,'Données projet'!$E$11+1,1))-AVERAGE(OFFSET($H$3,0,0,'Données projet'!$E$11+1,1))</f>
        <v>697.21496579331188</v>
      </c>
      <c r="BJ97" s="59">
        <f t="shared" si="92"/>
        <v>215.64914236948769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61.85</v>
      </c>
      <c r="BM97" s="16">
        <f>IF(ISNA(VLOOKUP(A97,'Données projet'!$A$87:$I$107,5,0)),0%,VLOOKUP(A97,'Données projet'!$A$87:$I$107,5,0)*VLOOKUP('Données projet'!$B$11,Paramètres!$A$1:$I$89,7,0))</f>
        <v>0.43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101.85856347268971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101.85856347268971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2.8</v>
      </c>
      <c r="BY97" s="12">
        <f>IF('Données projet'!$A$114&gt;35,BY96+BX97-CG96,IF(A97&lt;'Données projet'!$A$114,$BV$205^A97,IF(A97='Données projet'!$A$114,'Données projet'!$B$114,BY96+BX97-CG96)))</f>
        <v>216.20000000000007</v>
      </c>
      <c r="BZ97" s="13">
        <f>BY97*VLOOKUP('Données projet'!$B$12,Paramètres!$A$1:$I$89,3,0)*VLOOKUP('Données projet'!$B$12,Paramètres!$A$1:$I$89,5,0)</f>
        <v>188.87232000000009</v>
      </c>
      <c r="CA97" s="13">
        <f t="shared" si="93"/>
        <v>47.290552503862891</v>
      </c>
      <c r="CB97" s="20">
        <f t="shared" si="64"/>
        <v>411.31700294422802</v>
      </c>
      <c r="CC97" s="59">
        <f t="shared" si="65"/>
        <v>686.95751802146651</v>
      </c>
      <c r="CD97" s="59">
        <f ca="1">AVERAGE(OFFSET($CC$3,0,0,'Données projet'!$E$12+1,1))-AVERAGE(OFFSET($H$3,0,0,'Données projet'!$E$12+1,1))</f>
        <v>330.58463337575432</v>
      </c>
      <c r="CE97" s="59">
        <f t="shared" si="94"/>
        <v>285.43250599232192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39.514111037841353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39.514111037841353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6">
        <f t="shared" si="56"/>
        <v>183.33333333333334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189.76714074331781</v>
      </c>
      <c r="T98" s="59">
        <f t="shared" si="88"/>
        <v>458.38901659119472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266.99999999999983</v>
      </c>
      <c r="AJ98" s="13">
        <f>AI98*VLOOKUP('Données projet'!$B$10,Paramètres!$A$1:$I$89,3,0)*VLOOKUP('Données projet'!$B$10,Paramètres!$A$1:$I$89,5,0)</f>
        <v>195.76439999999985</v>
      </c>
      <c r="AK98" s="13">
        <f t="shared" si="89"/>
        <v>48.812154563023455</v>
      </c>
      <c r="AL98" s="20">
        <f t="shared" si="58"/>
        <v>425.9708325305989</v>
      </c>
      <c r="AM98" s="59">
        <f t="shared" si="59"/>
        <v>701.91827844936483</v>
      </c>
      <c r="AN98" s="59">
        <f ca="1">AVERAGE(OFFSET($AM$3,0,0,'Données projet'!$E$10+1,1))-AVERAGE(OFFSET($H$3,0,0,'Données projet'!$E$10+1,1))</f>
        <v>302.36110224755532</v>
      </c>
      <c r="AO98" s="59">
        <f t="shared" si="90"/>
        <v>292.08583531469412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24.102650380546841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24.102650380546841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8.3920000000000012</v>
      </c>
      <c r="BD98" s="12">
        <f>IF('Données projet'!$A$88&gt;35,BD97+BC98-BL97,IF(A98&lt;'Données projet'!$A$88,$BA$205^A98,IF(A98='Données projet'!$A$88,'Données projet'!$B$88,BD97+BC98-BL97)))</f>
        <v>326.67200000000025</v>
      </c>
      <c r="BE98" s="13">
        <f>BD98*VLOOKUP('Données projet'!$B$11,Paramètres!$A$1:$I$89,3,0)*VLOOKUP('Données projet'!$B$11,Paramètres!$A$1:$I$89,5,0)</f>
        <v>310.86107520000024</v>
      </c>
      <c r="BF98" s="13">
        <f t="shared" si="91"/>
        <v>73.448627904500142</v>
      </c>
      <c r="BG98" s="20">
        <f t="shared" si="61"/>
        <v>669.33939957367147</v>
      </c>
      <c r="BH98" s="59">
        <f t="shared" si="62"/>
        <v>945.28684549243735</v>
      </c>
      <c r="BI98" s="59">
        <f ca="1">AVERAGE(OFFSET($BH$3,0,0,'Données projet'!$E$11+1,1))-AVERAGE(OFFSET($H$3,0,0,'Données projet'!$E$11+1,1))</f>
        <v>697.21496579331188</v>
      </c>
      <c r="BJ98" s="59">
        <f t="shared" si="92"/>
        <v>215.64914236948769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99.861179170579391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99.861179170579391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219</v>
      </c>
      <c r="BW98" s="12">
        <f>VLOOKUP(A98,'Données projet'!$A$113:$I$133,9,0)</f>
        <v>2.8</v>
      </c>
      <c r="BX98" s="12">
        <f t="array" ref="BX98">INDEX(BW:BW,MIN(IF(ISNUMBER(BW98:BW294),ROW(BW98:BW294),"")))</f>
        <v>2.8</v>
      </c>
      <c r="BY98" s="12">
        <f>IF('Données projet'!$A$114&gt;35,BY97+BX98-CG97,IF(A98&lt;'Données projet'!$A$114,$BV$205^A98,IF(A98='Données projet'!$A$114,'Données projet'!$B$114,BY97+BX98-CG97)))</f>
        <v>219.00000000000009</v>
      </c>
      <c r="BZ98" s="13">
        <f>BY98*VLOOKUP('Données projet'!$B$12,Paramètres!$A$1:$I$89,3,0)*VLOOKUP('Données projet'!$B$12,Paramètres!$A$1:$I$89,5,0)</f>
        <v>191.31840000000008</v>
      </c>
      <c r="CA98" s="13">
        <f t="shared" si="93"/>
        <v>47.831314962098396</v>
      </c>
      <c r="CB98" s="20">
        <f t="shared" si="64"/>
        <v>416.51908689232147</v>
      </c>
      <c r="CC98" s="59">
        <f t="shared" si="65"/>
        <v>692.4665328110874</v>
      </c>
      <c r="CD98" s="59">
        <f ca="1">AVERAGE(OFFSET($CC$3,0,0,'Données projet'!$E$12+1,1))-AVERAGE(OFFSET($H$3,0,0,'Données projet'!$E$12+1,1))</f>
        <v>330.58463337575432</v>
      </c>
      <c r="CE98" s="59">
        <f t="shared" si="94"/>
        <v>285.43250599232192</v>
      </c>
      <c r="CF98" s="15">
        <f>IF(ISNA(VLOOKUP(A98,'Données projet'!$A$113:$I$133,3,0)),0,VLOOKUP(A98,'Données projet'!$A$113:$I$133,3,0))</f>
        <v>16</v>
      </c>
      <c r="CG98" s="15">
        <f>IF(ISNA(VLOOKUP(A98,'Données projet'!$A$113:$I$133,4,0)),0,VLOOKUP(A98,'Données projet'!$A$113:$I$133,4,0))</f>
        <v>11</v>
      </c>
      <c r="CH98" s="16">
        <f>IF(ISNA(VLOOKUP(A98,'Données projet'!$A$113:$I$133,5,0)),0%,VLOOKUP(A98,'Données projet'!$A$113:$I$133,5,0)*VLOOKUP('Données projet'!$B$12,Paramètres!$A$1:$I$89,7,0))</f>
        <v>0.43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43.307208530055945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43.307208530055945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6">
        <f t="shared" si="56"/>
        <v>183.33333333333334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189.76714074331781</v>
      </c>
      <c r="T99" s="59">
        <f t="shared" si="88"/>
        <v>458.38901659119472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266.99999999999983</v>
      </c>
      <c r="AJ99" s="13">
        <f>AI99*VLOOKUP('Données projet'!$B$10,Paramètres!$A$1:$I$89,3,0)*VLOOKUP('Données projet'!$B$10,Paramètres!$A$1:$I$89,5,0)</f>
        <v>195.76439999999985</v>
      </c>
      <c r="AK99" s="13">
        <f t="shared" si="89"/>
        <v>48.812154563023455</v>
      </c>
      <c r="AL99" s="20">
        <f t="shared" si="58"/>
        <v>425.9708325305989</v>
      </c>
      <c r="AM99" s="59">
        <f t="shared" si="59"/>
        <v>702.21988472698627</v>
      </c>
      <c r="AN99" s="59">
        <f ca="1">AVERAGE(OFFSET($AM$3,0,0,'Données projet'!$E$10+1,1))-AVERAGE(OFFSET($H$3,0,0,'Données projet'!$E$10+1,1))</f>
        <v>302.36110224755532</v>
      </c>
      <c r="AO99" s="59">
        <f t="shared" si="90"/>
        <v>292.08583531469412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23.63001210774943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23.63001210774943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8.3920000000000012</v>
      </c>
      <c r="BD99" s="12">
        <f>IF('Données projet'!$A$88&gt;35,BD98+BC99-BL98,IF(A99&lt;'Données projet'!$A$88,$BA$205^A99,IF(A99='Données projet'!$A$88,'Données projet'!$B$88,BD98+BC99-BL98)))</f>
        <v>335.06400000000025</v>
      </c>
      <c r="BE99" s="13">
        <f>BD99*VLOOKUP('Données projet'!$B$11,Paramètres!$A$1:$I$89,3,0)*VLOOKUP('Données projet'!$B$11,Paramètres!$A$1:$I$89,5,0)</f>
        <v>318.8469024000002</v>
      </c>
      <c r="BF99" s="13">
        <f t="shared" si="91"/>
        <v>75.113378897482889</v>
      </c>
      <c r="BG99" s="20">
        <f t="shared" si="61"/>
        <v>686.14748992644957</v>
      </c>
      <c r="BH99" s="59">
        <f t="shared" si="62"/>
        <v>962.39654212283699</v>
      </c>
      <c r="BI99" s="59">
        <f ca="1">AVERAGE(OFFSET($BH$3,0,0,'Données projet'!$E$11+1,1))-AVERAGE(OFFSET($H$3,0,0,'Données projet'!$E$11+1,1))</f>
        <v>697.21496579331188</v>
      </c>
      <c r="BJ99" s="59">
        <f t="shared" si="92"/>
        <v>215.64914236948769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97.902962356349335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97.902962356349335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</v>
      </c>
      <c r="BY99" s="12">
        <f>IF('Données projet'!$A$114&gt;35,BY98+BX99-CG98,IF(A99&lt;'Données projet'!$A$114,$BV$205^A99,IF(A99='Données projet'!$A$114,'Données projet'!$B$114,BY98+BX99-CG98)))</f>
        <v>211.00000000000009</v>
      </c>
      <c r="BZ99" s="13">
        <f>BY99*VLOOKUP('Données projet'!$B$12,Paramètres!$A$1:$I$89,3,0)*VLOOKUP('Données projet'!$B$12,Paramètres!$A$1:$I$89,5,0)</f>
        <v>184.32960000000008</v>
      </c>
      <c r="CA99" s="13">
        <f t="shared" si="93"/>
        <v>46.284105851003098</v>
      </c>
      <c r="CB99" s="20">
        <f t="shared" si="64"/>
        <v>401.65220435716384</v>
      </c>
      <c r="CC99" s="59">
        <f t="shared" si="65"/>
        <v>677.90125655355132</v>
      </c>
      <c r="CD99" s="59">
        <f ca="1">AVERAGE(OFFSET($CC$3,0,0,'Données projet'!$E$12+1,1))-AVERAGE(OFFSET($H$3,0,0,'Données projet'!$E$12+1,1))</f>
        <v>330.58463337575432</v>
      </c>
      <c r="CE99" s="59">
        <f t="shared" si="94"/>
        <v>285.43250599232192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42.45798058557051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42.45798058557051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6">
        <f t="shared" si="56"/>
        <v>183.33333333333334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189.76714074331781</v>
      </c>
      <c r="T100" s="59">
        <f t="shared" si="88"/>
        <v>458.38901659119472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266.99999999999983</v>
      </c>
      <c r="AJ100" s="13">
        <f>AI100*VLOOKUP('Données projet'!$B$10,Paramètres!$A$1:$I$89,3,0)*VLOOKUP('Données projet'!$B$10,Paramètres!$A$1:$I$89,5,0)</f>
        <v>195.76439999999985</v>
      </c>
      <c r="AK100" s="13">
        <f t="shared" si="89"/>
        <v>48.812154563023455</v>
      </c>
      <c r="AL100" s="20">
        <f t="shared" si="58"/>
        <v>425.9708325305989</v>
      </c>
      <c r="AM100" s="59">
        <f t="shared" si="59"/>
        <v>702.51625880998176</v>
      </c>
      <c r="AN100" s="59">
        <f ca="1">AVERAGE(OFFSET($AM$3,0,0,'Données projet'!$E$10+1,1))-AVERAGE(OFFSET($H$3,0,0,'Données projet'!$E$10+1,1))</f>
        <v>302.36110224755532</v>
      </c>
      <c r="AO100" s="59">
        <f t="shared" si="90"/>
        <v>292.08583531469412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23.166641983200694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23.166641983200694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8.3920000000000012</v>
      </c>
      <c r="BD100" s="12">
        <f>IF('Données projet'!$A$88&gt;35,BD99+BC100-BL99,IF(A100&lt;'Données projet'!$A$88,$BA$205^A100,IF(A100='Données projet'!$A$88,'Données projet'!$B$88,BD99+BC100-BL99)))</f>
        <v>343.45600000000024</v>
      </c>
      <c r="BE100" s="13">
        <f>BD100*VLOOKUP('Données projet'!$B$11,Paramètres!$A$1:$I$89,3,0)*VLOOKUP('Données projet'!$B$11,Paramètres!$A$1:$I$89,5,0)</f>
        <v>326.83272960000022</v>
      </c>
      <c r="BF100" s="13">
        <f t="shared" si="91"/>
        <v>76.773283091004146</v>
      </c>
      <c r="BG100" s="20">
        <f t="shared" si="61"/>
        <v>702.94713877016591</v>
      </c>
      <c r="BH100" s="59">
        <f t="shared" si="62"/>
        <v>979.49256504954872</v>
      </c>
      <c r="BI100" s="59">
        <f ca="1">AVERAGE(OFFSET($BH$3,0,0,'Données projet'!$E$11+1,1))-AVERAGE(OFFSET($H$3,0,0,'Données projet'!$E$11+1,1))</f>
        <v>697.21496579331188</v>
      </c>
      <c r="BJ100" s="59">
        <f t="shared" si="92"/>
        <v>215.64914236948769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95.983144979452007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95.983144979452007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</v>
      </c>
      <c r="BY100" s="12">
        <f>IF('Données projet'!$A$114&gt;35,BY99+BX100-CG99,IF(A100&lt;'Données projet'!$A$114,$BV$205^A100,IF(A100='Données projet'!$A$114,'Données projet'!$B$114,BY99+BX100-CG99)))</f>
        <v>214.00000000000009</v>
      </c>
      <c r="BZ100" s="13">
        <f>BY100*VLOOKUP('Données projet'!$B$12,Paramètres!$A$1:$I$89,3,0)*VLOOKUP('Données projet'!$B$12,Paramètres!$A$1:$I$89,5,0)</f>
        <v>186.95040000000009</v>
      </c>
      <c r="CA100" s="13">
        <f t="shared" si="93"/>
        <v>46.865095976617653</v>
      </c>
      <c r="CB100" s="20">
        <f t="shared" si="64"/>
        <v>407.22865549260922</v>
      </c>
      <c r="CC100" s="59">
        <f t="shared" si="65"/>
        <v>683.77408177199209</v>
      </c>
      <c r="CD100" s="59">
        <f ca="1">AVERAGE(OFFSET($CC$3,0,0,'Données projet'!$E$12+1,1))-AVERAGE(OFFSET($H$3,0,0,'Données projet'!$E$12+1,1))</f>
        <v>330.58463337575432</v>
      </c>
      <c r="CE100" s="59">
        <f t="shared" si="94"/>
        <v>285.43250599232192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41.625405483098532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41.625405483098532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6">
        <f t="shared" si="56"/>
        <v>183.33333333333334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189.76714074331781</v>
      </c>
      <c r="T101" s="59">
        <f t="shared" si="88"/>
        <v>458.38901659119472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266.99999999999983</v>
      </c>
      <c r="AJ101" s="13">
        <f>AI101*VLOOKUP('Données projet'!$B$10,Paramètres!$A$1:$I$89,3,0)*VLOOKUP('Données projet'!$B$10,Paramètres!$A$1:$I$89,5,0)</f>
        <v>195.76439999999985</v>
      </c>
      <c r="AK101" s="13">
        <f t="shared" si="89"/>
        <v>48.812154563023455</v>
      </c>
      <c r="AL101" s="20">
        <f t="shared" si="58"/>
        <v>425.9708325305989</v>
      </c>
      <c r="AM101" s="59">
        <f t="shared" si="59"/>
        <v>702.80749146523021</v>
      </c>
      <c r="AN101" s="59">
        <f ca="1">AVERAGE(OFFSET($AM$3,0,0,'Données projet'!$E$10+1,1))-AVERAGE(OFFSET($H$3,0,0,'Données projet'!$E$10+1,1))</f>
        <v>302.36110224755532</v>
      </c>
      <c r="AO101" s="59">
        <f t="shared" si="90"/>
        <v>292.08583531469412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22.712358264166493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22.712358264166493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8.3920000000000012</v>
      </c>
      <c r="BD101" s="12">
        <f>IF('Données projet'!$A$88&gt;35,BD100+BC101-BL100,IF(A101&lt;'Données projet'!$A$88,$BA$205^A101,IF(A101='Données projet'!$A$88,'Données projet'!$B$88,BD100+BC101-BL100)))</f>
        <v>351.84800000000024</v>
      </c>
      <c r="BE101" s="13">
        <f>BD101*VLOOKUP('Données projet'!$B$11,Paramètres!$A$1:$I$89,3,0)*VLOOKUP('Données projet'!$B$11,Paramètres!$A$1:$I$89,5,0)</f>
        <v>334.81855680000024</v>
      </c>
      <c r="BF101" s="13">
        <f t="shared" si="91"/>
        <v>78.428472535307989</v>
      </c>
      <c r="BG101" s="20">
        <f t="shared" si="61"/>
        <v>719.73857609232846</v>
      </c>
      <c r="BH101" s="59">
        <f t="shared" si="62"/>
        <v>996.57523502695983</v>
      </c>
      <c r="BI101" s="59">
        <f ca="1">AVERAGE(OFFSET($BH$3,0,0,'Données projet'!$E$11+1,1))-AVERAGE(OFFSET($H$3,0,0,'Données projet'!$E$11+1,1))</f>
        <v>697.21496579331188</v>
      </c>
      <c r="BJ101" s="59">
        <f t="shared" si="92"/>
        <v>215.64914236948769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94.100974050342657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94.100974050342657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</v>
      </c>
      <c r="BY101" s="12">
        <f>IF('Données projet'!$A$114&gt;35,BY100+BX101-CG100,IF(A101&lt;'Données projet'!$A$114,$BV$205^A101,IF(A101='Données projet'!$A$114,'Données projet'!$B$114,BY100+BX101-CG100)))</f>
        <v>217.00000000000009</v>
      </c>
      <c r="BZ101" s="13">
        <f>BY101*VLOOKUP('Données projet'!$B$12,Paramètres!$A$1:$I$89,3,0)*VLOOKUP('Données projet'!$B$12,Paramètres!$A$1:$I$89,5,0)</f>
        <v>189.57120000000009</v>
      </c>
      <c r="CA101" s="13">
        <f t="shared" si="93"/>
        <v>47.445138796932483</v>
      </c>
      <c r="CB101" s="20">
        <f t="shared" si="64"/>
        <v>412.80345673799087</v>
      </c>
      <c r="CC101" s="59">
        <f t="shared" si="65"/>
        <v>689.64011567262219</v>
      </c>
      <c r="CD101" s="59">
        <f ca="1">AVERAGE(OFFSET($CC$3,0,0,'Données projet'!$E$12+1,1))-AVERAGE(OFFSET($H$3,0,0,'Données projet'!$E$12+1,1))</f>
        <v>330.58463337575432</v>
      </c>
      <c r="CE101" s="59">
        <f t="shared" si="94"/>
        <v>285.43250599232192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40.809156670565358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40.809156670565358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6">
        <f t="shared" si="56"/>
        <v>183.33333333333334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189.76714074331781</v>
      </c>
      <c r="T102" s="59">
        <f t="shared" si="88"/>
        <v>458.38901659119472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266.99999999999983</v>
      </c>
      <c r="AJ102" s="13">
        <f>AI102*VLOOKUP('Données projet'!$B$10,Paramètres!$A$1:$I$89,3,0)*VLOOKUP('Données projet'!$B$10,Paramètres!$A$1:$I$89,5,0)</f>
        <v>195.76439999999985</v>
      </c>
      <c r="AK102" s="13">
        <f t="shared" si="89"/>
        <v>48.812154563023455</v>
      </c>
      <c r="AL102" s="20">
        <f t="shared" si="58"/>
        <v>425.9708325305989</v>
      </c>
      <c r="AM102" s="59">
        <f t="shared" si="59"/>
        <v>703.09367188500903</v>
      </c>
      <c r="AN102" s="59">
        <f ca="1">AVERAGE(OFFSET($AM$3,0,0,'Données projet'!$E$10+1,1))-AVERAGE(OFFSET($H$3,0,0,'Données projet'!$E$10+1,1))</f>
        <v>302.36110224755532</v>
      </c>
      <c r="AO102" s="59">
        <f t="shared" si="90"/>
        <v>292.08583531469412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22.266982771776842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22.266982771776842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8.3920000000000012</v>
      </c>
      <c r="BD102" s="12">
        <f>IF('Données projet'!$A$88&gt;35,BD101+BC102-BL101,IF(A102&lt;'Données projet'!$A$88,$BA$205^A102,IF(A102='Données projet'!$A$88,'Données projet'!$B$88,BD101+BC102-BL101)))</f>
        <v>360.24000000000024</v>
      </c>
      <c r="BE102" s="13">
        <f>BD102*VLOOKUP('Données projet'!$B$11,Paramètres!$A$1:$I$89,3,0)*VLOOKUP('Données projet'!$B$11,Paramètres!$A$1:$I$89,5,0)</f>
        <v>342.8043840000002</v>
      </c>
      <c r="BF102" s="13">
        <f t="shared" si="91"/>
        <v>80.079072622257499</v>
      </c>
      <c r="BG102" s="20">
        <f t="shared" si="61"/>
        <v>736.52202028376553</v>
      </c>
      <c r="BH102" s="59">
        <f t="shared" si="62"/>
        <v>1013.6448596381756</v>
      </c>
      <c r="BI102" s="59">
        <f ca="1">AVERAGE(OFFSET($BH$3,0,0,'Données projet'!$E$11+1,1))-AVERAGE(OFFSET($H$3,0,0,'Données projet'!$E$11+1,1))</f>
        <v>697.21496579331188</v>
      </c>
      <c r="BJ102" s="59">
        <f t="shared" si="92"/>
        <v>215.64914236948769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92.255711345142231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92.255711345142231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</v>
      </c>
      <c r="BY102" s="12">
        <f>IF('Données projet'!$A$114&gt;35,BY101+BX102-CG101,IF(A102&lt;'Données projet'!$A$114,$BV$205^A102,IF(A102='Données projet'!$A$114,'Données projet'!$B$114,BY101+BX102-CG101)))</f>
        <v>220.00000000000009</v>
      </c>
      <c r="BZ102" s="13">
        <f>BY102*VLOOKUP('Données projet'!$B$12,Paramètres!$A$1:$I$89,3,0)*VLOOKUP('Données projet'!$B$12,Paramètres!$A$1:$I$89,5,0)</f>
        <v>192.19200000000009</v>
      </c>
      <c r="CA102" s="13">
        <f t="shared" si="93"/>
        <v>48.024248921932482</v>
      </c>
      <c r="CB102" s="20">
        <f t="shared" si="64"/>
        <v>418.37663353903253</v>
      </c>
      <c r="CC102" s="59">
        <f t="shared" si="65"/>
        <v>695.49947289344266</v>
      </c>
      <c r="CD102" s="59">
        <f ca="1">AVERAGE(OFFSET($CC$3,0,0,'Données projet'!$E$12+1,1))-AVERAGE(OFFSET($H$3,0,0,'Données projet'!$E$12+1,1))</f>
        <v>330.58463337575432</v>
      </c>
      <c r="CE102" s="59">
        <f t="shared" si="94"/>
        <v>285.43250599232192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40.008913999383346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40.008913999383346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6">
        <f t="shared" si="56"/>
        <v>183.33333333333334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189.76714074331781</v>
      </c>
      <c r="T103" s="59">
        <f t="shared" si="88"/>
        <v>458.38901659119472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266.99999999999983</v>
      </c>
      <c r="AJ103" s="13">
        <f>AI103*VLOOKUP('Données projet'!$B$10,Paramètres!$A$1:$I$89,3,0)*VLOOKUP('Données projet'!$B$10,Paramètres!$A$1:$I$89,5,0)</f>
        <v>195.76439999999985</v>
      </c>
      <c r="AK103" s="13">
        <f t="shared" si="89"/>
        <v>48.812154563023455</v>
      </c>
      <c r="AL103" s="20">
        <f t="shared" si="58"/>
        <v>425.9708325305989</v>
      </c>
      <c r="AM103" s="59">
        <f t="shared" si="59"/>
        <v>703.3748877143081</v>
      </c>
      <c r="AN103" s="59">
        <f ca="1">AVERAGE(OFFSET($AM$3,0,0,'Données projet'!$E$10+1,1))-AVERAGE(OFFSET($H$3,0,0,'Données projet'!$E$10+1,1))</f>
        <v>302.36110224755532</v>
      </c>
      <c r="AO103" s="59">
        <f t="shared" si="90"/>
        <v>292.08583531469412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21.830340821140727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21.830340821140727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8.3920000000000012</v>
      </c>
      <c r="BD103" s="12">
        <f>IF('Données projet'!$A$88&gt;35,BD102+BC103-BL102,IF(A103&lt;'Données projet'!$A$88,$BA$205^A103,IF(A103='Données projet'!$A$88,'Données projet'!$B$88,BD102+BC103-BL102)))</f>
        <v>368.63200000000023</v>
      </c>
      <c r="BE103" s="13">
        <f>BD103*VLOOKUP('Données projet'!$B$11,Paramètres!$A$1:$I$89,3,0)*VLOOKUP('Données projet'!$B$11,Paramètres!$A$1:$I$89,5,0)</f>
        <v>350.79021120000021</v>
      </c>
      <c r="BF103" s="13">
        <f t="shared" si="91"/>
        <v>81.725202568243191</v>
      </c>
      <c r="BG103" s="20">
        <f t="shared" si="61"/>
        <v>753.29767897969066</v>
      </c>
      <c r="BH103" s="59">
        <f t="shared" si="62"/>
        <v>1030.7017341633998</v>
      </c>
      <c r="BI103" s="59">
        <f ca="1">AVERAGE(OFFSET($BH$3,0,0,'Données projet'!$E$11+1,1))-AVERAGE(OFFSET($H$3,0,0,'Données projet'!$E$11+1,1))</f>
        <v>697.21496579331188</v>
      </c>
      <c r="BJ103" s="59">
        <f t="shared" si="92"/>
        <v>215.64914236948769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90.446633116091675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90.446633116091675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223</v>
      </c>
      <c r="BW103" s="12">
        <f>VLOOKUP(A103,'Données projet'!$A$113:$I$133,9,0)</f>
        <v>3</v>
      </c>
      <c r="BX103" s="12">
        <f t="array" ref="BX103">INDEX(BW:BW,MIN(IF(ISNUMBER(BW103:BW299),ROW(BW103:BW299),"")))</f>
        <v>3</v>
      </c>
      <c r="BY103" s="12">
        <f>IF('Données projet'!$A$114&gt;35,BY102+BX103-CG102,IF(A103&lt;'Données projet'!$A$114,$BV$205^A103,IF(A103='Données projet'!$A$114,'Données projet'!$B$114,BY102+BX103-CG102)))</f>
        <v>223.00000000000009</v>
      </c>
      <c r="BZ103" s="13">
        <f>BY103*VLOOKUP('Données projet'!$B$12,Paramètres!$A$1:$I$89,3,0)*VLOOKUP('Données projet'!$B$12,Paramètres!$A$1:$I$89,5,0)</f>
        <v>194.81280000000012</v>
      </c>
      <c r="CA103" s="13">
        <f t="shared" si="93"/>
        <v>48.602440540253902</v>
      </c>
      <c r="CB103" s="20">
        <f t="shared" si="64"/>
        <v>423.9482106076091</v>
      </c>
      <c r="CC103" s="59">
        <f t="shared" si="65"/>
        <v>701.35226579131836</v>
      </c>
      <c r="CD103" s="59">
        <f ca="1">AVERAGE(OFFSET($CC$3,0,0,'Données projet'!$E$12+1,1))-AVERAGE(OFFSET($H$3,0,0,'Données projet'!$E$12+1,1))</f>
        <v>330.58463337575432</v>
      </c>
      <c r="CE103" s="59">
        <f t="shared" si="94"/>
        <v>285.43250599232192</v>
      </c>
      <c r="CF103" s="15">
        <f>IF(ISNA(VLOOKUP(A103,'Données projet'!$A$113:$I$133,3,0)),0,VLOOKUP(A103,'Données projet'!$A$113:$I$133,3,0))</f>
        <v>17</v>
      </c>
      <c r="CG103" s="15">
        <f>IF(ISNA(VLOOKUP(A103,'Données projet'!$A$113:$I$133,4,0)),0,VLOOKUP(A103,'Données projet'!$A$113:$I$133,4,0))</f>
        <v>11</v>
      </c>
      <c r="CH103" s="16">
        <f>IF(ISNA(VLOOKUP(A103,'Données projet'!$A$113:$I$133,5,0)),0%,VLOOKUP(A103,'Données projet'!$A$113:$I$133,5,0)*VLOOKUP('Données projet'!$B$12,Paramètres!$A$1:$I$89,7,0))</f>
        <v>0.43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43.792308707322107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43.792308707322107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6">
        <f t="shared" si="56"/>
        <v>183.33333333333334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189.76714074331781</v>
      </c>
      <c r="T104" s="59">
        <f t="shared" si="88"/>
        <v>458.38901659119472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266.99999999999983</v>
      </c>
      <c r="AJ104" s="13">
        <f>AI104*VLOOKUP('Données projet'!$B$10,Paramètres!$A$1:$I$89,3,0)*VLOOKUP('Données projet'!$B$10,Paramètres!$A$1:$I$89,5,0)</f>
        <v>195.76439999999985</v>
      </c>
      <c r="AK104" s="13">
        <f t="shared" si="89"/>
        <v>48.812154563023455</v>
      </c>
      <c r="AL104" s="20">
        <f t="shared" si="58"/>
        <v>425.9708325305989</v>
      </c>
      <c r="AM104" s="59">
        <f t="shared" si="59"/>
        <v>703.6512250776733</v>
      </c>
      <c r="AN104" s="59">
        <f ca="1">AVERAGE(OFFSET($AM$3,0,0,'Données projet'!$E$10+1,1))-AVERAGE(OFFSET($H$3,0,0,'Données projet'!$E$10+1,1))</f>
        <v>302.36110224755532</v>
      </c>
      <c r="AO104" s="59">
        <f t="shared" si="90"/>
        <v>292.08583531469412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21.40226115283129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21.40226115283129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8.3920000000000012</v>
      </c>
      <c r="BD104" s="12">
        <f>IF('Données projet'!$A$88&gt;35,BD103+BC104-BL103,IF(A104&lt;'Données projet'!$A$88,$BA$205^A104,IF(A104='Données projet'!$A$88,'Données projet'!$B$88,BD103+BC104-BL103)))</f>
        <v>377.02400000000023</v>
      </c>
      <c r="BE104" s="13">
        <f>BD104*VLOOKUP('Données projet'!$B$11,Paramètres!$A$1:$I$89,3,0)*VLOOKUP('Données projet'!$B$11,Paramètres!$A$1:$I$89,5,0)</f>
        <v>358.77603840000023</v>
      </c>
      <c r="BF104" s="13">
        <f t="shared" si="91"/>
        <v>83.366975851878067</v>
      </c>
      <c r="BG104" s="20">
        <f t="shared" si="61"/>
        <v>770.0657498220213</v>
      </c>
      <c r="BH104" s="59">
        <f t="shared" si="62"/>
        <v>1047.7461423690957</v>
      </c>
      <c r="BI104" s="59">
        <f ca="1">AVERAGE(OFFSET($BH$3,0,0,'Données projet'!$E$11+1,1))-AVERAGE(OFFSET($H$3,0,0,'Données projet'!$E$11+1,1))</f>
        <v>697.21496579331188</v>
      </c>
      <c r="BJ104" s="59">
        <f t="shared" si="92"/>
        <v>215.64914236948769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88.673029807684031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88.673029807684031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212.00000000000009</v>
      </c>
      <c r="BZ104" s="13">
        <f>BY104*VLOOKUP('Données projet'!$B$12,Paramètres!$A$1:$I$89,3,0)*VLOOKUP('Données projet'!$B$12,Paramètres!$A$1:$I$89,5,0)</f>
        <v>185.20320000000009</v>
      </c>
      <c r="CA104" s="13">
        <f t="shared" si="93"/>
        <v>46.477875402099386</v>
      </c>
      <c r="CB104" s="20">
        <f t="shared" si="64"/>
        <v>403.5112063253232</v>
      </c>
      <c r="CC104" s="59">
        <f t="shared" si="65"/>
        <v>681.19159887239766</v>
      </c>
      <c r="CD104" s="59">
        <f ca="1">AVERAGE(OFFSET($CC$3,0,0,'Données projet'!$E$12+1,1))-AVERAGE(OFFSET($H$3,0,0,'Données projet'!$E$12+1,1))</f>
        <v>330.58463337575432</v>
      </c>
      <c r="CE104" s="59">
        <f t="shared" si="94"/>
        <v>285.43250599232192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42.933568244242373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42.933568244242373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6">
        <f t="shared" si="56"/>
        <v>183.33333333333334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189.76714074331781</v>
      </c>
      <c r="T105" s="59">
        <f t="shared" si="88"/>
        <v>458.38901659119472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266.99999999999983</v>
      </c>
      <c r="AJ105" s="13">
        <f>AI105*VLOOKUP('Données projet'!$B$10,Paramètres!$A$1:$I$89,3,0)*VLOOKUP('Données projet'!$B$10,Paramètres!$A$1:$I$89,5,0)</f>
        <v>195.76439999999985</v>
      </c>
      <c r="AK105" s="13">
        <f t="shared" si="89"/>
        <v>48.812154563023455</v>
      </c>
      <c r="AL105" s="20">
        <f t="shared" si="58"/>
        <v>425.9708325305989</v>
      </c>
      <c r="AM105" s="59">
        <f t="shared" si="59"/>
        <v>703.92276860558184</v>
      </c>
      <c r="AN105" s="59">
        <f ca="1">AVERAGE(OFFSET($AM$3,0,0,'Données projet'!$E$10+1,1))-AVERAGE(OFFSET($H$3,0,0,'Données projet'!$E$10+1,1))</f>
        <v>302.36110224755532</v>
      </c>
      <c r="AO105" s="59">
        <f t="shared" si="90"/>
        <v>292.08583531469412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20.982575865714587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20.982575865714587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8.3920000000000012</v>
      </c>
      <c r="BD105" s="12">
        <f>IF('Données projet'!$A$88&gt;35,BD104+BC105-BL104,IF(A105&lt;'Données projet'!$A$88,$BA$205^A105,IF(A105='Données projet'!$A$88,'Données projet'!$B$88,BD104+BC105-BL104)))</f>
        <v>385.41600000000022</v>
      </c>
      <c r="BE105" s="13">
        <f>BD105*VLOOKUP('Données projet'!$B$11,Paramètres!$A$1:$I$89,3,0)*VLOOKUP('Données projet'!$B$11,Paramètres!$A$1:$I$89,5,0)</f>
        <v>366.76186560000025</v>
      </c>
      <c r="BF105" s="13">
        <f t="shared" si="91"/>
        <v>85.004500611622973</v>
      </c>
      <c r="BG105" s="20">
        <f t="shared" si="61"/>
        <v>786.82642115191038</v>
      </c>
      <c r="BH105" s="59">
        <f t="shared" si="62"/>
        <v>1064.7783572268934</v>
      </c>
      <c r="BI105" s="59">
        <f ca="1">AVERAGE(OFFSET($BH$3,0,0,'Données projet'!$E$11+1,1))-AVERAGE(OFFSET($H$3,0,0,'Données projet'!$E$11+1,1))</f>
        <v>697.21496579331188</v>
      </c>
      <c r="BJ105" s="59">
        <f t="shared" si="92"/>
        <v>215.64914236948769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86.934205778363065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86.934205778363065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212.00000000000009</v>
      </c>
      <c r="BZ105" s="13">
        <f>BY105*VLOOKUP('Données projet'!$B$12,Paramètres!$A$1:$I$89,3,0)*VLOOKUP('Données projet'!$B$12,Paramètres!$A$1:$I$89,5,0)</f>
        <v>185.20320000000009</v>
      </c>
      <c r="CA105" s="13">
        <f t="shared" si="93"/>
        <v>46.477875402099386</v>
      </c>
      <c r="CB105" s="20">
        <f t="shared" si="64"/>
        <v>403.5112063253232</v>
      </c>
      <c r="CC105" s="59">
        <f t="shared" si="65"/>
        <v>681.4631424003062</v>
      </c>
      <c r="CD105" s="59">
        <f ca="1">AVERAGE(OFFSET($CC$3,0,0,'Données projet'!$E$12+1,1))-AVERAGE(OFFSET($H$3,0,0,'Données projet'!$E$12+1,1))</f>
        <v>330.58463337575432</v>
      </c>
      <c r="CE105" s="59">
        <f t="shared" si="94"/>
        <v>285.43250599232192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42.091667157863668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42.091667157863668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6">
        <f t="shared" si="56"/>
        <v>183.33333333333334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189.76714074331781</v>
      </c>
      <c r="T106" s="59">
        <f t="shared" si="88"/>
        <v>458.38901659119472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266.99999999999983</v>
      </c>
      <c r="AJ106" s="13">
        <f>AI106*VLOOKUP('Données projet'!$B$10,Paramètres!$A$1:$I$89,3,0)*VLOOKUP('Données projet'!$B$10,Paramètres!$A$1:$I$89,5,0)</f>
        <v>195.76439999999985</v>
      </c>
      <c r="AK106" s="13">
        <f t="shared" si="89"/>
        <v>48.812154563023455</v>
      </c>
      <c r="AL106" s="20">
        <f t="shared" si="58"/>
        <v>425.9708325305989</v>
      </c>
      <c r="AM106" s="59">
        <f t="shared" si="59"/>
        <v>704.18960146036159</v>
      </c>
      <c r="AN106" s="59">
        <f ca="1">AVERAGE(OFFSET($AM$3,0,0,'Données projet'!$E$10+1,1))-AVERAGE(OFFSET($H$3,0,0,'Données projet'!$E$10+1,1))</f>
        <v>302.36110224755532</v>
      </c>
      <c r="AO106" s="59">
        <f t="shared" si="90"/>
        <v>292.08583531469412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20.571120351095495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20.571120351095495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8.3920000000000012</v>
      </c>
      <c r="BD106" s="12">
        <f>IF('Données projet'!$A$88&gt;35,BD105+BC106-BL105,IF(A106&lt;'Données projet'!$A$88,$BA$205^A106,IF(A106='Données projet'!$A$88,'Données projet'!$B$88,BD105+BC106-BL105)))</f>
        <v>393.80800000000022</v>
      </c>
      <c r="BE106" s="13">
        <f>BD106*VLOOKUP('Données projet'!$B$11,Paramètres!$A$1:$I$89,3,0)*VLOOKUP('Données projet'!$B$11,Paramètres!$A$1:$I$89,5,0)</f>
        <v>374.74769280000021</v>
      </c>
      <c r="BF106" s="13">
        <f t="shared" si="91"/>
        <v>86.637880007805521</v>
      </c>
      <c r="BG106" s="20">
        <f t="shared" si="61"/>
        <v>803.57987264026167</v>
      </c>
      <c r="BH106" s="59">
        <f t="shared" si="62"/>
        <v>1081.7986415700243</v>
      </c>
      <c r="BI106" s="59">
        <f ca="1">AVERAGE(OFFSET($BH$3,0,0,'Données projet'!$E$11+1,1))-AVERAGE(OFFSET($H$3,0,0,'Données projet'!$E$11+1,1))</f>
        <v>697.21496579331188</v>
      </c>
      <c r="BJ106" s="59">
        <f t="shared" si="92"/>
        <v>215.64914236948769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85.229479027679147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85.229479027679147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212.00000000000009</v>
      </c>
      <c r="BZ106" s="13">
        <f>BY106*VLOOKUP('Données projet'!$B$12,Paramètres!$A$1:$I$89,3,0)*VLOOKUP('Données projet'!$B$12,Paramètres!$A$1:$I$89,5,0)</f>
        <v>185.20320000000009</v>
      </c>
      <c r="CA106" s="13">
        <f t="shared" si="93"/>
        <v>46.477875402099386</v>
      </c>
      <c r="CB106" s="20">
        <f t="shared" si="64"/>
        <v>403.5112063253232</v>
      </c>
      <c r="CC106" s="59">
        <f t="shared" si="65"/>
        <v>681.72997525508595</v>
      </c>
      <c r="CD106" s="59">
        <f ca="1">AVERAGE(OFFSET($CC$3,0,0,'Données projet'!$E$12+1,1))-AVERAGE(OFFSET($H$3,0,0,'Données projet'!$E$12+1,1))</f>
        <v>330.58463337575432</v>
      </c>
      <c r="CE106" s="59">
        <f t="shared" si="94"/>
        <v>285.43250599232192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41.266275238279889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41.266275238279889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6">
        <f t="shared" si="56"/>
        <v>183.33333333333334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189.76714074331781</v>
      </c>
      <c r="T107" s="59">
        <f t="shared" si="88"/>
        <v>458.38901659119472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266.99999999999983</v>
      </c>
      <c r="AJ107" s="13">
        <f>AI107*VLOOKUP('Données projet'!$B$10,Paramètres!$A$1:$I$89,3,0)*VLOOKUP('Données projet'!$B$10,Paramètres!$A$1:$I$89,5,0)</f>
        <v>195.76439999999985</v>
      </c>
      <c r="AK107" s="13">
        <f t="shared" si="89"/>
        <v>48.812154563023455</v>
      </c>
      <c r="AL107" s="20">
        <f t="shared" si="58"/>
        <v>425.9708325305989</v>
      </c>
      <c r="AM107" s="59">
        <f t="shared" si="59"/>
        <v>704.45180536165981</v>
      </c>
      <c r="AN107" s="59">
        <f ca="1">AVERAGE(OFFSET($AM$3,0,0,'Données projet'!$E$10+1,1))-AVERAGE(OFFSET($H$3,0,0,'Données projet'!$E$10+1,1))</f>
        <v>302.36110224755532</v>
      </c>
      <c r="AO107" s="59">
        <f t="shared" si="90"/>
        <v>292.08583531469412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20.167733228154997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20.167733228154997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402.2</v>
      </c>
      <c r="BB107" s="12">
        <f>VLOOKUP(A107,'Données projet'!$A$87:$I$107,9,0)</f>
        <v>8.3920000000000012</v>
      </c>
      <c r="BC107" s="12">
        <f t="array" ref="BC107">INDEX(BB:BB,MIN(IF(ISNUMBER(BB107:BB303),ROW(BB107:BB303),"")))</f>
        <v>8.3920000000000012</v>
      </c>
      <c r="BD107" s="12">
        <f>IF('Données projet'!$A$88&gt;35,BD106+BC107-BL106,IF(A107&lt;'Données projet'!$A$88,$BA$205^A107,IF(A107='Données projet'!$A$88,'Données projet'!$B$88,BD106+BC107-BL106)))</f>
        <v>402.20000000000022</v>
      </c>
      <c r="BE107" s="13">
        <f>BD107*VLOOKUP('Données projet'!$B$11,Paramètres!$A$1:$I$89,3,0)*VLOOKUP('Données projet'!$B$11,Paramètres!$A$1:$I$89,5,0)</f>
        <v>382.73352000000023</v>
      </c>
      <c r="BF107" s="13">
        <f t="shared" si="91"/>
        <v>88.267212552908134</v>
      </c>
      <c r="BG107" s="20">
        <f t="shared" si="61"/>
        <v>820.32627586298202</v>
      </c>
      <c r="BH107" s="59">
        <f t="shared" si="62"/>
        <v>1098.807248694043</v>
      </c>
      <c r="BI107" s="59">
        <f ca="1">AVERAGE(OFFSET($BH$3,0,0,'Données projet'!$E$11+1,1))-AVERAGE(OFFSET($H$3,0,0,'Données projet'!$E$11+1,1))</f>
        <v>697.21496579331188</v>
      </c>
      <c r="BJ107" s="59">
        <f t="shared" si="92"/>
        <v>215.64914236948769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60.19</v>
      </c>
      <c r="BM107" s="16">
        <f>IF(ISNA(VLOOKUP(A107,'Données projet'!$A$87:$I$107,5,0)),0%,VLOOKUP(A107,'Données projet'!$A$87:$I$107,5,0)*VLOOKUP('Données projet'!$B$11,Paramètres!$A$1:$I$89,7,0))</f>
        <v>0.43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110.78483933901069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110.78483933901069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212.00000000000009</v>
      </c>
      <c r="BZ107" s="13">
        <f>BY107*VLOOKUP('Données projet'!$B$12,Paramètres!$A$1:$I$89,3,0)*VLOOKUP('Données projet'!$B$12,Paramètres!$A$1:$I$89,5,0)</f>
        <v>185.20320000000009</v>
      </c>
      <c r="CA107" s="13">
        <f t="shared" si="93"/>
        <v>46.477875402099386</v>
      </c>
      <c r="CB107" s="20">
        <f t="shared" si="64"/>
        <v>403.5112063253232</v>
      </c>
      <c r="CC107" s="59">
        <f t="shared" si="65"/>
        <v>681.99217915638405</v>
      </c>
      <c r="CD107" s="59">
        <f ca="1">AVERAGE(OFFSET($CC$3,0,0,'Données projet'!$E$12+1,1))-AVERAGE(OFFSET($H$3,0,0,'Données projet'!$E$12+1,1))</f>
        <v>330.58463337575432</v>
      </c>
      <c r="CE107" s="59">
        <f t="shared" si="94"/>
        <v>285.43250599232192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40.457068750799792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40.457068750799792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6">
        <f t="shared" si="56"/>
        <v>183.33333333333334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189.76714074331781</v>
      </c>
      <c r="T108" s="59">
        <f t="shared" si="88"/>
        <v>458.38901659119472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266.99999999999983</v>
      </c>
      <c r="AJ108" s="13">
        <f>AI108*VLOOKUP('Données projet'!$B$10,Paramètres!$A$1:$I$89,3,0)*VLOOKUP('Données projet'!$B$10,Paramètres!$A$1:$I$89,5,0)</f>
        <v>195.76439999999985</v>
      </c>
      <c r="AK108" s="13">
        <f t="shared" si="89"/>
        <v>48.812154563023455</v>
      </c>
      <c r="AL108" s="20">
        <f t="shared" si="58"/>
        <v>425.9708325305989</v>
      </c>
      <c r="AM108" s="59">
        <f t="shared" si="59"/>
        <v>704.7094606114706</v>
      </c>
      <c r="AN108" s="59">
        <f ca="1">AVERAGE(OFFSET($AM$3,0,0,'Données projet'!$E$10+1,1))-AVERAGE(OFFSET($H$3,0,0,'Données projet'!$E$10+1,1))</f>
        <v>302.36110224755532</v>
      </c>
      <c r="AO108" s="59">
        <f t="shared" si="90"/>
        <v>292.08583531469412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19.772256280653515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19.772256280653515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8.2550000000000008</v>
      </c>
      <c r="BD108" s="12">
        <f>IF('Données projet'!$A$88&gt;35,BD107+BC108-BL107,IF(A108&lt;'Données projet'!$A$88,$BA$205^A108,IF(A108='Données projet'!$A$88,'Données projet'!$B$88,BD107+BC108-BL107)))</f>
        <v>350.26500000000021</v>
      </c>
      <c r="BE108" s="13">
        <f>BD108*VLOOKUP('Données projet'!$B$11,Paramètres!$A$1:$I$89,3,0)*VLOOKUP('Données projet'!$B$11,Paramètres!$A$1:$I$89,5,0)</f>
        <v>333.3121740000002</v>
      </c>
      <c r="BF108" s="13">
        <f t="shared" si="91"/>
        <v>78.116605704426632</v>
      </c>
      <c r="BG108" s="20">
        <f t="shared" si="61"/>
        <v>716.57179131854343</v>
      </c>
      <c r="BH108" s="59">
        <f t="shared" si="62"/>
        <v>995.3104193994152</v>
      </c>
      <c r="BI108" s="59">
        <f ca="1">AVERAGE(OFFSET($BH$3,0,0,'Données projet'!$E$11+1,1))-AVERAGE(OFFSET($H$3,0,0,'Données projet'!$E$11+1,1))</f>
        <v>697.21496579331188</v>
      </c>
      <c r="BJ108" s="59">
        <f t="shared" si="92"/>
        <v>215.64914236948769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108.6124162116525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108.6124162116525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212.00000000000009</v>
      </c>
      <c r="BZ108" s="13">
        <f>BY108*VLOOKUP('Données projet'!$B$12,Paramètres!$A$1:$I$89,3,0)*VLOOKUP('Données projet'!$B$12,Paramètres!$A$1:$I$89,5,0)</f>
        <v>185.20320000000009</v>
      </c>
      <c r="CA108" s="13">
        <f t="shared" si="93"/>
        <v>46.477875402099386</v>
      </c>
      <c r="CB108" s="20">
        <f t="shared" si="64"/>
        <v>403.5112063253232</v>
      </c>
      <c r="CC108" s="59">
        <f t="shared" si="65"/>
        <v>682.24983440619496</v>
      </c>
      <c r="CD108" s="59">
        <f ca="1">AVERAGE(OFFSET($CC$3,0,0,'Données projet'!$E$12+1,1))-AVERAGE(OFFSET($H$3,0,0,'Données projet'!$E$12+1,1))</f>
        <v>330.58463337575432</v>
      </c>
      <c r="CE108" s="59">
        <f t="shared" si="94"/>
        <v>285.43250599232192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39.663730308971957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39.663730308971957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6">
        <f t="shared" si="56"/>
        <v>183.33333333333334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189.76714074331781</v>
      </c>
      <c r="T109" s="59">
        <f t="shared" si="88"/>
        <v>458.38901659119472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266.99999999999983</v>
      </c>
      <c r="AJ109" s="13">
        <f>AI109*VLOOKUP('Données projet'!$B$10,Paramètres!$A$1:$I$89,3,0)*VLOOKUP('Données projet'!$B$10,Paramètres!$A$1:$I$89,5,0)</f>
        <v>195.76439999999985</v>
      </c>
      <c r="AK109" s="13">
        <f t="shared" si="89"/>
        <v>48.812154563023455</v>
      </c>
      <c r="AL109" s="20">
        <f t="shared" si="58"/>
        <v>425.9708325305989</v>
      </c>
      <c r="AM109" s="59">
        <f t="shared" si="59"/>
        <v>704.962646118728</v>
      </c>
      <c r="AN109" s="59">
        <f ca="1">AVERAGE(OFFSET($AM$3,0,0,'Données projet'!$E$10+1,1))-AVERAGE(OFFSET($H$3,0,0,'Données projet'!$E$10+1,1))</f>
        <v>302.36110224755532</v>
      </c>
      <c r="AO109" s="59">
        <f t="shared" si="90"/>
        <v>292.08583531469412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19.384534394875416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19.384534394875416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8.2550000000000008</v>
      </c>
      <c r="BD109" s="12">
        <f>IF('Données projet'!$A$88&gt;35,BD108+BC109-BL108,IF(A109&lt;'Données projet'!$A$88,$BA$205^A109,IF(A109='Données projet'!$A$88,'Données projet'!$B$88,BD108+BC109-BL108)))</f>
        <v>358.52000000000021</v>
      </c>
      <c r="BE109" s="13">
        <f>BD109*VLOOKUP('Données projet'!$B$11,Paramètres!$A$1:$I$89,3,0)*VLOOKUP('Données projet'!$B$11,Paramètres!$A$1:$I$89,5,0)</f>
        <v>341.1676320000002</v>
      </c>
      <c r="BF109" s="13">
        <f t="shared" si="91"/>
        <v>79.741138430245854</v>
      </c>
      <c r="BG109" s="20">
        <f t="shared" si="61"/>
        <v>733.08277516601174</v>
      </c>
      <c r="BH109" s="59">
        <f t="shared" si="62"/>
        <v>1012.0745887541409</v>
      </c>
      <c r="BI109" s="59">
        <f ca="1">AVERAGE(OFFSET($BH$3,0,0,'Données projet'!$E$11+1,1))-AVERAGE(OFFSET($H$3,0,0,'Données projet'!$E$11+1,1))</f>
        <v>697.21496579331188</v>
      </c>
      <c r="BJ109" s="59">
        <f t="shared" si="92"/>
        <v>215.64914236948769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106.48259297677454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106.48259297677454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212.00000000000009</v>
      </c>
      <c r="BZ109" s="13">
        <f>BY109*VLOOKUP('Données projet'!$B$12,Paramètres!$A$1:$I$89,3,0)*VLOOKUP('Données projet'!$B$12,Paramètres!$A$1:$I$89,5,0)</f>
        <v>185.20320000000009</v>
      </c>
      <c r="CA109" s="13">
        <f t="shared" si="93"/>
        <v>46.477875402099386</v>
      </c>
      <c r="CB109" s="20">
        <f t="shared" si="64"/>
        <v>403.5112063253232</v>
      </c>
      <c r="CC109" s="59">
        <f t="shared" si="65"/>
        <v>682.50301991345236</v>
      </c>
      <c r="CD109" s="59">
        <f ca="1">AVERAGE(OFFSET($CC$3,0,0,'Données projet'!$E$12+1,1))-AVERAGE(OFFSET($H$3,0,0,'Données projet'!$E$12+1,1))</f>
        <v>330.58463337575432</v>
      </c>
      <c r="CE109" s="59">
        <f t="shared" si="94"/>
        <v>285.43250599232192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38.885948750099693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38.885948750099693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6">
        <f t="shared" si="56"/>
        <v>183.33333333333334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189.76714074331781</v>
      </c>
      <c r="T110" s="59">
        <f t="shared" si="88"/>
        <v>458.38901659119472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266.99999999999983</v>
      </c>
      <c r="AJ110" s="13">
        <f>AI110*VLOOKUP('Données projet'!$B$10,Paramètres!$A$1:$I$89,3,0)*VLOOKUP('Données projet'!$B$10,Paramètres!$A$1:$I$89,5,0)</f>
        <v>195.76439999999985</v>
      </c>
      <c r="AK110" s="13">
        <f t="shared" si="89"/>
        <v>48.812154563023455</v>
      </c>
      <c r="AL110" s="20">
        <f t="shared" si="58"/>
        <v>425.9708325305989</v>
      </c>
      <c r="AM110" s="59">
        <f t="shared" si="59"/>
        <v>705.21143942347248</v>
      </c>
      <c r="AN110" s="59">
        <f ca="1">AVERAGE(OFFSET($AM$3,0,0,'Données projet'!$E$10+1,1))-AVERAGE(OFFSET($H$3,0,0,'Données projet'!$E$10+1,1))</f>
        <v>302.36110224755532</v>
      </c>
      <c r="AO110" s="59">
        <f t="shared" si="90"/>
        <v>292.08583531469412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19.004415498790426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19.004415498790426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8.2550000000000008</v>
      </c>
      <c r="BD110" s="12">
        <f>IF('Données projet'!$A$88&gt;35,BD109+BC110-BL109,IF(A110&lt;'Données projet'!$A$88,$BA$205^A110,IF(A110='Données projet'!$A$88,'Données projet'!$B$88,BD109+BC110-BL109)))</f>
        <v>366.7750000000002</v>
      </c>
      <c r="BE110" s="13">
        <f>BD110*VLOOKUP('Données projet'!$B$11,Paramètres!$A$1:$I$89,3,0)*VLOOKUP('Données projet'!$B$11,Paramètres!$A$1:$I$89,5,0)</f>
        <v>349.0230900000002</v>
      </c>
      <c r="BF110" s="13">
        <f t="shared" si="91"/>
        <v>81.361322612341581</v>
      </c>
      <c r="BG110" s="20">
        <f t="shared" si="61"/>
        <v>749.58618529982857</v>
      </c>
      <c r="BH110" s="59">
        <f t="shared" si="62"/>
        <v>1028.8267921927022</v>
      </c>
      <c r="BI110" s="59">
        <f ca="1">AVERAGE(OFFSET($BH$3,0,0,'Données projet'!$E$11+1,1))-AVERAGE(OFFSET($H$3,0,0,'Données projet'!$E$11+1,1))</f>
        <v>697.21496579331188</v>
      </c>
      <c r="BJ110" s="59">
        <f t="shared" si="92"/>
        <v>215.64914236948769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104.39453427646863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104.39453427646863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212.00000000000009</v>
      </c>
      <c r="BZ110" s="13">
        <f>BY110*VLOOKUP('Données projet'!$B$12,Paramètres!$A$1:$I$89,3,0)*VLOOKUP('Données projet'!$B$12,Paramètres!$A$1:$I$89,5,0)</f>
        <v>185.20320000000009</v>
      </c>
      <c r="CA110" s="13">
        <f t="shared" si="93"/>
        <v>46.477875402099386</v>
      </c>
      <c r="CB110" s="20">
        <f t="shared" si="64"/>
        <v>403.5112063253232</v>
      </c>
      <c r="CC110" s="59">
        <f t="shared" si="65"/>
        <v>682.75181321819684</v>
      </c>
      <c r="CD110" s="59">
        <f ca="1">AVERAGE(OFFSET($CC$3,0,0,'Données projet'!$E$12+1,1))-AVERAGE(OFFSET($H$3,0,0,'Données projet'!$E$12+1,1))</f>
        <v>330.58463337575432</v>
      </c>
      <c r="CE110" s="59">
        <f t="shared" si="94"/>
        <v>285.43250599232192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38.123419013197008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38.123419013197008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6">
        <f t="shared" si="56"/>
        <v>183.33333333333334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189.76714074331781</v>
      </c>
      <c r="T111" s="59">
        <f t="shared" si="88"/>
        <v>458.38901659119472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266.99999999999983</v>
      </c>
      <c r="AJ111" s="13">
        <f>AI111*VLOOKUP('Données projet'!$B$10,Paramètres!$A$1:$I$89,3,0)*VLOOKUP('Données projet'!$B$10,Paramètres!$A$1:$I$89,5,0)</f>
        <v>195.76439999999985</v>
      </c>
      <c r="AK111" s="13">
        <f t="shared" si="89"/>
        <v>48.812154563023455</v>
      </c>
      <c r="AL111" s="20">
        <f t="shared" si="58"/>
        <v>425.9708325305989</v>
      </c>
      <c r="AM111" s="59">
        <f t="shared" si="59"/>
        <v>705.45591672059822</v>
      </c>
      <c r="AN111" s="59">
        <f ca="1">AVERAGE(OFFSET($AM$3,0,0,'Données projet'!$E$10+1,1))-AVERAGE(OFFSET($H$3,0,0,'Données projet'!$E$10+1,1))</f>
        <v>302.36110224755532</v>
      </c>
      <c r="AO111" s="59">
        <f t="shared" si="90"/>
        <v>292.08583531469412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18.631750502408028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18.631750502408028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8.2550000000000008</v>
      </c>
      <c r="BD111" s="12">
        <f>IF('Données projet'!$A$88&gt;35,BD110+BC111-BL110,IF(A111&lt;'Données projet'!$A$88,$BA$205^A111,IF(A111='Données projet'!$A$88,'Données projet'!$B$88,BD110+BC111-BL110)))</f>
        <v>375.0300000000002</v>
      </c>
      <c r="BE111" s="13">
        <f>BD111*VLOOKUP('Données projet'!$B$11,Paramètres!$A$1:$I$89,3,0)*VLOOKUP('Données projet'!$B$11,Paramètres!$A$1:$I$89,5,0)</f>
        <v>356.87854800000019</v>
      </c>
      <c r="BF111" s="13">
        <f t="shared" si="91"/>
        <v>82.977267391318492</v>
      </c>
      <c r="BG111" s="20">
        <f t="shared" si="61"/>
        <v>766.08221180654664</v>
      </c>
      <c r="BH111" s="59">
        <f t="shared" si="62"/>
        <v>1045.5672959965459</v>
      </c>
      <c r="BI111" s="59">
        <f ca="1">AVERAGE(OFFSET($BH$3,0,0,'Données projet'!$E$11+1,1))-AVERAGE(OFFSET($H$3,0,0,'Données projet'!$E$11+1,1))</f>
        <v>697.21496579331188</v>
      </c>
      <c r="BJ111" s="59">
        <f t="shared" si="92"/>
        <v>215.64914236948769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102.34742113368567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102.34742113368567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212.00000000000009</v>
      </c>
      <c r="BZ111" s="13">
        <f>BY111*VLOOKUP('Données projet'!$B$12,Paramètres!$A$1:$I$89,3,0)*VLOOKUP('Données projet'!$B$12,Paramètres!$A$1:$I$89,5,0)</f>
        <v>185.20320000000009</v>
      </c>
      <c r="CA111" s="13">
        <f t="shared" si="93"/>
        <v>46.477875402099386</v>
      </c>
      <c r="CB111" s="20">
        <f t="shared" si="64"/>
        <v>403.5112063253232</v>
      </c>
      <c r="CC111" s="59">
        <f t="shared" si="65"/>
        <v>682.99629051532247</v>
      </c>
      <c r="CD111" s="59">
        <f ca="1">AVERAGE(OFFSET($CC$3,0,0,'Données projet'!$E$12+1,1))-AVERAGE(OFFSET($H$3,0,0,'Données projet'!$E$12+1,1))</f>
        <v>330.58463337575432</v>
      </c>
      <c r="CE111" s="59">
        <f t="shared" si="94"/>
        <v>285.43250599232192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37.375842019337767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37.375842019337767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6">
        <f t="shared" si="56"/>
        <v>183.33333333333334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189.76714074331781</v>
      </c>
      <c r="T112" s="59">
        <f t="shared" si="88"/>
        <v>458.38901659119472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266.99999999999983</v>
      </c>
      <c r="AJ112" s="13">
        <f>AI112*VLOOKUP('Données projet'!$B$10,Paramètres!$A$1:$I$89,3,0)*VLOOKUP('Données projet'!$B$10,Paramètres!$A$1:$I$89,5,0)</f>
        <v>195.76439999999985</v>
      </c>
      <c r="AK112" s="13">
        <f t="shared" si="89"/>
        <v>48.812154563023455</v>
      </c>
      <c r="AL112" s="20">
        <f t="shared" si="58"/>
        <v>425.9708325305989</v>
      </c>
      <c r="AM112" s="59">
        <f t="shared" si="59"/>
        <v>705.69615288318823</v>
      </c>
      <c r="AN112" s="59">
        <f ca="1">AVERAGE(OFFSET($AM$3,0,0,'Données projet'!$E$10+1,1))-AVERAGE(OFFSET($H$3,0,0,'Données projet'!$E$10+1,1))</f>
        <v>302.36110224755532</v>
      </c>
      <c r="AO112" s="59">
        <f t="shared" si="90"/>
        <v>292.08583531469412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18.266393239301486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18.266393239301486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8.2550000000000008</v>
      </c>
      <c r="BD112" s="12">
        <f>IF('Données projet'!$A$88&gt;35,BD111+BC112-BL111,IF(A112&lt;'Données projet'!$A$88,$BA$205^A112,IF(A112='Données projet'!$A$88,'Données projet'!$B$88,BD111+BC112-BL111)))</f>
        <v>383.2850000000002</v>
      </c>
      <c r="BE112" s="13">
        <f>BD112*VLOOKUP('Données projet'!$B$11,Paramètres!$A$1:$I$89,3,0)*VLOOKUP('Données projet'!$B$11,Paramètres!$A$1:$I$89,5,0)</f>
        <v>364.73400600000019</v>
      </c>
      <c r="BF112" s="13">
        <f t="shared" si="91"/>
        <v>84.589076828709338</v>
      </c>
      <c r="BG112" s="20">
        <f t="shared" si="61"/>
        <v>782.57103592666908</v>
      </c>
      <c r="BH112" s="59">
        <f t="shared" si="62"/>
        <v>1062.2963562792584</v>
      </c>
      <c r="BI112" s="59">
        <f ca="1">AVERAGE(OFFSET($BH$3,0,0,'Données projet'!$E$11+1,1))-AVERAGE(OFFSET($H$3,0,0,'Données projet'!$E$11+1,1))</f>
        <v>697.21496579331188</v>
      </c>
      <c r="BJ112" s="59">
        <f t="shared" si="92"/>
        <v>215.64914236948769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100.34045063101695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100.34045063101695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212.00000000000009</v>
      </c>
      <c r="BZ112" s="13">
        <f>BY112*VLOOKUP('Données projet'!$B$12,Paramètres!$A$1:$I$89,3,0)*VLOOKUP('Données projet'!$B$12,Paramètres!$A$1:$I$89,5,0)</f>
        <v>185.20320000000009</v>
      </c>
      <c r="CA112" s="13">
        <f t="shared" si="93"/>
        <v>46.477875402099386</v>
      </c>
      <c r="CB112" s="20">
        <f t="shared" si="64"/>
        <v>403.5112063253232</v>
      </c>
      <c r="CC112" s="59">
        <f t="shared" si="65"/>
        <v>683.23652667791248</v>
      </c>
      <c r="CD112" s="59">
        <f ca="1">AVERAGE(OFFSET($CC$3,0,0,'Données projet'!$E$12+1,1))-AVERAGE(OFFSET($H$3,0,0,'Données projet'!$E$12+1,1))</f>
        <v>330.58463337575432</v>
      </c>
      <c r="CE112" s="59">
        <f t="shared" si="94"/>
        <v>285.43250599232192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36.642924554351168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36.642924554351168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6">
        <f t="shared" si="56"/>
        <v>183.33333333333334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189.76714074331781</v>
      </c>
      <c r="T113" s="59">
        <f t="shared" si="88"/>
        <v>458.38901659119472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266.99999999999983</v>
      </c>
      <c r="AJ113" s="13">
        <f>AI113*VLOOKUP('Données projet'!$B$10,Paramètres!$A$1:$I$89,3,0)*VLOOKUP('Données projet'!$B$10,Paramètres!$A$1:$I$89,5,0)</f>
        <v>195.76439999999985</v>
      </c>
      <c r="AK113" s="13">
        <f t="shared" si="89"/>
        <v>48.812154563023455</v>
      </c>
      <c r="AL113" s="20">
        <f t="shared" si="58"/>
        <v>425.9708325305989</v>
      </c>
      <c r="AM113" s="59">
        <f t="shared" si="59"/>
        <v>705.93222148544476</v>
      </c>
      <c r="AN113" s="59">
        <f ca="1">AVERAGE(OFFSET($AM$3,0,0,'Données projet'!$E$10+1,1))-AVERAGE(OFFSET($H$3,0,0,'Données projet'!$E$10+1,1))</f>
        <v>302.36110224755532</v>
      </c>
      <c r="AO113" s="59">
        <f t="shared" si="90"/>
        <v>292.08583531469412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17.908200409278539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17.908200409278539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8.2550000000000008</v>
      </c>
      <c r="BD113" s="12">
        <f>IF('Données projet'!$A$88&gt;35,BD112+BC113-BL112,IF(A113&lt;'Données projet'!$A$88,$BA$205^A113,IF(A113='Données projet'!$A$88,'Données projet'!$B$88,BD112+BC113-BL112)))</f>
        <v>391.54000000000019</v>
      </c>
      <c r="BE113" s="13">
        <f>BD113*VLOOKUP('Données projet'!$B$11,Paramètres!$A$1:$I$89,3,0)*VLOOKUP('Données projet'!$B$11,Paramètres!$A$1:$I$89,5,0)</f>
        <v>372.58946400000019</v>
      </c>
      <c r="BF113" s="13">
        <f t="shared" si="91"/>
        <v>86.196850247558444</v>
      </c>
      <c r="BG113" s="20">
        <f t="shared" si="61"/>
        <v>799.05283064783123</v>
      </c>
      <c r="BH113" s="59">
        <f t="shared" si="62"/>
        <v>1079.014219602677</v>
      </c>
      <c r="BI113" s="59">
        <f ca="1">AVERAGE(OFFSET($BH$3,0,0,'Données projet'!$E$11+1,1))-AVERAGE(OFFSET($H$3,0,0,'Données projet'!$E$11+1,1))</f>
        <v>697.21496579331188</v>
      </c>
      <c r="BJ113" s="59">
        <f t="shared" si="92"/>
        <v>215.64914236948769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98.372835595774433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98.372835595774433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212.00000000000009</v>
      </c>
      <c r="BZ113" s="13">
        <f>BY113*VLOOKUP('Données projet'!$B$12,Paramètres!$A$1:$I$89,3,0)*VLOOKUP('Données projet'!$B$12,Paramètres!$A$1:$I$89,5,0)</f>
        <v>185.20320000000009</v>
      </c>
      <c r="CA113" s="13">
        <f t="shared" si="93"/>
        <v>46.477875402099386</v>
      </c>
      <c r="CB113" s="20">
        <f t="shared" si="64"/>
        <v>403.5112063253232</v>
      </c>
      <c r="CC113" s="59">
        <f t="shared" si="65"/>
        <v>683.47259528016912</v>
      </c>
      <c r="CD113" s="59">
        <f ca="1">AVERAGE(OFFSET($CC$3,0,0,'Données projet'!$E$12+1,1))-AVERAGE(OFFSET($H$3,0,0,'Données projet'!$E$12+1,1))</f>
        <v>330.58463337575432</v>
      </c>
      <c r="CE113" s="59">
        <f t="shared" si="94"/>
        <v>285.43250599232192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35.924379153817441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35.924379153817441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6">
        <f t="shared" si="56"/>
        <v>183.33333333333334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189.76714074331781</v>
      </c>
      <c r="T114" s="59">
        <f t="shared" si="88"/>
        <v>458.38901659119472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266.99999999999983</v>
      </c>
      <c r="AJ114" s="13">
        <f>AI114*VLOOKUP('Données projet'!$B$10,Paramètres!$A$1:$I$89,3,0)*VLOOKUP('Données projet'!$B$10,Paramètres!$A$1:$I$89,5,0)</f>
        <v>195.76439999999985</v>
      </c>
      <c r="AK114" s="13">
        <f t="shared" si="89"/>
        <v>48.812154563023455</v>
      </c>
      <c r="AL114" s="20">
        <f t="shared" si="58"/>
        <v>425.9708325305989</v>
      </c>
      <c r="AM114" s="59">
        <f t="shared" si="59"/>
        <v>706.16419482522247</v>
      </c>
      <c r="AN114" s="59">
        <f ca="1">AVERAGE(OFFSET($AM$3,0,0,'Données projet'!$E$10+1,1))-AVERAGE(OFFSET($H$3,0,0,'Données projet'!$E$10+1,1))</f>
        <v>302.36110224755532</v>
      </c>
      <c r="AO114" s="59">
        <f t="shared" si="90"/>
        <v>292.08583531469412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17.557031522176288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17.557031522176288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8.2550000000000008</v>
      </c>
      <c r="BD114" s="12">
        <f>IF('Données projet'!$A$88&gt;35,BD113+BC114-BL113,IF(A114&lt;'Données projet'!$A$88,$BA$205^A114,IF(A114='Données projet'!$A$88,'Données projet'!$B$88,BD113+BC114-BL113)))</f>
        <v>399.79500000000019</v>
      </c>
      <c r="BE114" s="13">
        <f>BD114*VLOOKUP('Données projet'!$B$11,Paramètres!$A$1:$I$89,3,0)*VLOOKUP('Données projet'!$B$11,Paramètres!$A$1:$I$89,5,0)</f>
        <v>380.44492200000019</v>
      </c>
      <c r="BF114" s="13">
        <f t="shared" si="91"/>
        <v>87.800682543471467</v>
      </c>
      <c r="BG114" s="20">
        <f t="shared" si="61"/>
        <v>815.52776124654645</v>
      </c>
      <c r="BH114" s="59">
        <f t="shared" si="62"/>
        <v>1095.7211235411701</v>
      </c>
      <c r="BI114" s="59">
        <f ca="1">AVERAGE(OFFSET($BH$3,0,0,'Données projet'!$E$11+1,1))-AVERAGE(OFFSET($H$3,0,0,'Données projet'!$E$11+1,1))</f>
        <v>697.21496579331188</v>
      </c>
      <c r="BJ114" s="59">
        <f t="shared" si="92"/>
        <v>215.64914236948769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96.443804291246352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96.443804291246352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212.00000000000009</v>
      </c>
      <c r="BZ114" s="13">
        <f>BY114*VLOOKUP('Données projet'!$B$12,Paramètres!$A$1:$I$89,3,0)*VLOOKUP('Données projet'!$B$12,Paramètres!$A$1:$I$89,5,0)</f>
        <v>185.20320000000009</v>
      </c>
      <c r="CA114" s="13">
        <f t="shared" si="93"/>
        <v>46.477875402099386</v>
      </c>
      <c r="CB114" s="20">
        <f t="shared" si="64"/>
        <v>403.5112063253232</v>
      </c>
      <c r="CC114" s="59">
        <f t="shared" si="65"/>
        <v>683.70456861994671</v>
      </c>
      <c r="CD114" s="59">
        <f ca="1">AVERAGE(OFFSET($CC$3,0,0,'Données projet'!$E$12+1,1))-AVERAGE(OFFSET($H$3,0,0,'Données projet'!$E$12+1,1))</f>
        <v>330.58463337575432</v>
      </c>
      <c r="CE114" s="59">
        <f t="shared" si="94"/>
        <v>285.43250599232192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35.219923990318762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35.219923990318762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6">
        <f t="shared" si="56"/>
        <v>183.33333333333334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189.76714074331781</v>
      </c>
      <c r="T115" s="59">
        <f t="shared" si="88"/>
        <v>458.38901659119472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266.99999999999983</v>
      </c>
      <c r="AJ115" s="13">
        <f>AI115*VLOOKUP('Données projet'!$B$10,Paramètres!$A$1:$I$89,3,0)*VLOOKUP('Données projet'!$B$10,Paramètres!$A$1:$I$89,5,0)</f>
        <v>195.76439999999985</v>
      </c>
      <c r="AK115" s="13">
        <f t="shared" si="89"/>
        <v>48.812154563023455</v>
      </c>
      <c r="AL115" s="20">
        <f t="shared" si="58"/>
        <v>425.9708325305989</v>
      </c>
      <c r="AM115" s="59">
        <f t="shared" si="59"/>
        <v>706.39214394616977</v>
      </c>
      <c r="AN115" s="59">
        <f ca="1">AVERAGE(OFFSET($AM$3,0,0,'Données projet'!$E$10+1,1))-AVERAGE(OFFSET($H$3,0,0,'Données projet'!$E$10+1,1))</f>
        <v>302.36110224755532</v>
      </c>
      <c r="AO115" s="59">
        <f t="shared" si="90"/>
        <v>292.08583531469412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17.212748842758241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17.212748842758241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8.2550000000000008</v>
      </c>
      <c r="BD115" s="12">
        <f>IF('Données projet'!$A$88&gt;35,BD114+BC115-BL114,IF(A115&lt;'Données projet'!$A$88,$BA$205^A115,IF(A115='Données projet'!$A$88,'Données projet'!$B$88,BD114+BC115-BL114)))</f>
        <v>408.05000000000018</v>
      </c>
      <c r="BE115" s="13">
        <f>BD115*VLOOKUP('Données projet'!$B$11,Paramètres!$A$1:$I$89,3,0)*VLOOKUP('Données projet'!$B$11,Paramètres!$A$1:$I$89,5,0)</f>
        <v>388.30038000000019</v>
      </c>
      <c r="BF115" s="13">
        <f t="shared" si="91"/>
        <v>89.400664469249762</v>
      </c>
      <c r="BG115" s="20">
        <f t="shared" si="61"/>
        <v>831.99598578394352</v>
      </c>
      <c r="BH115" s="59">
        <f t="shared" si="62"/>
        <v>1112.4172971995145</v>
      </c>
      <c r="BI115" s="59">
        <f ca="1">AVERAGE(OFFSET($BH$3,0,0,'Données projet'!$E$11+1,1))-AVERAGE(OFFSET($H$3,0,0,'Données projet'!$E$11+1,1))</f>
        <v>697.21496579331188</v>
      </c>
      <c r="BJ115" s="59">
        <f t="shared" si="92"/>
        <v>215.64914236948769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94.552600114007149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94.552600114007149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212.00000000000009</v>
      </c>
      <c r="BZ115" s="13">
        <f>BY115*VLOOKUP('Données projet'!$B$12,Paramètres!$A$1:$I$89,3,0)*VLOOKUP('Données projet'!$B$12,Paramètres!$A$1:$I$89,5,0)</f>
        <v>185.20320000000009</v>
      </c>
      <c r="CA115" s="13">
        <f t="shared" si="93"/>
        <v>46.477875402099386</v>
      </c>
      <c r="CB115" s="20">
        <f t="shared" si="64"/>
        <v>403.5112063253232</v>
      </c>
      <c r="CC115" s="59">
        <f t="shared" si="65"/>
        <v>683.93251774089413</v>
      </c>
      <c r="CD115" s="59">
        <f ca="1">AVERAGE(OFFSET($CC$3,0,0,'Données projet'!$E$12+1,1))-AVERAGE(OFFSET($H$3,0,0,'Données projet'!$E$12+1,1))</f>
        <v>330.58463337575432</v>
      </c>
      <c r="CE115" s="59">
        <f t="shared" si="94"/>
        <v>285.43250599232192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34.529282762901069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34.529282762901069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6">
        <f t="shared" si="56"/>
        <v>183.33333333333334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189.76714074331781</v>
      </c>
      <c r="T116" s="59">
        <f t="shared" si="88"/>
        <v>458.38901659119472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266.99999999999983</v>
      </c>
      <c r="AJ116" s="13">
        <f>AI116*VLOOKUP('Données projet'!$B$10,Paramètres!$A$1:$I$89,3,0)*VLOOKUP('Données projet'!$B$10,Paramètres!$A$1:$I$89,5,0)</f>
        <v>195.76439999999985</v>
      </c>
      <c r="AK116" s="13">
        <f t="shared" si="89"/>
        <v>48.812154563023455</v>
      </c>
      <c r="AL116" s="20">
        <f t="shared" si="58"/>
        <v>425.9708325305989</v>
      </c>
      <c r="AM116" s="59">
        <f t="shared" si="59"/>
        <v>706.61613865948652</v>
      </c>
      <c r="AN116" s="59">
        <f ca="1">AVERAGE(OFFSET($AM$3,0,0,'Données projet'!$E$10+1,1))-AVERAGE(OFFSET($H$3,0,0,'Données projet'!$E$10+1,1))</f>
        <v>302.36110224755532</v>
      </c>
      <c r="AO116" s="59">
        <f t="shared" si="90"/>
        <v>292.08583531469412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16.875217336691883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16.875217336691883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8.2550000000000008</v>
      </c>
      <c r="BD116" s="12">
        <f>IF('Données projet'!$A$88&gt;35,BD115+BC116-BL115,IF(A116&lt;'Données projet'!$A$88,$BA$205^A116,IF(A116='Données projet'!$A$88,'Données projet'!$B$88,BD115+BC116-BL115)))</f>
        <v>416.30500000000018</v>
      </c>
      <c r="BE116" s="13">
        <f>BD116*VLOOKUP('Données projet'!$B$11,Paramètres!$A$1:$I$89,3,0)*VLOOKUP('Données projet'!$B$11,Paramètres!$A$1:$I$89,5,0)</f>
        <v>396.15583800000019</v>
      </c>
      <c r="BF116" s="13">
        <f t="shared" si="91"/>
        <v>90.996882895841352</v>
      </c>
      <c r="BG116" s="20">
        <f t="shared" si="61"/>
        <v>848.45765556025719</v>
      </c>
      <c r="BH116" s="59">
        <f t="shared" si="62"/>
        <v>1129.1029616891449</v>
      </c>
      <c r="BI116" s="59">
        <f ca="1">AVERAGE(OFFSET($BH$3,0,0,'Données projet'!$E$11+1,1))-AVERAGE(OFFSET($H$3,0,0,'Données projet'!$E$11+1,1))</f>
        <v>697.21496579331188</v>
      </c>
      <c r="BJ116" s="59">
        <f t="shared" si="92"/>
        <v>215.64914236948769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92.698481297162957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92.698481297162957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212.00000000000009</v>
      </c>
      <c r="BZ116" s="13">
        <f>BY116*VLOOKUP('Données projet'!$B$12,Paramètres!$A$1:$I$89,3,0)*VLOOKUP('Données projet'!$B$12,Paramètres!$A$1:$I$89,5,0)</f>
        <v>185.20320000000009</v>
      </c>
      <c r="CA116" s="13">
        <f t="shared" si="93"/>
        <v>46.477875402099386</v>
      </c>
      <c r="CB116" s="20">
        <f t="shared" si="64"/>
        <v>403.5112063253232</v>
      </c>
      <c r="CC116" s="59">
        <f t="shared" si="65"/>
        <v>684.15651245421077</v>
      </c>
      <c r="CD116" s="59">
        <f ca="1">AVERAGE(OFFSET($CC$3,0,0,'Données projet'!$E$12+1,1))-AVERAGE(OFFSET($H$3,0,0,'Données projet'!$E$12+1,1))</f>
        <v>330.58463337575432</v>
      </c>
      <c r="CE116" s="59">
        <f t="shared" si="94"/>
        <v>285.43250599232192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33.852184588703487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33.852184588703487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6">
        <f t="shared" si="56"/>
        <v>183.33333333333334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189.76714074331781</v>
      </c>
      <c r="T117" s="59">
        <f t="shared" si="88"/>
        <v>458.38901659119472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266.99999999999983</v>
      </c>
      <c r="AJ117" s="13">
        <f>AI117*VLOOKUP('Données projet'!$B$10,Paramètres!$A$1:$I$89,3,0)*VLOOKUP('Données projet'!$B$10,Paramètres!$A$1:$I$89,5,0)</f>
        <v>195.76439999999985</v>
      </c>
      <c r="AK117" s="13">
        <f t="shared" si="89"/>
        <v>48.812154563023455</v>
      </c>
      <c r="AL117" s="20">
        <f t="shared" si="58"/>
        <v>425.9708325305989</v>
      </c>
      <c r="AM117" s="59">
        <f t="shared" si="59"/>
        <v>706.83624756530435</v>
      </c>
      <c r="AN117" s="59">
        <f ca="1">AVERAGE(OFFSET($AM$3,0,0,'Données projet'!$E$10+1,1))-AVERAGE(OFFSET($H$3,0,0,'Données projet'!$E$10+1,1))</f>
        <v>302.36110224755532</v>
      </c>
      <c r="AO117" s="59">
        <f t="shared" si="90"/>
        <v>292.08583531469412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16.544304617585595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16.544304617585595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424.56</v>
      </c>
      <c r="BB117" s="12">
        <f>VLOOKUP(A117,'Données projet'!$A$87:$I$107,9,0)</f>
        <v>8.2550000000000008</v>
      </c>
      <c r="BC117" s="12">
        <f t="array" ref="BC117">INDEX(BB:BB,MIN(IF(ISNUMBER(BB117:BB313),ROW(BB117:BB313),"")))</f>
        <v>8.2550000000000008</v>
      </c>
      <c r="BD117" s="12">
        <f>IF('Données projet'!$A$88&gt;35,BD116+BC117-BL116,IF(A117&lt;'Données projet'!$A$88,$BA$205^A117,IF(A117='Données projet'!$A$88,'Données projet'!$B$88,BD116+BC117-BL116)))</f>
        <v>424.56000000000017</v>
      </c>
      <c r="BE117" s="13">
        <f>BD117*VLOOKUP('Données projet'!$B$11,Paramètres!$A$1:$I$89,3,0)*VLOOKUP('Données projet'!$B$11,Paramètres!$A$1:$I$89,5,0)</f>
        <v>404.01129600000019</v>
      </c>
      <c r="BF117" s="13">
        <f t="shared" si="91"/>
        <v>92.589421052009186</v>
      </c>
      <c r="BG117" s="20">
        <f t="shared" si="61"/>
        <v>864.91291553224971</v>
      </c>
      <c r="BH117" s="59">
        <f t="shared" si="62"/>
        <v>1145.7783305669552</v>
      </c>
      <c r="BI117" s="59">
        <f ca="1">AVERAGE(OFFSET($BH$3,0,0,'Données projet'!$E$11+1,1))-AVERAGE(OFFSET($H$3,0,0,'Données projet'!$E$11+1,1))</f>
        <v>697.21496579331188</v>
      </c>
      <c r="BJ117" s="59">
        <f t="shared" si="92"/>
        <v>215.64914236948769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56.07</v>
      </c>
      <c r="BM117" s="16">
        <f>IF(ISNA(VLOOKUP(A117,'Données projet'!$A$87:$I$107,5,0)),0%,VLOOKUP(A117,'Données projet'!$A$87:$I$107,5,0)*VLOOKUP('Données projet'!$B$11,Paramètres!$A$1:$I$89,7,0))</f>
        <v>0.43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116.2437167493509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116.2437167493509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212.00000000000009</v>
      </c>
      <c r="BZ117" s="13">
        <f>BY117*VLOOKUP('Données projet'!$B$12,Paramètres!$A$1:$I$89,3,0)*VLOOKUP('Données projet'!$B$12,Paramètres!$A$1:$I$89,5,0)</f>
        <v>185.20320000000009</v>
      </c>
      <c r="CA117" s="13">
        <f t="shared" si="93"/>
        <v>46.477875402099386</v>
      </c>
      <c r="CB117" s="20">
        <f t="shared" si="64"/>
        <v>403.5112063253232</v>
      </c>
      <c r="CC117" s="59">
        <f t="shared" si="65"/>
        <v>684.37662136002859</v>
      </c>
      <c r="CD117" s="59">
        <f ca="1">AVERAGE(OFFSET($CC$3,0,0,'Données projet'!$E$12+1,1))-AVERAGE(OFFSET($H$3,0,0,'Données projet'!$E$12+1,1))</f>
        <v>330.58463337575432</v>
      </c>
      <c r="CE117" s="59">
        <f t="shared" si="94"/>
        <v>285.43250599232192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33.188363896712808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33.188363896712808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6">
        <f t="shared" si="56"/>
        <v>183.33333333333334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189.76714074331781</v>
      </c>
      <c r="T118" s="59">
        <f t="shared" si="88"/>
        <v>458.38901659119472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266.99999999999983</v>
      </c>
      <c r="AJ118" s="13">
        <f>AI118*VLOOKUP('Données projet'!$B$10,Paramètres!$A$1:$I$89,3,0)*VLOOKUP('Données projet'!$B$10,Paramètres!$A$1:$I$89,5,0)</f>
        <v>195.76439999999985</v>
      </c>
      <c r="AK118" s="13">
        <f t="shared" si="89"/>
        <v>48.812154563023455</v>
      </c>
      <c r="AL118" s="20">
        <f t="shared" si="58"/>
        <v>425.9708325305989</v>
      </c>
      <c r="AM118" s="59">
        <f t="shared" si="59"/>
        <v>707.05253807369616</v>
      </c>
      <c r="AN118" s="59">
        <f ca="1">AVERAGE(OFFSET($AM$3,0,0,'Données projet'!$E$10+1,1))-AVERAGE(OFFSET($H$3,0,0,'Données projet'!$E$10+1,1))</f>
        <v>302.36110224755532</v>
      </c>
      <c r="AO118" s="59">
        <f t="shared" si="90"/>
        <v>292.08583531469412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16.219880895064151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16.219880895064151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8.3369999999999997</v>
      </c>
      <c r="BD118" s="12">
        <f>IF('Données projet'!$A$88&gt;35,BD117+BC118-BL117,IF(A118&lt;'Données projet'!$A$88,$BA$205^A118,IF(A118='Données projet'!$A$88,'Données projet'!$B$88,BD117+BC118-BL117)))</f>
        <v>376.82700000000017</v>
      </c>
      <c r="BE118" s="13">
        <f>BD118*VLOOKUP('Données projet'!$B$11,Paramètres!$A$1:$I$89,3,0)*VLOOKUP('Données projet'!$B$11,Paramètres!$A$1:$I$89,5,0)</f>
        <v>358.58857320000016</v>
      </c>
      <c r="BF118" s="13">
        <f t="shared" si="91"/>
        <v>83.32848476329724</v>
      </c>
      <c r="BG118" s="20">
        <f t="shared" si="61"/>
        <v>769.67220928607628</v>
      </c>
      <c r="BH118" s="59">
        <f t="shared" si="62"/>
        <v>1050.7539148291735</v>
      </c>
      <c r="BI118" s="59">
        <f ca="1">AVERAGE(OFFSET($BH$3,0,0,'Données projet'!$E$11+1,1))-AVERAGE(OFFSET($H$3,0,0,'Données projet'!$E$11+1,1))</f>
        <v>697.21496579331188</v>
      </c>
      <c r="BJ118" s="59">
        <f t="shared" si="92"/>
        <v>215.64914236948769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113.96424836556238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113.96424836556238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212.00000000000009</v>
      </c>
      <c r="BZ118" s="13">
        <f>BY118*VLOOKUP('Données projet'!$B$12,Paramètres!$A$1:$I$89,3,0)*VLOOKUP('Données projet'!$B$12,Paramètres!$A$1:$I$89,5,0)</f>
        <v>185.20320000000009</v>
      </c>
      <c r="CA118" s="13">
        <f t="shared" si="93"/>
        <v>46.477875402099386</v>
      </c>
      <c r="CB118" s="20">
        <f t="shared" si="64"/>
        <v>403.5112063253232</v>
      </c>
      <c r="CC118" s="59">
        <f t="shared" si="65"/>
        <v>684.59291186842052</v>
      </c>
      <c r="CD118" s="59">
        <f ca="1">AVERAGE(OFFSET($CC$3,0,0,'Données projet'!$E$12+1,1))-AVERAGE(OFFSET($H$3,0,0,'Données projet'!$E$12+1,1))</f>
        <v>330.58463337575432</v>
      </c>
      <c r="CE118" s="59">
        <f t="shared" si="94"/>
        <v>285.43250599232192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32.537560323601426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32.537560323601426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6">
        <f t="shared" si="56"/>
        <v>183.33333333333334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189.76714074331781</v>
      </c>
      <c r="T119" s="59">
        <f t="shared" si="88"/>
        <v>458.38901659119472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266.99999999999983</v>
      </c>
      <c r="AJ119" s="13">
        <f>AI119*VLOOKUP('Données projet'!$B$10,Paramètres!$A$1:$I$89,3,0)*VLOOKUP('Données projet'!$B$10,Paramètres!$A$1:$I$89,5,0)</f>
        <v>195.76439999999985</v>
      </c>
      <c r="AK119" s="13">
        <f t="shared" si="89"/>
        <v>48.812154563023455</v>
      </c>
      <c r="AL119" s="20">
        <f t="shared" si="58"/>
        <v>425.9708325305989</v>
      </c>
      <c r="AM119" s="59">
        <f t="shared" si="59"/>
        <v>707.26507642532033</v>
      </c>
      <c r="AN119" s="59">
        <f ca="1">AVERAGE(OFFSET($AM$3,0,0,'Données projet'!$E$10+1,1))-AVERAGE(OFFSET($H$3,0,0,'Données projet'!$E$10+1,1))</f>
        <v>302.36110224755532</v>
      </c>
      <c r="AO119" s="59">
        <f t="shared" si="90"/>
        <v>292.08583531469412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15.901818923862422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15.901818923862422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8.3369999999999997</v>
      </c>
      <c r="BD119" s="12">
        <f>IF('Données projet'!$A$88&gt;35,BD118+BC119-BL118,IF(A119&lt;'Données projet'!$A$88,$BA$205^A119,IF(A119='Données projet'!$A$88,'Données projet'!$B$88,BD118+BC119-BL118)))</f>
        <v>385.16400000000016</v>
      </c>
      <c r="BE119" s="13">
        <f>BD119*VLOOKUP('Données projet'!$B$11,Paramètres!$A$1:$I$89,3,0)*VLOOKUP('Données projet'!$B$11,Paramètres!$A$1:$I$89,5,0)</f>
        <v>366.52206240000015</v>
      </c>
      <c r="BF119" s="13">
        <f t="shared" si="91"/>
        <v>84.955388912632017</v>
      </c>
      <c r="BG119" s="20">
        <f t="shared" si="61"/>
        <v>786.32322770283429</v>
      </c>
      <c r="BH119" s="59">
        <f t="shared" si="62"/>
        <v>1067.6174715975558</v>
      </c>
      <c r="BI119" s="59">
        <f ca="1">AVERAGE(OFFSET($BH$3,0,0,'Données projet'!$E$11+1,1))-AVERAGE(OFFSET($H$3,0,0,'Données projet'!$E$11+1,1))</f>
        <v>697.21496579331188</v>
      </c>
      <c r="BJ119" s="59">
        <f t="shared" si="92"/>
        <v>215.64914236948769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111.72947896644153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111.72947896644153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212.00000000000009</v>
      </c>
      <c r="BZ119" s="13">
        <f>BY119*VLOOKUP('Données projet'!$B$12,Paramètres!$A$1:$I$89,3,0)*VLOOKUP('Données projet'!$B$12,Paramètres!$A$1:$I$89,5,0)</f>
        <v>185.20320000000009</v>
      </c>
      <c r="CA119" s="13">
        <f t="shared" si="93"/>
        <v>46.477875402099386</v>
      </c>
      <c r="CB119" s="20">
        <f t="shared" si="64"/>
        <v>403.5112063253232</v>
      </c>
      <c r="CC119" s="59">
        <f t="shared" si="65"/>
        <v>684.80545022004469</v>
      </c>
      <c r="CD119" s="59">
        <f ca="1">AVERAGE(OFFSET($CC$3,0,0,'Données projet'!$E$12+1,1))-AVERAGE(OFFSET($H$3,0,0,'Données projet'!$E$12+1,1))</f>
        <v>330.58463337575432</v>
      </c>
      <c r="CE119" s="59">
        <f t="shared" si="94"/>
        <v>285.43250599232192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31.899518611607775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31.899518611607775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6">
        <f t="shared" si="56"/>
        <v>183.33333333333334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189.76714074331781</v>
      </c>
      <c r="T120" s="59">
        <f t="shared" si="88"/>
        <v>458.38901659119472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266.99999999999983</v>
      </c>
      <c r="AJ120" s="13">
        <f>AI120*VLOOKUP('Données projet'!$B$10,Paramètres!$A$1:$I$89,3,0)*VLOOKUP('Données projet'!$B$10,Paramètres!$A$1:$I$89,5,0)</f>
        <v>195.76439999999985</v>
      </c>
      <c r="AK120" s="13">
        <f t="shared" si="89"/>
        <v>48.812154563023455</v>
      </c>
      <c r="AL120" s="20">
        <f t="shared" si="58"/>
        <v>425.9708325305989</v>
      </c>
      <c r="AM120" s="59">
        <f t="shared" si="59"/>
        <v>707.47392771170848</v>
      </c>
      <c r="AN120" s="59">
        <f ca="1">AVERAGE(OFFSET($AM$3,0,0,'Données projet'!$E$10+1,1))-AVERAGE(OFFSET($H$3,0,0,'Données projet'!$E$10+1,1))</f>
        <v>302.36110224755532</v>
      </c>
      <c r="AO120" s="59">
        <f t="shared" si="90"/>
        <v>292.08583531469412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15.589993953917311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15.589993953917311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8.3369999999999997</v>
      </c>
      <c r="BD120" s="12">
        <f>IF('Données projet'!$A$88&gt;35,BD119+BC120-BL119,IF(A120&lt;'Données projet'!$A$88,$BA$205^A120,IF(A120='Données projet'!$A$88,'Données projet'!$B$88,BD119+BC120-BL119)))</f>
        <v>393.50100000000015</v>
      </c>
      <c r="BE120" s="13">
        <f>BD120*VLOOKUP('Données projet'!$B$11,Paramètres!$A$1:$I$89,3,0)*VLOOKUP('Données projet'!$B$11,Paramètres!$A$1:$I$89,5,0)</f>
        <v>374.45555160000015</v>
      </c>
      <c r="BF120" s="13">
        <f t="shared" si="91"/>
        <v>86.578198872694799</v>
      </c>
      <c r="BG120" s="20">
        <f t="shared" si="61"/>
        <v>802.96711540661033</v>
      </c>
      <c r="BH120" s="59">
        <f t="shared" si="62"/>
        <v>1084.47021058772</v>
      </c>
      <c r="BI120" s="59">
        <f ca="1">AVERAGE(OFFSET($BH$3,0,0,'Données projet'!$E$11+1,1))-AVERAGE(OFFSET($H$3,0,0,'Données projet'!$E$11+1,1))</f>
        <v>697.21496579331188</v>
      </c>
      <c r="BJ120" s="59">
        <f t="shared" si="92"/>
        <v>215.64914236948769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109.53853203216271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109.53853203216271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212.00000000000009</v>
      </c>
      <c r="BZ120" s="13">
        <f>BY120*VLOOKUP('Données projet'!$B$12,Paramètres!$A$1:$I$89,3,0)*VLOOKUP('Données projet'!$B$12,Paramètres!$A$1:$I$89,5,0)</f>
        <v>185.20320000000009</v>
      </c>
      <c r="CA120" s="13">
        <f t="shared" si="93"/>
        <v>46.477875402099386</v>
      </c>
      <c r="CB120" s="20">
        <f t="shared" si="64"/>
        <v>403.5112063253232</v>
      </c>
      <c r="CC120" s="59">
        <f t="shared" si="65"/>
        <v>685.01430150643284</v>
      </c>
      <c r="CD120" s="59">
        <f ca="1">AVERAGE(OFFSET($CC$3,0,0,'Données projet'!$E$12+1,1))-AVERAGE(OFFSET($H$3,0,0,'Données projet'!$E$12+1,1))</f>
        <v>330.58463337575432</v>
      </c>
      <c r="CE120" s="59">
        <f t="shared" si="94"/>
        <v>285.43250599232192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31.273988508419301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31.273988508419301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6">
        <f t="shared" si="56"/>
        <v>183.33333333333334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189.76714074331781</v>
      </c>
      <c r="T121" s="59">
        <f t="shared" si="88"/>
        <v>458.38901659119472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266.99999999999983</v>
      </c>
      <c r="AJ121" s="13">
        <f>AI121*VLOOKUP('Données projet'!$B$10,Paramètres!$A$1:$I$89,3,0)*VLOOKUP('Données projet'!$B$10,Paramètres!$A$1:$I$89,5,0)</f>
        <v>195.76439999999985</v>
      </c>
      <c r="AK121" s="13">
        <f t="shared" si="89"/>
        <v>48.812154563023455</v>
      </c>
      <c r="AL121" s="20">
        <f t="shared" si="58"/>
        <v>425.9708325305989</v>
      </c>
      <c r="AM121" s="59">
        <f t="shared" si="59"/>
        <v>707.6791558951993</v>
      </c>
      <c r="AN121" s="59">
        <f ca="1">AVERAGE(OFFSET($AM$3,0,0,'Données projet'!$E$10+1,1))-AVERAGE(OFFSET($H$3,0,0,'Données projet'!$E$10+1,1))</f>
        <v>302.36110224755532</v>
      </c>
      <c r="AO121" s="59">
        <f t="shared" si="90"/>
        <v>292.08583531469412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15.284283681438373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15.284283681438373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8.3369999999999997</v>
      </c>
      <c r="BD121" s="12">
        <f>IF('Données projet'!$A$88&gt;35,BD120+BC121-BL120,IF(A121&lt;'Données projet'!$A$88,$BA$205^A121,IF(A121='Données projet'!$A$88,'Données projet'!$B$88,BD120+BC121-BL120)))</f>
        <v>401.83800000000014</v>
      </c>
      <c r="BE121" s="13">
        <f>BD121*VLOOKUP('Données projet'!$B$11,Paramètres!$A$1:$I$89,3,0)*VLOOKUP('Données projet'!$B$11,Paramètres!$A$1:$I$89,5,0)</f>
        <v>382.38904080000009</v>
      </c>
      <c r="BF121" s="13">
        <f t="shared" si="91"/>
        <v>88.197011378102573</v>
      </c>
      <c r="BG121" s="20">
        <f t="shared" si="61"/>
        <v>819.60404087686209</v>
      </c>
      <c r="BH121" s="59">
        <f t="shared" si="62"/>
        <v>1101.3123642414625</v>
      </c>
      <c r="BI121" s="59">
        <f ca="1">AVERAGE(OFFSET($BH$3,0,0,'Données projet'!$E$11+1,1))-AVERAGE(OFFSET($H$3,0,0,'Données projet'!$E$11+1,1))</f>
        <v>697.21496579331188</v>
      </c>
      <c r="BJ121" s="59">
        <f t="shared" si="92"/>
        <v>215.64914236948769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107.39054823091941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107.39054823091941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212.00000000000009</v>
      </c>
      <c r="BZ121" s="13">
        <f>BY121*VLOOKUP('Données projet'!$B$12,Paramètres!$A$1:$I$89,3,0)*VLOOKUP('Données projet'!$B$12,Paramètres!$A$1:$I$89,5,0)</f>
        <v>185.20320000000009</v>
      </c>
      <c r="CA121" s="13">
        <f t="shared" si="93"/>
        <v>46.477875402099386</v>
      </c>
      <c r="CB121" s="20">
        <f t="shared" si="64"/>
        <v>403.5112063253232</v>
      </c>
      <c r="CC121" s="59">
        <f t="shared" si="65"/>
        <v>685.21952968992355</v>
      </c>
      <c r="CD121" s="59">
        <f ca="1">AVERAGE(OFFSET($CC$3,0,0,'Données projet'!$E$12+1,1))-AVERAGE(OFFSET($H$3,0,0,'Données projet'!$E$12+1,1))</f>
        <v>330.58463337575432</v>
      </c>
      <c r="CE121" s="59">
        <f t="shared" si="94"/>
        <v>285.43250599232192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30.660724669018663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30.660724669018663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6">
        <f t="shared" si="56"/>
        <v>183.33333333333334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189.76714074331781</v>
      </c>
      <c r="T122" s="59">
        <f t="shared" si="88"/>
        <v>458.38901659119472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266.99999999999983</v>
      </c>
      <c r="AJ122" s="13">
        <f>AI122*VLOOKUP('Données projet'!$B$10,Paramètres!$A$1:$I$89,3,0)*VLOOKUP('Données projet'!$B$10,Paramètres!$A$1:$I$89,5,0)</f>
        <v>195.76439999999985</v>
      </c>
      <c r="AK122" s="13">
        <f t="shared" si="89"/>
        <v>48.812154563023455</v>
      </c>
      <c r="AL122" s="20">
        <f t="shared" si="58"/>
        <v>425.9708325305989</v>
      </c>
      <c r="AM122" s="59">
        <f t="shared" si="59"/>
        <v>707.88082382852804</v>
      </c>
      <c r="AN122" s="59">
        <f ca="1">AVERAGE(OFFSET($AM$3,0,0,'Données projet'!$E$10+1,1))-AVERAGE(OFFSET($H$3,0,0,'Données projet'!$E$10+1,1))</f>
        <v>302.36110224755532</v>
      </c>
      <c r="AO122" s="59">
        <f t="shared" si="90"/>
        <v>292.08583531469412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14.984568200937892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14.984568200937892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8.3369999999999997</v>
      </c>
      <c r="BD122" s="12">
        <f>IF('Données projet'!$A$88&gt;35,BD121+BC122-BL121,IF(A122&lt;'Données projet'!$A$88,$BA$205^A122,IF(A122='Données projet'!$A$88,'Données projet'!$B$88,BD121+BC122-BL121)))</f>
        <v>410.17500000000013</v>
      </c>
      <c r="BE122" s="13">
        <f>BD122*VLOOKUP('Données projet'!$B$11,Paramètres!$A$1:$I$89,3,0)*VLOOKUP('Données projet'!$B$11,Paramètres!$A$1:$I$89,5,0)</f>
        <v>390.32253000000014</v>
      </c>
      <c r="BF122" s="13">
        <f t="shared" si="91"/>
        <v>89.811918920133635</v>
      </c>
      <c r="BG122" s="20">
        <f t="shared" si="61"/>
        <v>836.23416520256615</v>
      </c>
      <c r="BH122" s="59">
        <f t="shared" si="62"/>
        <v>1118.1441565004952</v>
      </c>
      <c r="BI122" s="59">
        <f ca="1">AVERAGE(OFFSET($BH$3,0,0,'Données projet'!$E$11+1,1))-AVERAGE(OFFSET($H$3,0,0,'Données projet'!$E$11+1,1))</f>
        <v>697.21496579331188</v>
      </c>
      <c r="BJ122" s="59">
        <f t="shared" si="92"/>
        <v>215.64914236948769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105.28468508187774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105.28468508187774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212.00000000000009</v>
      </c>
      <c r="BZ122" s="13">
        <f>BY122*VLOOKUP('Données projet'!$B$12,Paramètres!$A$1:$I$89,3,0)*VLOOKUP('Données projet'!$B$12,Paramètres!$A$1:$I$89,5,0)</f>
        <v>185.20320000000009</v>
      </c>
      <c r="CA122" s="13">
        <f t="shared" si="93"/>
        <v>46.477875402099386</v>
      </c>
      <c r="CB122" s="20">
        <f t="shared" si="64"/>
        <v>403.5112063253232</v>
      </c>
      <c r="CC122" s="59">
        <f t="shared" si="65"/>
        <v>685.42119762325228</v>
      </c>
      <c r="CD122" s="59">
        <f ca="1">AVERAGE(OFFSET($CC$3,0,0,'Données projet'!$E$12+1,1))-AVERAGE(OFFSET($H$3,0,0,'Données projet'!$E$12+1,1))</f>
        <v>330.58463337575432</v>
      </c>
      <c r="CE122" s="59">
        <f t="shared" si="94"/>
        <v>285.43250599232192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30.059486559454665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30.059486559454665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6">
        <f t="shared" si="56"/>
        <v>183.33333333333334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189.76714074331781</v>
      </c>
      <c r="T123" s="59">
        <f t="shared" si="88"/>
        <v>458.38901659119472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266.99999999999983</v>
      </c>
      <c r="AJ123" s="13">
        <f>AI123*VLOOKUP('Données projet'!$B$10,Paramètres!$A$1:$I$89,3,0)*VLOOKUP('Données projet'!$B$10,Paramètres!$A$1:$I$89,5,0)</f>
        <v>195.76439999999985</v>
      </c>
      <c r="AK123" s="13">
        <f t="shared" si="89"/>
        <v>48.812154563023455</v>
      </c>
      <c r="AL123" s="20">
        <f t="shared" si="58"/>
        <v>425.9708325305989</v>
      </c>
      <c r="AM123" s="59">
        <f t="shared" si="59"/>
        <v>708.07899327407551</v>
      </c>
      <c r="AN123" s="59">
        <f ca="1">AVERAGE(OFFSET($AM$3,0,0,'Données projet'!$E$10+1,1))-AVERAGE(OFFSET($H$3,0,0,'Données projet'!$E$10+1,1))</f>
        <v>302.36110224755532</v>
      </c>
      <c r="AO123" s="59">
        <f t="shared" si="90"/>
        <v>292.08583531469412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14.690729958201633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14.690729958201633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8.3369999999999997</v>
      </c>
      <c r="BD123" s="12">
        <f>IF('Données projet'!$A$88&gt;35,BD122+BC123-BL122,IF(A123&lt;'Données projet'!$A$88,$BA$205^A123,IF(A123='Données projet'!$A$88,'Données projet'!$B$88,BD122+BC123-BL122)))</f>
        <v>418.51200000000011</v>
      </c>
      <c r="BE123" s="13">
        <f>BD123*VLOOKUP('Données projet'!$B$11,Paramètres!$A$1:$I$89,3,0)*VLOOKUP('Données projet'!$B$11,Paramètres!$A$1:$I$89,5,0)</f>
        <v>398.25601920000014</v>
      </c>
      <c r="BF123" s="13">
        <f t="shared" si="91"/>
        <v>91.42301001526657</v>
      </c>
      <c r="BG123" s="20">
        <f t="shared" si="61"/>
        <v>852.85764254992284</v>
      </c>
      <c r="BH123" s="59">
        <f t="shared" si="62"/>
        <v>1134.9658032933994</v>
      </c>
      <c r="BI123" s="59">
        <f ca="1">AVERAGE(OFFSET($BH$3,0,0,'Données projet'!$E$11+1,1))-AVERAGE(OFFSET($H$3,0,0,'Données projet'!$E$11+1,1))</f>
        <v>697.21496579331188</v>
      </c>
      <c r="BJ123" s="59">
        <f t="shared" si="92"/>
        <v>215.64914236948769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103.22011662473908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103.22011662473908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212.00000000000009</v>
      </c>
      <c r="BZ123" s="13">
        <f>BY123*VLOOKUP('Données projet'!$B$12,Paramètres!$A$1:$I$89,3,0)*VLOOKUP('Données projet'!$B$12,Paramètres!$A$1:$I$89,5,0)</f>
        <v>185.20320000000009</v>
      </c>
      <c r="CA123" s="13">
        <f t="shared" si="93"/>
        <v>46.477875402099386</v>
      </c>
      <c r="CB123" s="20">
        <f t="shared" si="64"/>
        <v>403.5112063253232</v>
      </c>
      <c r="CC123" s="59">
        <f t="shared" si="65"/>
        <v>685.61936706879987</v>
      </c>
      <c r="CD123" s="59">
        <f ca="1">AVERAGE(OFFSET($CC$3,0,0,'Données projet'!$E$12+1,1))-AVERAGE(OFFSET($H$3,0,0,'Données projet'!$E$12+1,1))</f>
        <v>330.58463337575432</v>
      </c>
      <c r="CE123" s="59">
        <f t="shared" si="94"/>
        <v>285.43250599232192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29.47003836250018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29.47003836250018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6">
        <f t="shared" si="56"/>
        <v>183.33333333333334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189.76714074331781</v>
      </c>
      <c r="T124" s="59">
        <f t="shared" si="88"/>
        <v>458.38901659119472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266.99999999999983</v>
      </c>
      <c r="AJ124" s="13">
        <f>AI124*VLOOKUP('Données projet'!$B$10,Paramètres!$A$1:$I$89,3,0)*VLOOKUP('Données projet'!$B$10,Paramètres!$A$1:$I$89,5,0)</f>
        <v>195.76439999999985</v>
      </c>
      <c r="AK124" s="13">
        <f t="shared" si="89"/>
        <v>48.812154563023455</v>
      </c>
      <c r="AL124" s="20">
        <f t="shared" si="58"/>
        <v>425.9708325305989</v>
      </c>
      <c r="AM124" s="59">
        <f t="shared" si="59"/>
        <v>708.27372492278323</v>
      </c>
      <c r="AN124" s="59">
        <f ca="1">AVERAGE(OFFSET($AM$3,0,0,'Données projet'!$E$10+1,1))-AVERAGE(OFFSET($H$3,0,0,'Données projet'!$E$10+1,1))</f>
        <v>302.36110224755532</v>
      </c>
      <c r="AO124" s="59">
        <f t="shared" si="90"/>
        <v>292.08583531469412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14.402653704181802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14.402653704181802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8.3369999999999997</v>
      </c>
      <c r="BD124" s="12">
        <f>IF('Données projet'!$A$88&gt;35,BD123+BC124-BL123,IF(A124&lt;'Données projet'!$A$88,$BA$205^A124,IF(A124='Données projet'!$A$88,'Données projet'!$B$88,BD123+BC124-BL123)))</f>
        <v>426.8490000000001</v>
      </c>
      <c r="BE124" s="13">
        <f>BD124*VLOOKUP('Données projet'!$B$11,Paramètres!$A$1:$I$89,3,0)*VLOOKUP('Données projet'!$B$11,Paramètres!$A$1:$I$89,5,0)</f>
        <v>406.18950840000008</v>
      </c>
      <c r="BF124" s="13">
        <f t="shared" si="91"/>
        <v>93.030369451717448</v>
      </c>
      <c r="BG124" s="20">
        <f t="shared" si="61"/>
        <v>869.47462059174131</v>
      </c>
      <c r="BH124" s="59">
        <f t="shared" si="62"/>
        <v>1151.7775129839256</v>
      </c>
      <c r="BI124" s="59">
        <f ca="1">AVERAGE(OFFSET($BH$3,0,0,'Données projet'!$E$11+1,1))-AVERAGE(OFFSET($H$3,0,0,'Données projet'!$E$11+1,1))</f>
        <v>697.21496579331188</v>
      </c>
      <c r="BJ124" s="59">
        <f t="shared" si="92"/>
        <v>215.64914236948769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101.1960330957825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101.1960330957825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212.00000000000009</v>
      </c>
      <c r="BZ124" s="13">
        <f>BY124*VLOOKUP('Données projet'!$B$12,Paramètres!$A$1:$I$89,3,0)*VLOOKUP('Données projet'!$B$12,Paramètres!$A$1:$I$89,5,0)</f>
        <v>185.20320000000009</v>
      </c>
      <c r="CA124" s="13">
        <f t="shared" si="93"/>
        <v>46.477875402099386</v>
      </c>
      <c r="CB124" s="20">
        <f t="shared" si="64"/>
        <v>403.5112063253232</v>
      </c>
      <c r="CC124" s="59">
        <f t="shared" si="65"/>
        <v>685.81409871750759</v>
      </c>
      <c r="CD124" s="59">
        <f ca="1">AVERAGE(OFFSET($CC$3,0,0,'Données projet'!$E$12+1,1))-AVERAGE(OFFSET($H$3,0,0,'Données projet'!$E$12+1,1))</f>
        <v>330.58463337575432</v>
      </c>
      <c r="CE124" s="59">
        <f t="shared" si="94"/>
        <v>285.43250599232192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28.892148885160072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28.892148885160072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6">
        <f t="shared" si="56"/>
        <v>183.33333333333334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189.76714074331781</v>
      </c>
      <c r="T125" s="59">
        <f t="shared" si="88"/>
        <v>458.38901659119472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266.99999999999983</v>
      </c>
      <c r="AJ125" s="13">
        <f>AI125*VLOOKUP('Données projet'!$B$10,Paramètres!$A$1:$I$89,3,0)*VLOOKUP('Données projet'!$B$10,Paramètres!$A$1:$I$89,5,0)</f>
        <v>195.76439999999985</v>
      </c>
      <c r="AK125" s="13">
        <f t="shared" si="89"/>
        <v>48.812154563023455</v>
      </c>
      <c r="AL125" s="20">
        <f t="shared" si="58"/>
        <v>425.9708325305989</v>
      </c>
      <c r="AM125" s="59">
        <f t="shared" si="59"/>
        <v>708.4650784127407</v>
      </c>
      <c r="AN125" s="59">
        <f ca="1">AVERAGE(OFFSET($AM$3,0,0,'Données projet'!$E$10+1,1))-AVERAGE(OFFSET($H$3,0,0,'Données projet'!$E$10+1,1))</f>
        <v>302.36110224755532</v>
      </c>
      <c r="AO125" s="59">
        <f t="shared" si="90"/>
        <v>292.08583531469412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14.120226449794133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14.120226449794133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8.3369999999999997</v>
      </c>
      <c r="BD125" s="12">
        <f>IF('Données projet'!$A$88&gt;35,BD124+BC125-BL124,IF(A125&lt;'Données projet'!$A$88,$BA$205^A125,IF(A125='Données projet'!$A$88,'Données projet'!$B$88,BD124+BC125-BL124)))</f>
        <v>435.18600000000009</v>
      </c>
      <c r="BE125" s="13">
        <f>BD125*VLOOKUP('Données projet'!$B$11,Paramètres!$A$1:$I$89,3,0)*VLOOKUP('Données projet'!$B$11,Paramètres!$A$1:$I$89,5,0)</f>
        <v>414.12299760000008</v>
      </c>
      <c r="BF125" s="13">
        <f t="shared" si="91"/>
        <v>94.634078516170817</v>
      </c>
      <c r="BG125" s="20">
        <f t="shared" si="61"/>
        <v>886.08524090233095</v>
      </c>
      <c r="BH125" s="59">
        <f t="shared" si="62"/>
        <v>1168.5794867844727</v>
      </c>
      <c r="BI125" s="59">
        <f ca="1">AVERAGE(OFFSET($BH$3,0,0,'Données projet'!$E$11+1,1))-AVERAGE(OFFSET($H$3,0,0,'Données projet'!$E$11+1,1))</f>
        <v>697.21496579331188</v>
      </c>
      <c r="BJ125" s="59">
        <f t="shared" si="92"/>
        <v>215.64914236948769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99.211640610259707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99.211640610259707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212.00000000000009</v>
      </c>
      <c r="BZ125" s="13">
        <f>BY125*VLOOKUP('Données projet'!$B$12,Paramètres!$A$1:$I$89,3,0)*VLOOKUP('Données projet'!$B$12,Paramètres!$A$1:$I$89,5,0)</f>
        <v>185.20320000000009</v>
      </c>
      <c r="CA125" s="13">
        <f t="shared" si="93"/>
        <v>46.477875402099386</v>
      </c>
      <c r="CB125" s="20">
        <f t="shared" si="64"/>
        <v>403.5112063253232</v>
      </c>
      <c r="CC125" s="59">
        <f t="shared" si="65"/>
        <v>686.00545220746494</v>
      </c>
      <c r="CD125" s="59">
        <f ca="1">AVERAGE(OFFSET($CC$3,0,0,'Données projet'!$E$12+1,1))-AVERAGE(OFFSET($H$3,0,0,'Données projet'!$E$12+1,1))</f>
        <v>330.58463337575432</v>
      </c>
      <c r="CE125" s="59">
        <f t="shared" si="94"/>
        <v>285.43250599232192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28.32559146799283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28.32559146799283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6">
        <f t="shared" si="56"/>
        <v>183.33333333333334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189.76714074331781</v>
      </c>
      <c r="T126" s="59">
        <f t="shared" si="88"/>
        <v>458.38901659119472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266.99999999999983</v>
      </c>
      <c r="AJ126" s="13">
        <f>AI126*VLOOKUP('Données projet'!$B$10,Paramètres!$A$1:$I$89,3,0)*VLOOKUP('Données projet'!$B$10,Paramètres!$A$1:$I$89,5,0)</f>
        <v>195.76439999999985</v>
      </c>
      <c r="AK126" s="13">
        <f t="shared" si="89"/>
        <v>48.812154563023455</v>
      </c>
      <c r="AL126" s="20">
        <f t="shared" si="58"/>
        <v>425.9708325305989</v>
      </c>
      <c r="AM126" s="59">
        <f t="shared" si="59"/>
        <v>708.65311234744956</v>
      </c>
      <c r="AN126" s="59">
        <f ca="1">AVERAGE(OFFSET($AM$3,0,0,'Données projet'!$E$10+1,1))-AVERAGE(OFFSET($H$3,0,0,'Données projet'!$E$10+1,1))</f>
        <v>302.36110224755532</v>
      </c>
      <c r="AO126" s="59">
        <f t="shared" si="90"/>
        <v>292.08583531469412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13.843337421601392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13.843337421601392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8.3369999999999997</v>
      </c>
      <c r="BD126" s="12">
        <f>IF('Données projet'!$A$88&gt;35,BD125+BC126-BL125,IF(A126&lt;'Données projet'!$A$88,$BA$205^A126,IF(A126='Données projet'!$A$88,'Données projet'!$B$88,BD125+BC126-BL125)))</f>
        <v>443.52300000000008</v>
      </c>
      <c r="BE126" s="13">
        <f>BD126*VLOOKUP('Données projet'!$B$11,Paramètres!$A$1:$I$89,3,0)*VLOOKUP('Données projet'!$B$11,Paramètres!$A$1:$I$89,5,0)</f>
        <v>422.05648680000002</v>
      </c>
      <c r="BF126" s="13">
        <f t="shared" si="91"/>
        <v>96.234215202646766</v>
      </c>
      <c r="BG126" s="20">
        <f t="shared" si="61"/>
        <v>902.68963932127645</v>
      </c>
      <c r="BH126" s="59">
        <f t="shared" si="62"/>
        <v>1185.3719191381272</v>
      </c>
      <c r="BI126" s="59">
        <f ca="1">AVERAGE(OFFSET($BH$3,0,0,'Données projet'!$E$11+1,1))-AVERAGE(OFFSET($H$3,0,0,'Données projet'!$E$11+1,1))</f>
        <v>697.21496579331188</v>
      </c>
      <c r="BJ126" s="59">
        <f t="shared" si="92"/>
        <v>215.64914236948769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97.266160851018114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97.266160851018114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212.00000000000009</v>
      </c>
      <c r="BZ126" s="13">
        <f>BY126*VLOOKUP('Données projet'!$B$12,Paramètres!$A$1:$I$89,3,0)*VLOOKUP('Données projet'!$B$12,Paramètres!$A$1:$I$89,5,0)</f>
        <v>185.20320000000009</v>
      </c>
      <c r="CA126" s="13">
        <f t="shared" si="93"/>
        <v>46.477875402099386</v>
      </c>
      <c r="CB126" s="20">
        <f t="shared" si="64"/>
        <v>403.5112063253232</v>
      </c>
      <c r="CC126" s="59">
        <f t="shared" si="65"/>
        <v>686.19348614217392</v>
      </c>
      <c r="CD126" s="59">
        <f ca="1">AVERAGE(OFFSET($CC$3,0,0,'Données projet'!$E$12+1,1))-AVERAGE(OFFSET($H$3,0,0,'Données projet'!$E$12+1,1))</f>
        <v>330.58463337575432</v>
      </c>
      <c r="CE126" s="59">
        <f t="shared" si="94"/>
        <v>285.43250599232192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27.770143896210332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27.770143896210332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6">
        <f t="shared" si="56"/>
        <v>183.33333333333334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189.76714074331781</v>
      </c>
      <c r="T127" s="59">
        <f t="shared" si="88"/>
        <v>458.38901659119472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266.99999999999983</v>
      </c>
      <c r="AJ127" s="13">
        <f>AI127*VLOOKUP('Données projet'!$B$10,Paramètres!$A$1:$I$89,3,0)*VLOOKUP('Données projet'!$B$10,Paramètres!$A$1:$I$89,5,0)</f>
        <v>195.76439999999985</v>
      </c>
      <c r="AK127" s="13">
        <f t="shared" si="89"/>
        <v>48.812154563023455</v>
      </c>
      <c r="AL127" s="20">
        <f t="shared" si="58"/>
        <v>425.9708325305989</v>
      </c>
      <c r="AM127" s="59">
        <f t="shared" si="59"/>
        <v>708.83788431377229</v>
      </c>
      <c r="AN127" s="59">
        <f ca="1">AVERAGE(OFFSET($AM$3,0,0,'Données projet'!$E$10+1,1))-AVERAGE(OFFSET($H$3,0,0,'Données projet'!$E$10+1,1))</f>
        <v>302.36110224755532</v>
      </c>
      <c r="AO127" s="59">
        <f t="shared" si="90"/>
        <v>292.08583531469412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13.571878018365879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13.571878018365879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451.86</v>
      </c>
      <c r="BB127" s="12">
        <f>VLOOKUP(A127,'Données projet'!$A$87:$I$107,9,0)</f>
        <v>8.3369999999999997</v>
      </c>
      <c r="BC127" s="12">
        <f t="array" ref="BC127">INDEX(BB:BB,MIN(IF(ISNUMBER(BB127:BB323),ROW(BB127:BB323),"")))</f>
        <v>8.3369999999999997</v>
      </c>
      <c r="BD127" s="12">
        <f>IF('Données projet'!$A$88&gt;35,BD126+BC127-BL126,IF(A127&lt;'Données projet'!$A$88,$BA$205^A127,IF(A127='Données projet'!$A$88,'Données projet'!$B$88,BD126+BC127-BL126)))</f>
        <v>451.86000000000007</v>
      </c>
      <c r="BE127" s="13">
        <f>BD127*VLOOKUP('Données projet'!$B$11,Paramètres!$A$1:$I$89,3,0)*VLOOKUP('Données projet'!$B$11,Paramètres!$A$1:$I$89,5,0)</f>
        <v>429.98997600000007</v>
      </c>
      <c r="BF127" s="13">
        <f t="shared" si="91"/>
        <v>97.83085440521765</v>
      </c>
      <c r="BG127" s="20">
        <f t="shared" si="61"/>
        <v>919.28794628908747</v>
      </c>
      <c r="BH127" s="59">
        <f t="shared" si="62"/>
        <v>1202.1549980722607</v>
      </c>
      <c r="BI127" s="59">
        <f ca="1">AVERAGE(OFFSET($BH$3,0,0,'Données projet'!$E$11+1,1))-AVERAGE(OFFSET($H$3,0,0,'Données projet'!$E$11+1,1))</f>
        <v>697.21496579331188</v>
      </c>
      <c r="BJ127" s="59">
        <f t="shared" si="92"/>
        <v>215.64914236948769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52.53</v>
      </c>
      <c r="BM127" s="16">
        <f>IF(ISNA(VLOOKUP(A127,'Données projet'!$A$87:$I$107,5,0)),0%,VLOOKUP(A127,'Données projet'!$A$87:$I$107,5,0)*VLOOKUP('Données projet'!$B$11,Paramètres!$A$1:$I$89,7,0))</f>
        <v>0.43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119.12052483680684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119.12052483680684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212.00000000000009</v>
      </c>
      <c r="BZ127" s="13">
        <f>BY127*VLOOKUP('Données projet'!$B$12,Paramètres!$A$1:$I$89,3,0)*VLOOKUP('Données projet'!$B$12,Paramètres!$A$1:$I$89,5,0)</f>
        <v>185.20320000000009</v>
      </c>
      <c r="CA127" s="13">
        <f t="shared" si="93"/>
        <v>46.477875402099386</v>
      </c>
      <c r="CB127" s="20">
        <f t="shared" si="64"/>
        <v>403.5112063253232</v>
      </c>
      <c r="CC127" s="59">
        <f t="shared" si="65"/>
        <v>686.37825810849654</v>
      </c>
      <c r="CD127" s="59">
        <f ca="1">AVERAGE(OFFSET($CC$3,0,0,'Données projet'!$E$12+1,1))-AVERAGE(OFFSET($H$3,0,0,'Données projet'!$E$12+1,1))</f>
        <v>330.58463337575432</v>
      </c>
      <c r="CE127" s="59">
        <f t="shared" si="94"/>
        <v>285.43250599232192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27.225588312520923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27.225588312520923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6">
        <f t="shared" si="56"/>
        <v>183.33333333333334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189.76714074331781</v>
      </c>
      <c r="T128" s="59">
        <f t="shared" si="88"/>
        <v>458.38901659119472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266.99999999999983</v>
      </c>
      <c r="AJ128" s="13">
        <f>AI128*VLOOKUP('Données projet'!$B$10,Paramètres!$A$1:$I$89,3,0)*VLOOKUP('Données projet'!$B$10,Paramètres!$A$1:$I$89,5,0)</f>
        <v>195.76439999999985</v>
      </c>
      <c r="AK128" s="13">
        <f t="shared" si="89"/>
        <v>48.812154563023455</v>
      </c>
      <c r="AL128" s="20">
        <f t="shared" si="58"/>
        <v>425.9708325305989</v>
      </c>
      <c r="AM128" s="59">
        <f t="shared" si="59"/>
        <v>709.01945089956735</v>
      </c>
      <c r="AN128" s="59">
        <f ca="1">AVERAGE(OFFSET($AM$3,0,0,'Données projet'!$E$10+1,1))-AVERAGE(OFFSET($H$3,0,0,'Données projet'!$E$10+1,1))</f>
        <v>302.36110224755532</v>
      </c>
      <c r="AO128" s="59">
        <f t="shared" si="90"/>
        <v>292.08583531469412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13.305741768453927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13.305741768453927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8.4949999999999939</v>
      </c>
      <c r="BD128" s="12">
        <f>IF('Données projet'!$A$88&gt;35,BD127+BC128-BL127,IF(A128&lt;'Données projet'!$A$88,$BA$205^A128,IF(A128='Données projet'!$A$88,'Données projet'!$B$88,BD127+BC128-BL127)))</f>
        <v>407.82500000000005</v>
      </c>
      <c r="BE128" s="13">
        <f>BD128*VLOOKUP('Données projet'!$B$11,Paramètres!$A$1:$I$89,3,0)*VLOOKUP('Données projet'!$B$11,Paramètres!$A$1:$I$89,5,0)</f>
        <v>388.08627000000007</v>
      </c>
      <c r="BF128" s="13">
        <f t="shared" si="91"/>
        <v>89.357105305889561</v>
      </c>
      <c r="BG128" s="20">
        <f t="shared" si="61"/>
        <v>831.5472119910911</v>
      </c>
      <c r="BH128" s="59">
        <f t="shared" si="62"/>
        <v>1114.5958303600596</v>
      </c>
      <c r="BI128" s="59">
        <f ca="1">AVERAGE(OFFSET($BH$3,0,0,'Données projet'!$E$11+1,1))-AVERAGE(OFFSET($H$3,0,0,'Données projet'!$E$11+1,1))</f>
        <v>697.21496579331188</v>
      </c>
      <c r="BJ128" s="59">
        <f t="shared" si="92"/>
        <v>215.64914236948769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116.78464400110299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116.78464400110299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212.00000000000009</v>
      </c>
      <c r="BZ128" s="13">
        <f>BY128*VLOOKUP('Données projet'!$B$12,Paramètres!$A$1:$I$89,3,0)*VLOOKUP('Données projet'!$B$12,Paramètres!$A$1:$I$89,5,0)</f>
        <v>185.20320000000009</v>
      </c>
      <c r="CA128" s="13">
        <f t="shared" si="93"/>
        <v>46.477875402099386</v>
      </c>
      <c r="CB128" s="20">
        <f t="shared" si="64"/>
        <v>403.5112063253232</v>
      </c>
      <c r="CC128" s="59">
        <f t="shared" si="65"/>
        <v>686.55982469429171</v>
      </c>
      <c r="CD128" s="59">
        <f ca="1">AVERAGE(OFFSET($CC$3,0,0,'Données projet'!$E$12+1,1))-AVERAGE(OFFSET($H$3,0,0,'Données projet'!$E$12+1,1))</f>
        <v>330.58463337575432</v>
      </c>
      <c r="CE128" s="59">
        <f t="shared" si="94"/>
        <v>285.43250599232192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26.691711131681554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26.691711131681554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6">
        <f t="shared" si="56"/>
        <v>183.33333333333334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189.76714074331781</v>
      </c>
      <c r="T129" s="59">
        <f t="shared" si="88"/>
        <v>458.38901659119472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266.99999999999983</v>
      </c>
      <c r="AJ129" s="13">
        <f>AI129*VLOOKUP('Données projet'!$B$10,Paramètres!$A$1:$I$89,3,0)*VLOOKUP('Données projet'!$B$10,Paramètres!$A$1:$I$89,5,0)</f>
        <v>195.76439999999985</v>
      </c>
      <c r="AK129" s="13">
        <f t="shared" si="89"/>
        <v>48.812154563023455</v>
      </c>
      <c r="AL129" s="20">
        <f t="shared" si="58"/>
        <v>425.9708325305989</v>
      </c>
      <c r="AM129" s="59">
        <f t="shared" si="59"/>
        <v>709.1978677110211</v>
      </c>
      <c r="AN129" s="59">
        <f ca="1">AVERAGE(OFFSET($AM$3,0,0,'Données projet'!$E$10+1,1))-AVERAGE(OFFSET($H$3,0,0,'Données projet'!$E$10+1,1))</f>
        <v>302.36110224755532</v>
      </c>
      <c r="AO129" s="59">
        <f t="shared" si="90"/>
        <v>292.08583531469412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13.044824288075665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13.044824288075665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8.4949999999999939</v>
      </c>
      <c r="BD129" s="12">
        <f>IF('Données projet'!$A$88&gt;35,BD128+BC129-BL128,IF(A129&lt;'Données projet'!$A$88,$BA$205^A129,IF(A129='Données projet'!$A$88,'Données projet'!$B$88,BD128+BC129-BL128)))</f>
        <v>416.32000000000005</v>
      </c>
      <c r="BE129" s="13">
        <f>BD129*VLOOKUP('Données projet'!$B$11,Paramètres!$A$1:$I$89,3,0)*VLOOKUP('Données projet'!$B$11,Paramètres!$A$1:$I$89,5,0)</f>
        <v>396.17011200000002</v>
      </c>
      <c r="BF129" s="13">
        <f t="shared" si="91"/>
        <v>90.99977997888567</v>
      </c>
      <c r="BG129" s="20">
        <f t="shared" si="61"/>
        <v>848.48756186322589</v>
      </c>
      <c r="BH129" s="59">
        <f t="shared" si="62"/>
        <v>1131.7145970436482</v>
      </c>
      <c r="BI129" s="59">
        <f ca="1">AVERAGE(OFFSET($BH$3,0,0,'Données projet'!$E$11+1,1))-AVERAGE(OFFSET($H$3,0,0,'Données projet'!$E$11+1,1))</f>
        <v>697.21496579331188</v>
      </c>
      <c r="BJ129" s="59">
        <f t="shared" si="92"/>
        <v>215.64914236948769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114.49456836384067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114.49456836384067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212.00000000000009</v>
      </c>
      <c r="BZ129" s="13">
        <f>BY129*VLOOKUP('Données projet'!$B$12,Paramètres!$A$1:$I$89,3,0)*VLOOKUP('Données projet'!$B$12,Paramètres!$A$1:$I$89,5,0)</f>
        <v>185.20320000000009</v>
      </c>
      <c r="CA129" s="13">
        <f t="shared" si="93"/>
        <v>46.477875402099386</v>
      </c>
      <c r="CB129" s="20">
        <f t="shared" si="64"/>
        <v>403.5112063253232</v>
      </c>
      <c r="CC129" s="59">
        <f t="shared" si="65"/>
        <v>686.73824150574546</v>
      </c>
      <c r="CD129" s="59">
        <f ca="1">AVERAGE(OFFSET($CC$3,0,0,'Données projet'!$E$12+1,1))-AVERAGE(OFFSET($H$3,0,0,'Données projet'!$E$12+1,1))</f>
        <v>330.58463337575432</v>
      </c>
      <c r="CE129" s="59">
        <f t="shared" si="94"/>
        <v>285.43250599232192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26.168302956725519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26.168302956725519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6">
        <f t="shared" si="56"/>
        <v>183.33333333333334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189.76714074331781</v>
      </c>
      <c r="T130" s="59">
        <f t="shared" si="88"/>
        <v>458.38901659119472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266.99999999999983</v>
      </c>
      <c r="AJ130" s="13">
        <f>AI130*VLOOKUP('Données projet'!$B$10,Paramètres!$A$1:$I$89,3,0)*VLOOKUP('Données projet'!$B$10,Paramètres!$A$1:$I$89,5,0)</f>
        <v>195.76439999999985</v>
      </c>
      <c r="AK130" s="13">
        <f t="shared" si="89"/>
        <v>48.812154563023455</v>
      </c>
      <c r="AL130" s="20">
        <f t="shared" si="58"/>
        <v>425.9708325305989</v>
      </c>
      <c r="AM130" s="59">
        <f t="shared" si="59"/>
        <v>709.37318938967633</v>
      </c>
      <c r="AN130" s="59">
        <f ca="1">AVERAGE(OFFSET($AM$3,0,0,'Données projet'!$E$10+1,1))-AVERAGE(OFFSET($H$3,0,0,'Données projet'!$E$10+1,1))</f>
        <v>302.36110224755532</v>
      </c>
      <c r="AO130" s="59">
        <f t="shared" si="90"/>
        <v>292.08583531469412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12.789023240343672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12.789023240343672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8.4949999999999939</v>
      </c>
      <c r="BD130" s="12">
        <f>IF('Données projet'!$A$88&gt;35,BD129+BC130-BL129,IF(A130&lt;'Données projet'!$A$88,$BA$205^A130,IF(A130='Données projet'!$A$88,'Données projet'!$B$88,BD129+BC130-BL129)))</f>
        <v>424.81500000000005</v>
      </c>
      <c r="BE130" s="13">
        <f>BD130*VLOOKUP('Données projet'!$B$11,Paramètres!$A$1:$I$89,3,0)*VLOOKUP('Données projet'!$B$11,Paramètres!$A$1:$I$89,5,0)</f>
        <v>404.25395400000002</v>
      </c>
      <c r="BF130" s="13">
        <f t="shared" si="91"/>
        <v>92.638557414542902</v>
      </c>
      <c r="BG130" s="20">
        <f t="shared" si="61"/>
        <v>865.42112404699549</v>
      </c>
      <c r="BH130" s="59">
        <f t="shared" si="62"/>
        <v>1148.823480906073</v>
      </c>
      <c r="BI130" s="59">
        <f ca="1">AVERAGE(OFFSET($BH$3,0,0,'Données projet'!$E$11+1,1))-AVERAGE(OFFSET($H$3,0,0,'Données projet'!$E$11+1,1))</f>
        <v>697.21496579331188</v>
      </c>
      <c r="BJ130" s="59">
        <f t="shared" si="92"/>
        <v>215.64914236948769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112.24939971301684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112.24939971301684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212.00000000000009</v>
      </c>
      <c r="BZ130" s="13">
        <f>BY130*VLOOKUP('Données projet'!$B$12,Paramètres!$A$1:$I$89,3,0)*VLOOKUP('Données projet'!$B$12,Paramètres!$A$1:$I$89,5,0)</f>
        <v>185.20320000000009</v>
      </c>
      <c r="CA130" s="13">
        <f t="shared" si="93"/>
        <v>46.477875402099386</v>
      </c>
      <c r="CB130" s="20">
        <f t="shared" si="64"/>
        <v>403.5112063253232</v>
      </c>
      <c r="CC130" s="59">
        <f t="shared" si="65"/>
        <v>686.91356318440057</v>
      </c>
      <c r="CD130" s="59">
        <f ca="1">AVERAGE(OFFSET($CC$3,0,0,'Données projet'!$E$12+1,1))-AVERAGE(OFFSET($H$3,0,0,'Données projet'!$E$12+1,1))</f>
        <v>330.58463337575432</v>
      </c>
      <c r="CE130" s="59">
        <f t="shared" si="94"/>
        <v>285.43250599232192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25.655158496832907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25.655158496832907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6">
        <f t="shared" si="56"/>
        <v>183.33333333333334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189.76714074331781</v>
      </c>
      <c r="T131" s="59">
        <f t="shared" si="88"/>
        <v>458.38901659119472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266.99999999999983</v>
      </c>
      <c r="AJ131" s="13">
        <f>AI131*VLOOKUP('Données projet'!$B$10,Paramètres!$A$1:$I$89,3,0)*VLOOKUP('Données projet'!$B$10,Paramètres!$A$1:$I$89,5,0)</f>
        <v>195.76439999999985</v>
      </c>
      <c r="AK131" s="13">
        <f t="shared" si="89"/>
        <v>48.812154563023455</v>
      </c>
      <c r="AL131" s="20">
        <f t="shared" si="58"/>
        <v>425.9708325305989</v>
      </c>
      <c r="AM131" s="59">
        <f t="shared" si="59"/>
        <v>709.54546962916743</v>
      </c>
      <c r="AN131" s="59">
        <f ca="1">AVERAGE(OFFSET($AM$3,0,0,'Données projet'!$E$10+1,1))-AVERAGE(OFFSET($H$3,0,0,'Données projet'!$E$10+1,1))</f>
        <v>302.36110224755532</v>
      </c>
      <c r="AO131" s="59">
        <f t="shared" si="90"/>
        <v>292.08583531469412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12.538238295134471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12.538238295134471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8.4949999999999939</v>
      </c>
      <c r="BD131" s="12">
        <f>IF('Données projet'!$A$88&gt;35,BD130+BC131-BL130,IF(A131&lt;'Données projet'!$A$88,$BA$205^A131,IF(A131='Données projet'!$A$88,'Données projet'!$B$88,BD130+BC131-BL130)))</f>
        <v>433.31000000000006</v>
      </c>
      <c r="BE131" s="13">
        <f>BD131*VLOOKUP('Données projet'!$B$11,Paramètres!$A$1:$I$89,3,0)*VLOOKUP('Données projet'!$B$11,Paramètres!$A$1:$I$89,5,0)</f>
        <v>412.33779600000008</v>
      </c>
      <c r="BF131" s="13">
        <f t="shared" si="91"/>
        <v>94.273524527573883</v>
      </c>
      <c r="BG131" s="20">
        <f t="shared" si="61"/>
        <v>882.34804991885801</v>
      </c>
      <c r="BH131" s="59">
        <f t="shared" si="62"/>
        <v>1165.9226870174266</v>
      </c>
      <c r="BI131" s="59">
        <f ca="1">AVERAGE(OFFSET($BH$3,0,0,'Données projet'!$E$11+1,1))-AVERAGE(OFFSET($H$3,0,0,'Données projet'!$E$11+1,1))</f>
        <v>697.21496579331188</v>
      </c>
      <c r="BJ131" s="59">
        <f t="shared" si="92"/>
        <v>215.64914236948769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110.04825745001801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110.04825745001801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212.00000000000009</v>
      </c>
      <c r="BZ131" s="13">
        <f>BY131*VLOOKUP('Données projet'!$B$12,Paramètres!$A$1:$I$89,3,0)*VLOOKUP('Données projet'!$B$12,Paramètres!$A$1:$I$89,5,0)</f>
        <v>185.20320000000009</v>
      </c>
      <c r="CA131" s="13">
        <f t="shared" si="93"/>
        <v>46.477875402099386</v>
      </c>
      <c r="CB131" s="20">
        <f t="shared" si="64"/>
        <v>403.5112063253232</v>
      </c>
      <c r="CC131" s="59">
        <f t="shared" si="65"/>
        <v>687.08584342389167</v>
      </c>
      <c r="CD131" s="59">
        <f ca="1">AVERAGE(OFFSET($CC$3,0,0,'Données projet'!$E$12+1,1))-AVERAGE(OFFSET($H$3,0,0,'Données projet'!$E$12+1,1))</f>
        <v>330.58463337575432</v>
      </c>
      <c r="CE131" s="59">
        <f t="shared" si="94"/>
        <v>285.43250599232192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25.152076486811577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25.152076486811577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6">
        <f t="shared" ref="H132:H195" si="110">(B132+E132+F132)*44/12+(C132+D132)*0.475*44/12</f>
        <v>183.33333333333334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189.76714074331781</v>
      </c>
      <c r="T132" s="59">
        <f t="shared" si="88"/>
        <v>458.38901659119472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266.99999999999983</v>
      </c>
      <c r="AJ132" s="13">
        <f>AI132*VLOOKUP('Données projet'!$B$10,Paramètres!$A$1:$I$89,3,0)*VLOOKUP('Données projet'!$B$10,Paramètres!$A$1:$I$89,5,0)</f>
        <v>195.76439999999985</v>
      </c>
      <c r="AK132" s="13">
        <f t="shared" si="89"/>
        <v>48.812154563023455</v>
      </c>
      <c r="AL132" s="20">
        <f t="shared" ref="AL132:AL153" si="112">(AJ132+AK132)*0.475*44/12</f>
        <v>425.9708325305989</v>
      </c>
      <c r="AM132" s="59">
        <f t="shared" ref="AM132:AM195" si="113">AL132+(AD132+AE132)*44/12</f>
        <v>709.71476119166425</v>
      </c>
      <c r="AN132" s="59">
        <f ca="1">AVERAGE(OFFSET($AM$3,0,0,'Données projet'!$E$10+1,1))-AVERAGE(OFFSET($H$3,0,0,'Données projet'!$E$10+1,1))</f>
        <v>302.36110224755532</v>
      </c>
      <c r="AO132" s="59">
        <f t="shared" si="90"/>
        <v>292.08583531469412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12.292371089737109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12.292371089737109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8.4949999999999939</v>
      </c>
      <c r="BD132" s="12">
        <f>IF('Données projet'!$A$88&gt;35,BD131+BC132-BL131,IF(A132&lt;'Données projet'!$A$88,$BA$205^A132,IF(A132='Données projet'!$A$88,'Données projet'!$B$88,BD131+BC132-BL131)))</f>
        <v>441.80500000000006</v>
      </c>
      <c r="BE132" s="13">
        <f>BD132*VLOOKUP('Données projet'!$B$11,Paramètres!$A$1:$I$89,3,0)*VLOOKUP('Données projet'!$B$11,Paramètres!$A$1:$I$89,5,0)</f>
        <v>420.42163800000003</v>
      </c>
      <c r="BF132" s="13">
        <f t="shared" si="91"/>
        <v>95.904764629861944</v>
      </c>
      <c r="BG132" s="20">
        <f t="shared" ref="BG132:BG153" si="115">(BE132+BF132)*0.475*44/12</f>
        <v>899.26848458034283</v>
      </c>
      <c r="BH132" s="59">
        <f t="shared" ref="BH132:BH195" si="116">BG132+(AY132+AZ132)*44/12</f>
        <v>1183.0124132414082</v>
      </c>
      <c r="BI132" s="59">
        <f ca="1">AVERAGE(OFFSET($BH$3,0,0,'Données projet'!$E$11+1,1))-AVERAGE(OFFSET($H$3,0,0,'Données projet'!$E$11+1,1))</f>
        <v>697.21496579331188</v>
      </c>
      <c r="BJ132" s="59">
        <f t="shared" si="92"/>
        <v>215.64914236948769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107.89027824423238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107.89027824423238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212.00000000000009</v>
      </c>
      <c r="BZ132" s="13">
        <f>BY132*VLOOKUP('Données projet'!$B$12,Paramètres!$A$1:$I$89,3,0)*VLOOKUP('Données projet'!$B$12,Paramètres!$A$1:$I$89,5,0)</f>
        <v>185.20320000000009</v>
      </c>
      <c r="CA132" s="13">
        <f t="shared" si="93"/>
        <v>46.477875402099386</v>
      </c>
      <c r="CB132" s="20">
        <f t="shared" ref="CB132:CB153" si="118">(BZ132+CA132)*0.475*44/12</f>
        <v>403.5112063253232</v>
      </c>
      <c r="CC132" s="59">
        <f t="shared" ref="CC132:CC195" si="119">CB132+(BT132+BU132)*44/12</f>
        <v>687.25513498638861</v>
      </c>
      <c r="CD132" s="59">
        <f ca="1">AVERAGE(OFFSET($CC$3,0,0,'Données projet'!$E$12+1,1))-AVERAGE(OFFSET($H$3,0,0,'Données projet'!$E$12+1,1))</f>
        <v>330.58463337575432</v>
      </c>
      <c r="CE132" s="59">
        <f t="shared" si="94"/>
        <v>285.43250599232192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24.658859608157037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24.658859608157037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6">
        <f t="shared" si="110"/>
        <v>183.33333333333334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189.76714074331781</v>
      </c>
      <c r="T133" s="59">
        <f t="shared" ref="T133:T196" si="142">$T$3</f>
        <v>458.38901659119472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266.99999999999983</v>
      </c>
      <c r="AJ133" s="13">
        <f>AI133*VLOOKUP('Données projet'!$B$10,Paramètres!$A$1:$I$89,3,0)*VLOOKUP('Données projet'!$B$10,Paramètres!$A$1:$I$89,5,0)</f>
        <v>195.76439999999985</v>
      </c>
      <c r="AK133" s="13">
        <f t="shared" ref="AK133:AK153" si="143">EXP(-1.0587+0.8836*LN(AJ133)+0.284)</f>
        <v>48.812154563023455</v>
      </c>
      <c r="AL133" s="20">
        <f t="shared" si="112"/>
        <v>425.9708325305989</v>
      </c>
      <c r="AM133" s="59">
        <f t="shared" si="113"/>
        <v>709.88111592403106</v>
      </c>
      <c r="AN133" s="59">
        <f ca="1">AVERAGE(OFFSET($AM$3,0,0,'Données projet'!$E$10+1,1))-AVERAGE(OFFSET($H$3,0,0,'Données projet'!$E$10+1,1))</f>
        <v>302.36110224755532</v>
      </c>
      <c r="AO133" s="59">
        <f t="shared" ref="AO133:AO196" si="144">$AO$3</f>
        <v>292.08583531469412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12.051325190273403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12.051325190273403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8.4949999999999939</v>
      </c>
      <c r="BD133" s="12">
        <f>IF('Données projet'!$A$88&gt;35,BD132+BC133-BL132,IF(A133&lt;'Données projet'!$A$88,$BA$205^A133,IF(A133='Données projet'!$A$88,'Données projet'!$B$88,BD132+BC133-BL132)))</f>
        <v>450.30000000000007</v>
      </c>
      <c r="BE133" s="13">
        <f>BD133*VLOOKUP('Données projet'!$B$11,Paramètres!$A$1:$I$89,3,0)*VLOOKUP('Données projet'!$B$11,Paramètres!$A$1:$I$89,5,0)</f>
        <v>428.50548000000009</v>
      </c>
      <c r="BF133" s="13">
        <f t="shared" ref="BF133:BF153" si="145">EXP(-1.0587+0.8836*LN(BE133)+0.284)</f>
        <v>97.532357646161373</v>
      </c>
      <c r="BG133" s="20">
        <f t="shared" si="115"/>
        <v>916.18256723373122</v>
      </c>
      <c r="BH133" s="59">
        <f t="shared" si="116"/>
        <v>1200.0928506271634</v>
      </c>
      <c r="BI133" s="59">
        <f ca="1">AVERAGE(OFFSET($BH$3,0,0,'Données projet'!$E$11+1,1))-AVERAGE(OFFSET($H$3,0,0,'Données projet'!$E$11+1,1))</f>
        <v>697.21496579331188</v>
      </c>
      <c r="BJ133" s="59">
        <f t="shared" ref="BJ133:BJ196" si="146">$BJ$3</f>
        <v>215.64914236948769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105.77461569443484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105.77461569443484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212.00000000000009</v>
      </c>
      <c r="BZ133" s="13">
        <f>BY133*VLOOKUP('Données projet'!$B$12,Paramètres!$A$1:$I$89,3,0)*VLOOKUP('Données projet'!$B$12,Paramètres!$A$1:$I$89,5,0)</f>
        <v>185.20320000000009</v>
      </c>
      <c r="CA133" s="13">
        <f t="shared" ref="CA133:CA153" si="147">EXP(-1.0587+0.8836*LN(BZ133)+0.284)</f>
        <v>46.477875402099386</v>
      </c>
      <c r="CB133" s="20">
        <f t="shared" si="118"/>
        <v>403.5112063253232</v>
      </c>
      <c r="CC133" s="59">
        <f t="shared" si="119"/>
        <v>687.42148971875531</v>
      </c>
      <c r="CD133" s="59">
        <f ca="1">AVERAGE(OFFSET($CC$3,0,0,'Données projet'!$E$12+1,1))-AVERAGE(OFFSET($H$3,0,0,'Données projet'!$E$12+1,1))</f>
        <v>330.58463337575432</v>
      </c>
      <c r="CE133" s="59">
        <f t="shared" ref="CE133:CE196" si="148">$CE$3</f>
        <v>285.43250599232192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24.17531441166032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24.17531441166032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6">
        <f t="shared" si="110"/>
        <v>183.33333333333334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189.76714074331781</v>
      </c>
      <c r="T134" s="59">
        <f t="shared" si="142"/>
        <v>458.38901659119472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266.99999999999983</v>
      </c>
      <c r="AJ134" s="13">
        <f>AI134*VLOOKUP('Données projet'!$B$10,Paramètres!$A$1:$I$89,3,0)*VLOOKUP('Données projet'!$B$10,Paramètres!$A$1:$I$89,5,0)</f>
        <v>195.76439999999985</v>
      </c>
      <c r="AK134" s="13">
        <f t="shared" si="143"/>
        <v>48.812154563023455</v>
      </c>
      <c r="AL134" s="20">
        <f t="shared" si="112"/>
        <v>425.9708325305989</v>
      </c>
      <c r="AM134" s="59">
        <f t="shared" si="113"/>
        <v>710.04458477370463</v>
      </c>
      <c r="AN134" s="59">
        <f ca="1">AVERAGE(OFFSET($AM$3,0,0,'Données projet'!$E$10+1,1))-AVERAGE(OFFSET($H$3,0,0,'Données projet'!$E$10+1,1))</f>
        <v>302.36110224755532</v>
      </c>
      <c r="AO134" s="59">
        <f t="shared" si="144"/>
        <v>292.08583531469412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11.815006053874697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11.815006053874697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8.4949999999999939</v>
      </c>
      <c r="BD134" s="12">
        <f>IF('Données projet'!$A$88&gt;35,BD133+BC134-BL133,IF(A134&lt;'Données projet'!$A$88,$BA$205^A134,IF(A134='Données projet'!$A$88,'Données projet'!$B$88,BD133+BC134-BL133)))</f>
        <v>458.79500000000007</v>
      </c>
      <c r="BE134" s="13">
        <f>BD134*VLOOKUP('Données projet'!$B$11,Paramètres!$A$1:$I$89,3,0)*VLOOKUP('Données projet'!$B$11,Paramètres!$A$1:$I$89,5,0)</f>
        <v>436.58932200000004</v>
      </c>
      <c r="BF134" s="13">
        <f t="shared" si="145"/>
        <v>99.156380313060154</v>
      </c>
      <c r="BG134" s="20">
        <f t="shared" si="115"/>
        <v>933.09043152857976</v>
      </c>
      <c r="BH134" s="59">
        <f t="shared" si="116"/>
        <v>1217.1641837716854</v>
      </c>
      <c r="BI134" s="59">
        <f ca="1">AVERAGE(OFFSET($BH$3,0,0,'Données projet'!$E$11+1,1))-AVERAGE(OFFSET($H$3,0,0,'Données projet'!$E$11+1,1))</f>
        <v>697.21496579331188</v>
      </c>
      <c r="BJ134" s="59">
        <f t="shared" si="146"/>
        <v>215.64914236948769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103.70043999681211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103.70043999681211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212.00000000000009</v>
      </c>
      <c r="BZ134" s="13">
        <f>BY134*VLOOKUP('Données projet'!$B$12,Paramètres!$A$1:$I$89,3,0)*VLOOKUP('Données projet'!$B$12,Paramètres!$A$1:$I$89,5,0)</f>
        <v>185.20320000000009</v>
      </c>
      <c r="CA134" s="13">
        <f t="shared" si="147"/>
        <v>46.477875402099386</v>
      </c>
      <c r="CB134" s="20">
        <f t="shared" si="118"/>
        <v>403.5112063253232</v>
      </c>
      <c r="CC134" s="59">
        <f t="shared" si="119"/>
        <v>687.58495856842887</v>
      </c>
      <c r="CD134" s="59">
        <f ca="1">AVERAGE(OFFSET($CC$3,0,0,'Données projet'!$E$12+1,1))-AVERAGE(OFFSET($H$3,0,0,'Données projet'!$E$12+1,1))</f>
        <v>330.58463337575432</v>
      </c>
      <c r="CE134" s="59">
        <f t="shared" si="148"/>
        <v>285.43250599232192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23.701251241533456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23.701251241533456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6">
        <f t="shared" si="110"/>
        <v>183.33333333333334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189.76714074331781</v>
      </c>
      <c r="T135" s="59">
        <f t="shared" si="142"/>
        <v>458.38901659119472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266.99999999999983</v>
      </c>
      <c r="AJ135" s="13">
        <f>AI135*VLOOKUP('Données projet'!$B$10,Paramètres!$A$1:$I$89,3,0)*VLOOKUP('Données projet'!$B$10,Paramètres!$A$1:$I$89,5,0)</f>
        <v>195.76439999999985</v>
      </c>
      <c r="AK135" s="13">
        <f t="shared" si="143"/>
        <v>48.812154563023455</v>
      </c>
      <c r="AL135" s="20">
        <f t="shared" si="112"/>
        <v>425.9708325305989</v>
      </c>
      <c r="AM135" s="59">
        <f t="shared" si="113"/>
        <v>710.20521780429806</v>
      </c>
      <c r="AN135" s="59">
        <f ca="1">AVERAGE(OFFSET($AM$3,0,0,'Données projet'!$E$10+1,1))-AVERAGE(OFFSET($H$3,0,0,'Données projet'!$E$10+1,1))</f>
        <v>302.36110224755532</v>
      </c>
      <c r="AO135" s="59">
        <f t="shared" si="144"/>
        <v>292.08583531469412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11.583320991600329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11.583320991600329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8.4949999999999939</v>
      </c>
      <c r="BD135" s="12">
        <f>IF('Données projet'!$A$88&gt;35,BD134+BC135-BL134,IF(A135&lt;'Données projet'!$A$88,$BA$205^A135,IF(A135='Données projet'!$A$88,'Données projet'!$B$88,BD134+BC135-BL134)))</f>
        <v>467.29000000000008</v>
      </c>
      <c r="BE135" s="13">
        <f>BD135*VLOOKUP('Données projet'!$B$11,Paramètres!$A$1:$I$89,3,0)*VLOOKUP('Données projet'!$B$11,Paramètres!$A$1:$I$89,5,0)</f>
        <v>444.6731640000001</v>
      </c>
      <c r="BF135" s="13">
        <f t="shared" si="145"/>
        <v>100.77690636279087</v>
      </c>
      <c r="BG135" s="20">
        <f t="shared" si="115"/>
        <v>949.99220588186074</v>
      </c>
      <c r="BH135" s="59">
        <f t="shared" si="116"/>
        <v>1234.2265911555598</v>
      </c>
      <c r="BI135" s="59">
        <f ca="1">AVERAGE(OFFSET($BH$3,0,0,'Données projet'!$E$11+1,1))-AVERAGE(OFFSET($H$3,0,0,'Données projet'!$E$11+1,1))</f>
        <v>697.21496579331188</v>
      </c>
      <c r="BJ135" s="59">
        <f t="shared" si="146"/>
        <v>215.64914236948769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101.6669376194975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101.6669376194975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212.00000000000009</v>
      </c>
      <c r="BZ135" s="13">
        <f>BY135*VLOOKUP('Données projet'!$B$12,Paramètres!$A$1:$I$89,3,0)*VLOOKUP('Données projet'!$B$12,Paramètres!$A$1:$I$89,5,0)</f>
        <v>185.20320000000009</v>
      </c>
      <c r="CA135" s="13">
        <f t="shared" si="147"/>
        <v>46.477875402099386</v>
      </c>
      <c r="CB135" s="20">
        <f t="shared" si="118"/>
        <v>403.5112063253232</v>
      </c>
      <c r="CC135" s="59">
        <f t="shared" si="119"/>
        <v>687.74559159902242</v>
      </c>
      <c r="CD135" s="59">
        <f ca="1">AVERAGE(OFFSET($CC$3,0,0,'Données projet'!$E$12+1,1))-AVERAGE(OFFSET($H$3,0,0,'Données projet'!$E$12+1,1))</f>
        <v>330.58463337575432</v>
      </c>
      <c r="CE135" s="59">
        <f t="shared" si="148"/>
        <v>285.43250599232192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23.236484161022798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23.236484161022798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6">
        <f t="shared" si="110"/>
        <v>183.33333333333334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189.76714074331781</v>
      </c>
      <c r="T136" s="59">
        <f t="shared" si="142"/>
        <v>458.38901659119472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266.99999999999983</v>
      </c>
      <c r="AJ136" s="13">
        <f>AI136*VLOOKUP('Données projet'!$B$10,Paramètres!$A$1:$I$89,3,0)*VLOOKUP('Données projet'!$B$10,Paramètres!$A$1:$I$89,5,0)</f>
        <v>195.76439999999985</v>
      </c>
      <c r="AK136" s="13">
        <f t="shared" si="143"/>
        <v>48.812154563023455</v>
      </c>
      <c r="AL136" s="20">
        <f t="shared" si="112"/>
        <v>425.9708325305989</v>
      </c>
      <c r="AM136" s="59">
        <f t="shared" si="113"/>
        <v>710.36306421093229</v>
      </c>
      <c r="AN136" s="59">
        <f ca="1">AVERAGE(OFFSET($AM$3,0,0,'Données projet'!$E$10+1,1))-AVERAGE(OFFSET($H$3,0,0,'Données projet'!$E$10+1,1))</f>
        <v>302.36110224755532</v>
      </c>
      <c r="AO136" s="59">
        <f t="shared" si="144"/>
        <v>292.08583531469412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11.356179132083229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11.356179132083229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8.4949999999999939</v>
      </c>
      <c r="BD136" s="12">
        <f>IF('Données projet'!$A$88&gt;35,BD135+BC136-BL135,IF(A136&lt;'Données projet'!$A$88,$BA$205^A136,IF(A136='Données projet'!$A$88,'Données projet'!$B$88,BD135+BC136-BL135)))</f>
        <v>475.78500000000008</v>
      </c>
      <c r="BE136" s="13">
        <f>BD136*VLOOKUP('Données projet'!$B$11,Paramètres!$A$1:$I$89,3,0)*VLOOKUP('Données projet'!$B$11,Paramètres!$A$1:$I$89,5,0)</f>
        <v>452.75700600000005</v>
      </c>
      <c r="BF136" s="13">
        <f t="shared" si="145"/>
        <v>102.39400669329594</v>
      </c>
      <c r="BG136" s="20">
        <f t="shared" si="115"/>
        <v>966.88801377415712</v>
      </c>
      <c r="BH136" s="59">
        <f t="shared" si="116"/>
        <v>1251.2802454544906</v>
      </c>
      <c r="BI136" s="59">
        <f ca="1">AVERAGE(OFFSET($BH$3,0,0,'Données projet'!$E$11+1,1))-AVERAGE(OFFSET($H$3,0,0,'Données projet'!$E$11+1,1))</f>
        <v>697.21496579331188</v>
      </c>
      <c r="BJ136" s="59">
        <f t="shared" si="146"/>
        <v>215.64914236948769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99.673310983488051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99.673310983488051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212.00000000000009</v>
      </c>
      <c r="BZ136" s="13">
        <f>BY136*VLOOKUP('Données projet'!$B$12,Paramètres!$A$1:$I$89,3,0)*VLOOKUP('Données projet'!$B$12,Paramètres!$A$1:$I$89,5,0)</f>
        <v>185.20320000000009</v>
      </c>
      <c r="CA136" s="13">
        <f t="shared" si="147"/>
        <v>46.477875402099386</v>
      </c>
      <c r="CB136" s="20">
        <f t="shared" si="118"/>
        <v>403.5112063253232</v>
      </c>
      <c r="CC136" s="59">
        <f t="shared" si="119"/>
        <v>687.90343800565665</v>
      </c>
      <c r="CD136" s="59">
        <f ca="1">AVERAGE(OFFSET($CC$3,0,0,'Données projet'!$E$12+1,1))-AVERAGE(OFFSET($H$3,0,0,'Données projet'!$E$12+1,1))</f>
        <v>330.58463337575432</v>
      </c>
      <c r="CE136" s="59">
        <f t="shared" si="148"/>
        <v>285.43250599232192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22.780830879481027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22.780830879481027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6">
        <f t="shared" si="110"/>
        <v>183.33333333333334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189.76714074331781</v>
      </c>
      <c r="T137" s="59">
        <f t="shared" si="142"/>
        <v>458.38901659119472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266.99999999999983</v>
      </c>
      <c r="AJ137" s="13">
        <f>AI137*VLOOKUP('Données projet'!$B$10,Paramètres!$A$1:$I$89,3,0)*VLOOKUP('Données projet'!$B$10,Paramètres!$A$1:$I$89,5,0)</f>
        <v>195.76439999999985</v>
      </c>
      <c r="AK137" s="13">
        <f t="shared" si="143"/>
        <v>48.812154563023455</v>
      </c>
      <c r="AL137" s="20">
        <f t="shared" si="112"/>
        <v>425.9708325305989</v>
      </c>
      <c r="AM137" s="59">
        <f t="shared" si="113"/>
        <v>710.51817233530323</v>
      </c>
      <c r="AN137" s="59">
        <f ca="1">AVERAGE(OFFSET($AM$3,0,0,'Données projet'!$E$10+1,1))-AVERAGE(OFFSET($H$3,0,0,'Données projet'!$E$10+1,1))</f>
        <v>302.36110224755532</v>
      </c>
      <c r="AO137" s="59">
        <f t="shared" si="144"/>
        <v>292.08583531469412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11.133491385888403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11.133491385888403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484.28</v>
      </c>
      <c r="BB137" s="12">
        <f>VLOOKUP(A137,'Données projet'!$A$87:$I$107,9,0)</f>
        <v>8.4949999999999939</v>
      </c>
      <c r="BC137" s="12">
        <f t="array" ref="BC137">INDEX(BB:BB,MIN(IF(ISNUMBER(BB137:BB333),ROW(BB137:BB333),"")))</f>
        <v>8.4949999999999939</v>
      </c>
      <c r="BD137" s="12">
        <f>IF('Données projet'!$A$88&gt;35,BD136+BC137-BL136,IF(A137&lt;'Données projet'!$A$88,$BA$205^A137,IF(A137='Données projet'!$A$88,'Données projet'!$B$88,BD136+BC137-BL136)))</f>
        <v>484.28000000000009</v>
      </c>
      <c r="BE137" s="13">
        <f>BD137*VLOOKUP('Données projet'!$B$11,Paramètres!$A$1:$I$89,3,0)*VLOOKUP('Données projet'!$B$11,Paramètres!$A$1:$I$89,5,0)</f>
        <v>460.84084800000011</v>
      </c>
      <c r="BF137" s="13">
        <f t="shared" si="145"/>
        <v>104.0077495258046</v>
      </c>
      <c r="BG137" s="20">
        <f t="shared" si="115"/>
        <v>983.77797402410977</v>
      </c>
      <c r="BH137" s="59">
        <f t="shared" si="116"/>
        <v>1268.3253138288142</v>
      </c>
      <c r="BI137" s="59">
        <f ca="1">AVERAGE(OFFSET($BH$3,0,0,'Données projet'!$E$11+1,1))-AVERAGE(OFFSET($H$3,0,0,'Données projet'!$E$11+1,1))</f>
        <v>697.21496579331188</v>
      </c>
      <c r="BJ137" s="59">
        <f t="shared" si="146"/>
        <v>215.64914236948769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54.95</v>
      </c>
      <c r="BM137" s="16">
        <f>IF(ISNA(VLOOKUP(A137,'Données projet'!$A$87:$I$107,5,0)),0%,VLOOKUP(A137,'Données projet'!$A$87:$I$107,5,0)*VLOOKUP('Données projet'!$B$11,Paramètres!$A$1:$I$89,7,0))</f>
        <v>0.43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122.57514764045364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122.57514764045364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212.00000000000009</v>
      </c>
      <c r="BZ137" s="13">
        <f>BY137*VLOOKUP('Données projet'!$B$12,Paramètres!$A$1:$I$89,3,0)*VLOOKUP('Données projet'!$B$12,Paramètres!$A$1:$I$89,5,0)</f>
        <v>185.20320000000009</v>
      </c>
      <c r="CA137" s="13">
        <f t="shared" si="147"/>
        <v>46.477875402099386</v>
      </c>
      <c r="CB137" s="20">
        <f t="shared" si="118"/>
        <v>403.5112063253232</v>
      </c>
      <c r="CC137" s="59">
        <f t="shared" si="119"/>
        <v>688.05854613002748</v>
      </c>
      <c r="CD137" s="59">
        <f ca="1">AVERAGE(OFFSET($CC$3,0,0,'Données projet'!$E$12+1,1))-AVERAGE(OFFSET($H$3,0,0,'Données projet'!$E$12+1,1))</f>
        <v>330.58463337575432</v>
      </c>
      <c r="CE137" s="59">
        <f t="shared" si="148"/>
        <v>285.43250599232192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22.334112680869229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22.334112680869229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6">
        <f t="shared" si="110"/>
        <v>183.33333333333334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189.76714074331781</v>
      </c>
      <c r="T138" s="59">
        <f t="shared" si="142"/>
        <v>458.38901659119472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266.99999999999983</v>
      </c>
      <c r="AJ138" s="13">
        <f>AI138*VLOOKUP('Données projet'!$B$10,Paramètres!$A$1:$I$89,3,0)*VLOOKUP('Données projet'!$B$10,Paramètres!$A$1:$I$89,5,0)</f>
        <v>195.76439999999985</v>
      </c>
      <c r="AK138" s="13">
        <f t="shared" si="143"/>
        <v>48.812154563023455</v>
      </c>
      <c r="AL138" s="20">
        <f t="shared" si="112"/>
        <v>425.9708325305989</v>
      </c>
      <c r="AM138" s="59">
        <f t="shared" si="113"/>
        <v>710.67058968048605</v>
      </c>
      <c r="AN138" s="59">
        <f ca="1">AVERAGE(OFFSET($AM$3,0,0,'Données projet'!$E$10+1,1))-AVERAGE(OFFSET($H$3,0,0,'Données projet'!$E$10+1,1))</f>
        <v>302.36110224755532</v>
      </c>
      <c r="AO138" s="59">
        <f t="shared" si="144"/>
        <v>292.08583531469412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10.915170410570346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10.915170410570346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8.561000000000007</v>
      </c>
      <c r="BD138" s="12">
        <f>IF('Données projet'!$A$88&gt;35,BD137+BC138-BL137,IF(A138&lt;'Données projet'!$A$88,$BA$205^A138,IF(A138='Données projet'!$A$88,'Données projet'!$B$88,BD137+BC138-BL137)))</f>
        <v>437.89100000000013</v>
      </c>
      <c r="BE138" s="13">
        <f>BD138*VLOOKUP('Données projet'!$B$11,Paramètres!$A$1:$I$89,3,0)*VLOOKUP('Données projet'!$B$11,Paramètres!$A$1:$I$89,5,0)</f>
        <v>416.69707560000012</v>
      </c>
      <c r="BF138" s="13">
        <f t="shared" si="145"/>
        <v>95.153642267833021</v>
      </c>
      <c r="BG138" s="20">
        <f t="shared" si="115"/>
        <v>891.4733336198093</v>
      </c>
      <c r="BH138" s="59">
        <f t="shared" si="116"/>
        <v>1176.1730907696965</v>
      </c>
      <c r="BI138" s="59">
        <f ca="1">AVERAGE(OFFSET($BH$3,0,0,'Données projet'!$E$11+1,1))-AVERAGE(OFFSET($H$3,0,0,'Données projet'!$E$11+1,1))</f>
        <v>697.21496579331188</v>
      </c>
      <c r="BJ138" s="59">
        <f t="shared" si="146"/>
        <v>215.64914236948769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120.17152375868213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120.17152375868213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212.00000000000009</v>
      </c>
      <c r="BZ138" s="13">
        <f>BY138*VLOOKUP('Données projet'!$B$12,Paramètres!$A$1:$I$89,3,0)*VLOOKUP('Données projet'!$B$12,Paramètres!$A$1:$I$89,5,0)</f>
        <v>185.20320000000009</v>
      </c>
      <c r="CA138" s="13">
        <f t="shared" si="147"/>
        <v>46.477875402099386</v>
      </c>
      <c r="CB138" s="20">
        <f t="shared" si="118"/>
        <v>403.5112063253232</v>
      </c>
      <c r="CC138" s="59">
        <f t="shared" si="119"/>
        <v>688.21096347521029</v>
      </c>
      <c r="CD138" s="59">
        <f ca="1">AVERAGE(OFFSET($CC$3,0,0,'Données projet'!$E$12+1,1))-AVERAGE(OFFSET($H$3,0,0,'Données projet'!$E$12+1,1))</f>
        <v>330.58463337575432</v>
      </c>
      <c r="CE138" s="59">
        <f t="shared" si="148"/>
        <v>285.43250599232192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21.896154353661011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21.896154353661011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6">
        <f t="shared" si="110"/>
        <v>183.33333333333334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189.76714074331781</v>
      </c>
      <c r="T139" s="59">
        <f t="shared" si="142"/>
        <v>458.38901659119472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266.99999999999983</v>
      </c>
      <c r="AJ139" s="13">
        <f>AI139*VLOOKUP('Données projet'!$B$10,Paramètres!$A$1:$I$89,3,0)*VLOOKUP('Données projet'!$B$10,Paramètres!$A$1:$I$89,5,0)</f>
        <v>195.76439999999985</v>
      </c>
      <c r="AK139" s="13">
        <f t="shared" si="143"/>
        <v>48.812154563023455</v>
      </c>
      <c r="AL139" s="20">
        <f t="shared" si="112"/>
        <v>425.9708325305989</v>
      </c>
      <c r="AM139" s="59">
        <f t="shared" si="113"/>
        <v>710.82036292548412</v>
      </c>
      <c r="AN139" s="59">
        <f ca="1">AVERAGE(OFFSET($AM$3,0,0,'Données projet'!$E$10+1,1))-AVERAGE(OFFSET($H$3,0,0,'Données projet'!$E$10+1,1))</f>
        <v>302.36110224755532</v>
      </c>
      <c r="AO139" s="59">
        <f t="shared" si="144"/>
        <v>292.08583531469412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10.701130576415629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10.701130576415629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8.561000000000007</v>
      </c>
      <c r="BD139" s="12">
        <f>IF('Données projet'!$A$88&gt;35,BD138+BC139-BL138,IF(A139&lt;'Données projet'!$A$88,$BA$205^A139,IF(A139='Données projet'!$A$88,'Données projet'!$B$88,BD138+BC139-BL138)))</f>
        <v>446.45200000000011</v>
      </c>
      <c r="BE139" s="13">
        <f>BD139*VLOOKUP('Données projet'!$B$11,Paramètres!$A$1:$I$89,3,0)*VLOOKUP('Données projet'!$B$11,Paramètres!$A$1:$I$89,5,0)</f>
        <v>424.84372320000006</v>
      </c>
      <c r="BF139" s="13">
        <f t="shared" si="145"/>
        <v>96.795549912832186</v>
      </c>
      <c r="BG139" s="20">
        <f t="shared" si="115"/>
        <v>908.52173400484946</v>
      </c>
      <c r="BH139" s="59">
        <f t="shared" si="116"/>
        <v>1193.3712643997346</v>
      </c>
      <c r="BI139" s="59">
        <f ca="1">AVERAGE(OFFSET($BH$3,0,0,'Données projet'!$E$11+1,1))-AVERAGE(OFFSET($H$3,0,0,'Données projet'!$E$11+1,1))</f>
        <v>697.21496579331188</v>
      </c>
      <c r="BJ139" s="59">
        <f t="shared" si="146"/>
        <v>215.64914236948769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117.81503347516635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117.81503347516635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212.00000000000009</v>
      </c>
      <c r="BZ139" s="13">
        <f>BY139*VLOOKUP('Données projet'!$B$12,Paramètres!$A$1:$I$89,3,0)*VLOOKUP('Données projet'!$B$12,Paramètres!$A$1:$I$89,5,0)</f>
        <v>185.20320000000009</v>
      </c>
      <c r="CA139" s="13">
        <f t="shared" si="147"/>
        <v>46.477875402099386</v>
      </c>
      <c r="CB139" s="20">
        <f t="shared" si="118"/>
        <v>403.5112063253232</v>
      </c>
      <c r="CC139" s="59">
        <f t="shared" si="119"/>
        <v>688.36073672020848</v>
      </c>
      <c r="CD139" s="59">
        <f ca="1">AVERAGE(OFFSET($CC$3,0,0,'Données projet'!$E$12+1,1))-AVERAGE(OFFSET($H$3,0,0,'Données projet'!$E$12+1,1))</f>
        <v>330.58463337575432</v>
      </c>
      <c r="CE139" s="59">
        <f t="shared" si="148"/>
        <v>285.43250599232192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21.466784122121144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21.466784122121144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6">
        <f t="shared" si="110"/>
        <v>183.33333333333334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189.76714074331781</v>
      </c>
      <c r="T140" s="59">
        <f t="shared" si="142"/>
        <v>458.38901659119472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266.99999999999983</v>
      </c>
      <c r="AJ140" s="13">
        <f>AI140*VLOOKUP('Données projet'!$B$10,Paramètres!$A$1:$I$89,3,0)*VLOOKUP('Données projet'!$B$10,Paramètres!$A$1:$I$89,5,0)</f>
        <v>195.76439999999985</v>
      </c>
      <c r="AK140" s="13">
        <f t="shared" si="143"/>
        <v>48.812154563023455</v>
      </c>
      <c r="AL140" s="20">
        <f t="shared" si="112"/>
        <v>425.9708325305989</v>
      </c>
      <c r="AM140" s="59">
        <f t="shared" si="113"/>
        <v>710.96753793952428</v>
      </c>
      <c r="AN140" s="59">
        <f ca="1">AVERAGE(OFFSET($AM$3,0,0,'Données projet'!$E$10+1,1))-AVERAGE(OFFSET($H$3,0,0,'Données projet'!$E$10+1,1))</f>
        <v>302.36110224755532</v>
      </c>
      <c r="AO140" s="59">
        <f t="shared" si="144"/>
        <v>292.08583531469412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10.491287932857277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10.491287932857277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8.561000000000007</v>
      </c>
      <c r="BD140" s="12">
        <f>IF('Données projet'!$A$88&gt;35,BD139+BC140-BL139,IF(A140&lt;'Données projet'!$A$88,$BA$205^A140,IF(A140='Données projet'!$A$88,'Données projet'!$B$88,BD139+BC140-BL139)))</f>
        <v>455.01300000000015</v>
      </c>
      <c r="BE140" s="13">
        <f>BD140*VLOOKUP('Données projet'!$B$11,Paramètres!$A$1:$I$89,3,0)*VLOOKUP('Données projet'!$B$11,Paramètres!$A$1:$I$89,5,0)</f>
        <v>432.99037080000011</v>
      </c>
      <c r="BF140" s="13">
        <f t="shared" si="145"/>
        <v>98.433796597914238</v>
      </c>
      <c r="BG140" s="20">
        <f t="shared" si="115"/>
        <v>925.56375821803397</v>
      </c>
      <c r="BH140" s="59">
        <f t="shared" si="116"/>
        <v>1210.5604636269593</v>
      </c>
      <c r="BI140" s="59">
        <f ca="1">AVERAGE(OFFSET($BH$3,0,0,'Données projet'!$E$11+1,1))-AVERAGE(OFFSET($H$3,0,0,'Données projet'!$E$11+1,1))</f>
        <v>697.21496579331188</v>
      </c>
      <c r="BJ140" s="59">
        <f t="shared" si="146"/>
        <v>215.64914236948769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115.50475252879316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115.50475252879316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212.00000000000009</v>
      </c>
      <c r="BZ140" s="13">
        <f>BY140*VLOOKUP('Données projet'!$B$12,Paramètres!$A$1:$I$89,3,0)*VLOOKUP('Données projet'!$B$12,Paramètres!$A$1:$I$89,5,0)</f>
        <v>185.20320000000009</v>
      </c>
      <c r="CA140" s="13">
        <f t="shared" si="147"/>
        <v>46.477875402099386</v>
      </c>
      <c r="CB140" s="20">
        <f t="shared" si="118"/>
        <v>403.5112063253232</v>
      </c>
      <c r="CC140" s="59">
        <f t="shared" si="119"/>
        <v>688.50791173424864</v>
      </c>
      <c r="CD140" s="59">
        <f ca="1">AVERAGE(OFFSET($CC$3,0,0,'Données projet'!$E$12+1,1))-AVERAGE(OFFSET($H$3,0,0,'Données projet'!$E$12+1,1))</f>
        <v>330.58463337575432</v>
      </c>
      <c r="CE140" s="59">
        <f t="shared" si="148"/>
        <v>285.43250599232192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21.045833578931791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21.045833578931791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6">
        <f t="shared" si="110"/>
        <v>183.33333333333334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189.76714074331781</v>
      </c>
      <c r="T141" s="59">
        <f t="shared" si="142"/>
        <v>458.38901659119472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266.99999999999983</v>
      </c>
      <c r="AJ141" s="13">
        <f>AI141*VLOOKUP('Données projet'!$B$10,Paramètres!$A$1:$I$89,3,0)*VLOOKUP('Données projet'!$B$10,Paramètres!$A$1:$I$89,5,0)</f>
        <v>195.76439999999985</v>
      </c>
      <c r="AK141" s="13">
        <f t="shared" si="143"/>
        <v>48.812154563023455</v>
      </c>
      <c r="AL141" s="20">
        <f t="shared" si="112"/>
        <v>425.9708325305989</v>
      </c>
      <c r="AM141" s="59">
        <f t="shared" si="113"/>
        <v>711.11215979610483</v>
      </c>
      <c r="AN141" s="59">
        <f ca="1">AVERAGE(OFFSET($AM$3,0,0,'Données projet'!$E$10+1,1))-AVERAGE(OFFSET($H$3,0,0,'Données projet'!$E$10+1,1))</f>
        <v>302.36110224755532</v>
      </c>
      <c r="AO141" s="59">
        <f t="shared" si="144"/>
        <v>292.08583531469412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10.285560175547731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10.285560175547731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8.561000000000007</v>
      </c>
      <c r="BD141" s="12">
        <f>IF('Données projet'!$A$88&gt;35,BD140+BC141-BL140,IF(A141&lt;'Données projet'!$A$88,$BA$205^A141,IF(A141='Données projet'!$A$88,'Données projet'!$B$88,BD140+BC141-BL140)))</f>
        <v>463.57400000000018</v>
      </c>
      <c r="BE141" s="13">
        <f>BD141*VLOOKUP('Données projet'!$B$11,Paramètres!$A$1:$I$89,3,0)*VLOOKUP('Données projet'!$B$11,Paramètres!$A$1:$I$89,5,0)</f>
        <v>441.13701840000022</v>
      </c>
      <c r="BF141" s="13">
        <f t="shared" si="145"/>
        <v>100.06845914615758</v>
      </c>
      <c r="BG141" s="20">
        <f t="shared" si="115"/>
        <v>942.59954005955797</v>
      </c>
      <c r="BH141" s="59">
        <f t="shared" si="116"/>
        <v>1227.7408673250638</v>
      </c>
      <c r="BI141" s="59">
        <f ca="1">AVERAGE(OFFSET($BH$3,0,0,'Données projet'!$E$11+1,1))-AVERAGE(OFFSET($H$3,0,0,'Données projet'!$E$11+1,1))</f>
        <v>697.21496579331188</v>
      </c>
      <c r="BJ141" s="59">
        <f t="shared" si="146"/>
        <v>215.64914236948769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113.23977478264612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113.23977478264612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212.00000000000009</v>
      </c>
      <c r="BZ141" s="13">
        <f>BY141*VLOOKUP('Données projet'!$B$12,Paramètres!$A$1:$I$89,3,0)*VLOOKUP('Données projet'!$B$12,Paramètres!$A$1:$I$89,5,0)</f>
        <v>185.20320000000009</v>
      </c>
      <c r="CA141" s="13">
        <f t="shared" si="147"/>
        <v>46.477875402099386</v>
      </c>
      <c r="CB141" s="20">
        <f t="shared" si="118"/>
        <v>403.5112063253232</v>
      </c>
      <c r="CC141" s="59">
        <f t="shared" si="119"/>
        <v>688.65253359082908</v>
      </c>
      <c r="CD141" s="59">
        <f ca="1">AVERAGE(OFFSET($CC$3,0,0,'Données projet'!$E$12+1,1))-AVERAGE(OFFSET($H$3,0,0,'Données projet'!$E$12+1,1))</f>
        <v>330.58463337575432</v>
      </c>
      <c r="CE141" s="59">
        <f t="shared" si="148"/>
        <v>285.43250599232192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20.633137619139905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20.633137619139905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6">
        <f t="shared" si="110"/>
        <v>183.33333333333334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189.76714074331781</v>
      </c>
      <c r="T142" s="59">
        <f t="shared" si="142"/>
        <v>458.38901659119472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266.99999999999983</v>
      </c>
      <c r="AJ142" s="13">
        <f>AI142*VLOOKUP('Données projet'!$B$10,Paramètres!$A$1:$I$89,3,0)*VLOOKUP('Données projet'!$B$10,Paramètres!$A$1:$I$89,5,0)</f>
        <v>195.76439999999985</v>
      </c>
      <c r="AK142" s="13">
        <f t="shared" si="143"/>
        <v>48.812154563023455</v>
      </c>
      <c r="AL142" s="20">
        <f t="shared" si="112"/>
        <v>425.9708325305989</v>
      </c>
      <c r="AM142" s="59">
        <f t="shared" si="113"/>
        <v>711.25427278679979</v>
      </c>
      <c r="AN142" s="59">
        <f ca="1">AVERAGE(OFFSET($AM$3,0,0,'Données projet'!$E$10+1,1))-AVERAGE(OFFSET($H$3,0,0,'Données projet'!$E$10+1,1))</f>
        <v>302.36110224755532</v>
      </c>
      <c r="AO142" s="59">
        <f t="shared" si="144"/>
        <v>292.08583531469412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10.083866614077484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10.083866614077484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8.561000000000007</v>
      </c>
      <c r="BD142" s="12">
        <f>IF('Données projet'!$A$88&gt;35,BD141+BC142-BL141,IF(A142&lt;'Données projet'!$A$88,$BA$205^A142,IF(A142='Données projet'!$A$88,'Données projet'!$B$88,BD141+BC142-BL141)))</f>
        <v>472.13500000000022</v>
      </c>
      <c r="BE142" s="13">
        <f>BD142*VLOOKUP('Données projet'!$B$11,Paramètres!$A$1:$I$89,3,0)*VLOOKUP('Données projet'!$B$11,Paramètres!$A$1:$I$89,5,0)</f>
        <v>449.28366600000027</v>
      </c>
      <c r="BF142" s="13">
        <f t="shared" si="145"/>
        <v>101.69961138077295</v>
      </c>
      <c r="BG142" s="20">
        <f t="shared" si="115"/>
        <v>959.6292081048465</v>
      </c>
      <c r="BH142" s="59">
        <f t="shared" si="116"/>
        <v>1244.9126483610473</v>
      </c>
      <c r="BI142" s="59">
        <f ca="1">AVERAGE(OFFSET($BH$3,0,0,'Données projet'!$E$11+1,1))-AVERAGE(OFFSET($H$3,0,0,'Données projet'!$E$11+1,1))</f>
        <v>697.21496579331188</v>
      </c>
      <c r="BJ142" s="59">
        <f t="shared" si="146"/>
        <v>215.64914236948769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111.019211868601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111.019211868601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212.00000000000009</v>
      </c>
      <c r="BZ142" s="13">
        <f>BY142*VLOOKUP('Données projet'!$B$12,Paramètres!$A$1:$I$89,3,0)*VLOOKUP('Données projet'!$B$12,Paramètres!$A$1:$I$89,5,0)</f>
        <v>185.20320000000009</v>
      </c>
      <c r="CA142" s="13">
        <f t="shared" si="147"/>
        <v>46.477875402099386</v>
      </c>
      <c r="CB142" s="20">
        <f t="shared" si="118"/>
        <v>403.5112063253232</v>
      </c>
      <c r="CC142" s="59">
        <f t="shared" si="119"/>
        <v>688.79464658152415</v>
      </c>
      <c r="CD142" s="59">
        <f ca="1">AVERAGE(OFFSET($CC$3,0,0,'Données projet'!$E$12+1,1))-AVERAGE(OFFSET($H$3,0,0,'Données projet'!$E$12+1,1))</f>
        <v>330.58463337575432</v>
      </c>
      <c r="CE142" s="59">
        <f t="shared" si="148"/>
        <v>285.43250599232192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20.228534375399857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20.228534375399857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6">
        <f t="shared" si="110"/>
        <v>183.33333333333334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189.76714074331781</v>
      </c>
      <c r="T143" s="59">
        <f t="shared" si="142"/>
        <v>458.38901659119472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266.99999999999983</v>
      </c>
      <c r="AJ143" s="13">
        <f>AI143*VLOOKUP('Données projet'!$B$10,Paramètres!$A$1:$I$89,3,0)*VLOOKUP('Données projet'!$B$10,Paramètres!$A$1:$I$89,5,0)</f>
        <v>195.76439999999985</v>
      </c>
      <c r="AK143" s="13">
        <f t="shared" si="143"/>
        <v>48.812154563023455</v>
      </c>
      <c r="AL143" s="20">
        <f t="shared" si="112"/>
        <v>425.9708325305989</v>
      </c>
      <c r="AM143" s="59">
        <f t="shared" si="113"/>
        <v>711.39392043482326</v>
      </c>
      <c r="AN143" s="59">
        <f ca="1">AVERAGE(OFFSET($AM$3,0,0,'Données projet'!$E$10+1,1))-AVERAGE(OFFSET($H$3,0,0,'Données projet'!$E$10+1,1))</f>
        <v>302.36110224755532</v>
      </c>
      <c r="AO143" s="59">
        <f t="shared" si="144"/>
        <v>292.08583531469412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9.8861281403267434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9.8861281403267434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8.561000000000007</v>
      </c>
      <c r="BD143" s="12">
        <f>IF('Données projet'!$A$88&gt;35,BD142+BC143-BL142,IF(A143&lt;'Données projet'!$A$88,$BA$205^A143,IF(A143='Données projet'!$A$88,'Données projet'!$B$88,BD142+BC143-BL142)))</f>
        <v>480.69600000000025</v>
      </c>
      <c r="BE143" s="13">
        <f>BD143*VLOOKUP('Données projet'!$B$11,Paramètres!$A$1:$I$89,3,0)*VLOOKUP('Données projet'!$B$11,Paramètres!$A$1:$I$89,5,0)</f>
        <v>457.43031360000026</v>
      </c>
      <c r="BF143" s="13">
        <f t="shared" si="145"/>
        <v>103.32732429447849</v>
      </c>
      <c r="BG143" s="20">
        <f t="shared" si="115"/>
        <v>976.65288599955056</v>
      </c>
      <c r="BH143" s="59">
        <f t="shared" si="116"/>
        <v>1262.0759739037749</v>
      </c>
      <c r="BI143" s="59">
        <f ca="1">AVERAGE(OFFSET($BH$3,0,0,'Données projet'!$E$11+1,1))-AVERAGE(OFFSET($H$3,0,0,'Données projet'!$E$11+1,1))</f>
        <v>697.21496579331188</v>
      </c>
      <c r="BJ143" s="59">
        <f t="shared" si="146"/>
        <v>215.64914236948769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108.84219283889067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108.84219283889067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212.00000000000009</v>
      </c>
      <c r="BZ143" s="13">
        <f>BY143*VLOOKUP('Données projet'!$B$12,Paramètres!$A$1:$I$89,3,0)*VLOOKUP('Données projet'!$B$12,Paramètres!$A$1:$I$89,5,0)</f>
        <v>185.20320000000009</v>
      </c>
      <c r="CA143" s="13">
        <f t="shared" si="147"/>
        <v>46.477875402099386</v>
      </c>
      <c r="CB143" s="20">
        <f t="shared" si="118"/>
        <v>403.5112063253232</v>
      </c>
      <c r="CC143" s="59">
        <f t="shared" si="119"/>
        <v>688.9342942295475</v>
      </c>
      <c r="CD143" s="59">
        <f ca="1">AVERAGE(OFFSET($CC$3,0,0,'Données projet'!$E$12+1,1))-AVERAGE(OFFSET($H$3,0,0,'Données projet'!$E$12+1,1))</f>
        <v>330.58463337575432</v>
      </c>
      <c r="CE143" s="59">
        <f t="shared" si="148"/>
        <v>285.43250599232192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19.831865154485939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19.831865154485939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6">
        <f t="shared" si="110"/>
        <v>183.33333333333334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189.76714074331781</v>
      </c>
      <c r="T144" s="59">
        <f t="shared" si="142"/>
        <v>458.38901659119472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266.99999999999983</v>
      </c>
      <c r="AJ144" s="13">
        <f>AI144*VLOOKUP('Données projet'!$B$10,Paramètres!$A$1:$I$89,3,0)*VLOOKUP('Données projet'!$B$10,Paramètres!$A$1:$I$89,5,0)</f>
        <v>195.76439999999985</v>
      </c>
      <c r="AK144" s="13">
        <f t="shared" si="143"/>
        <v>48.812154563023455</v>
      </c>
      <c r="AL144" s="20">
        <f t="shared" si="112"/>
        <v>425.9708325305989</v>
      </c>
      <c r="AM144" s="59">
        <f t="shared" si="113"/>
        <v>711.53114550835892</v>
      </c>
      <c r="AN144" s="59">
        <f ca="1">AVERAGE(OFFSET($AM$3,0,0,'Données projet'!$E$10+1,1))-AVERAGE(OFFSET($H$3,0,0,'Données projet'!$E$10+1,1))</f>
        <v>302.36110224755532</v>
      </c>
      <c r="AO144" s="59">
        <f t="shared" si="144"/>
        <v>292.08583531469412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9.6922671974376939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9.6922671974376939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8.561000000000007</v>
      </c>
      <c r="BD144" s="12">
        <f>IF('Données projet'!$A$88&gt;35,BD143+BC144-BL143,IF(A144&lt;'Données projet'!$A$88,$BA$205^A144,IF(A144='Données projet'!$A$88,'Données projet'!$B$88,BD143+BC144-BL143)))</f>
        <v>489.25700000000029</v>
      </c>
      <c r="BE144" s="13">
        <f>BD144*VLOOKUP('Données projet'!$B$11,Paramètres!$A$1:$I$89,3,0)*VLOOKUP('Données projet'!$B$11,Paramètres!$A$1:$I$89,5,0)</f>
        <v>465.57696120000031</v>
      </c>
      <c r="BF144" s="13">
        <f t="shared" si="145"/>
        <v>104.95166620646756</v>
      </c>
      <c r="BG144" s="20">
        <f t="shared" si="115"/>
        <v>993.67069273293157</v>
      </c>
      <c r="BH144" s="59">
        <f t="shared" si="116"/>
        <v>1279.2310057106915</v>
      </c>
      <c r="BI144" s="59">
        <f ca="1">AVERAGE(OFFSET($BH$3,0,0,'Données projet'!$E$11+1,1))-AVERAGE(OFFSET($H$3,0,0,'Données projet'!$E$11+1,1))</f>
        <v>697.21496579331188</v>
      </c>
      <c r="BJ144" s="59">
        <f t="shared" si="146"/>
        <v>215.64914236948769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106.70786382450247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106.70786382450247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212.00000000000009</v>
      </c>
      <c r="BZ144" s="13">
        <f>BY144*VLOOKUP('Données projet'!$B$12,Paramètres!$A$1:$I$89,3,0)*VLOOKUP('Données projet'!$B$12,Paramètres!$A$1:$I$89,5,0)</f>
        <v>185.20320000000009</v>
      </c>
      <c r="CA144" s="13">
        <f t="shared" si="147"/>
        <v>46.477875402099386</v>
      </c>
      <c r="CB144" s="20">
        <f t="shared" si="118"/>
        <v>403.5112063253232</v>
      </c>
      <c r="CC144" s="59">
        <f t="shared" si="119"/>
        <v>689.07151930308328</v>
      </c>
      <c r="CD144" s="59">
        <f ca="1">AVERAGE(OFFSET($CC$3,0,0,'Données projet'!$E$12+1,1))-AVERAGE(OFFSET($H$3,0,0,'Données projet'!$E$12+1,1))</f>
        <v>330.58463337575432</v>
      </c>
      <c r="CE144" s="59">
        <f t="shared" si="148"/>
        <v>285.43250599232192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19.442974375049808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19.442974375049808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6">
        <f t="shared" si="110"/>
        <v>183.33333333333334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189.76714074331781</v>
      </c>
      <c r="T145" s="59">
        <f t="shared" si="142"/>
        <v>458.38901659119472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266.99999999999983</v>
      </c>
      <c r="AJ145" s="13">
        <f>AI145*VLOOKUP('Données projet'!$B$10,Paramètres!$A$1:$I$89,3,0)*VLOOKUP('Données projet'!$B$10,Paramètres!$A$1:$I$89,5,0)</f>
        <v>195.76439999999985</v>
      </c>
      <c r="AK145" s="13">
        <f t="shared" si="143"/>
        <v>48.812154563023455</v>
      </c>
      <c r="AL145" s="20">
        <f t="shared" si="112"/>
        <v>425.9708325305989</v>
      </c>
      <c r="AM145" s="59">
        <f t="shared" si="113"/>
        <v>711.66599003365798</v>
      </c>
      <c r="AN145" s="59">
        <f ca="1">AVERAGE(OFFSET($AM$3,0,0,'Données projet'!$E$10+1,1))-AVERAGE(OFFSET($H$3,0,0,'Données projet'!$E$10+1,1))</f>
        <v>302.36110224755532</v>
      </c>
      <c r="AO145" s="59">
        <f t="shared" si="144"/>
        <v>292.08583531469412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9.5022077493951986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9.5022077493951986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8.561000000000007</v>
      </c>
      <c r="BD145" s="12">
        <f>IF('Données projet'!$A$88&gt;35,BD144+BC145-BL144,IF(A145&lt;'Données projet'!$A$88,$BA$205^A145,IF(A145='Données projet'!$A$88,'Données projet'!$B$88,BD144+BC145-BL144)))</f>
        <v>497.81800000000032</v>
      </c>
      <c r="BE145" s="13">
        <f>BD145*VLOOKUP('Données projet'!$B$11,Paramètres!$A$1:$I$89,3,0)*VLOOKUP('Données projet'!$B$11,Paramètres!$A$1:$I$89,5,0)</f>
        <v>473.72360880000031</v>
      </c>
      <c r="BF145" s="13">
        <f t="shared" si="145"/>
        <v>106.57270290807962</v>
      </c>
      <c r="BG145" s="20">
        <f t="shared" si="115"/>
        <v>1010.6827428915725</v>
      </c>
      <c r="BH145" s="59">
        <f t="shared" si="116"/>
        <v>1296.3779003946315</v>
      </c>
      <c r="BI145" s="59">
        <f ca="1">AVERAGE(OFFSET($BH$3,0,0,'Données projet'!$E$11+1,1))-AVERAGE(OFFSET($H$3,0,0,'Données projet'!$E$11+1,1))</f>
        <v>697.21496579331188</v>
      </c>
      <c r="BJ145" s="59">
        <f t="shared" si="146"/>
        <v>215.64914236948769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104.61538770027425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104.61538770027425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212.00000000000009</v>
      </c>
      <c r="BZ145" s="13">
        <f>BY145*VLOOKUP('Données projet'!$B$12,Paramètres!$A$1:$I$89,3,0)*VLOOKUP('Données projet'!$B$12,Paramètres!$A$1:$I$89,5,0)</f>
        <v>185.20320000000009</v>
      </c>
      <c r="CA145" s="13">
        <f t="shared" si="147"/>
        <v>46.477875402099386</v>
      </c>
      <c r="CB145" s="20">
        <f t="shared" si="118"/>
        <v>403.5112063253232</v>
      </c>
      <c r="CC145" s="59">
        <f t="shared" si="119"/>
        <v>689.20636382838234</v>
      </c>
      <c r="CD145" s="59">
        <f ca="1">AVERAGE(OFFSET($CC$3,0,0,'Données projet'!$E$12+1,1))-AVERAGE(OFFSET($H$3,0,0,'Données projet'!$E$12+1,1))</f>
        <v>330.58463337575432</v>
      </c>
      <c r="CE145" s="59">
        <f t="shared" si="148"/>
        <v>285.43250599232192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19.061709506598465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19.061709506598465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6">
        <f t="shared" si="110"/>
        <v>183.33333333333334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189.76714074331781</v>
      </c>
      <c r="T146" s="59">
        <f t="shared" si="142"/>
        <v>458.38901659119472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266.99999999999983</v>
      </c>
      <c r="AJ146" s="13">
        <f>AI146*VLOOKUP('Données projet'!$B$10,Paramètres!$A$1:$I$89,3,0)*VLOOKUP('Données projet'!$B$10,Paramètres!$A$1:$I$89,5,0)</f>
        <v>195.76439999999985</v>
      </c>
      <c r="AK146" s="13">
        <f t="shared" si="143"/>
        <v>48.812154563023455</v>
      </c>
      <c r="AL146" s="20">
        <f t="shared" si="112"/>
        <v>425.9708325305989</v>
      </c>
      <c r="AM146" s="59">
        <f t="shared" si="113"/>
        <v>711.79849530791034</v>
      </c>
      <c r="AN146" s="59">
        <f ca="1">AVERAGE(OFFSET($AM$3,0,0,'Données projet'!$E$10+1,1))-AVERAGE(OFFSET($H$3,0,0,'Données projet'!$E$10+1,1))</f>
        <v>302.36110224755532</v>
      </c>
      <c r="AO146" s="59">
        <f t="shared" si="144"/>
        <v>292.08583531469412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9.315875251204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9.315875251204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8.561000000000007</v>
      </c>
      <c r="BD146" s="12">
        <f>IF('Données projet'!$A$88&gt;35,BD145+BC146-BL145,IF(A146&lt;'Données projet'!$A$88,$BA$205^A146,IF(A146='Données projet'!$A$88,'Données projet'!$B$88,BD145+BC146-BL145)))</f>
        <v>506.37900000000036</v>
      </c>
      <c r="BE146" s="13">
        <f>BD146*VLOOKUP('Données projet'!$B$11,Paramètres!$A$1:$I$89,3,0)*VLOOKUP('Données projet'!$B$11,Paramètres!$A$1:$I$89,5,0)</f>
        <v>481.87025640000036</v>
      </c>
      <c r="BF146" s="13">
        <f t="shared" si="145"/>
        <v>108.1904977981653</v>
      </c>
      <c r="BG146" s="20">
        <f t="shared" si="115"/>
        <v>1027.6891468951385</v>
      </c>
      <c r="BH146" s="59">
        <f t="shared" si="116"/>
        <v>1313.5168096724499</v>
      </c>
      <c r="BI146" s="59">
        <f ca="1">AVERAGE(OFFSET($BH$3,0,0,'Données projet'!$E$11+1,1))-AVERAGE(OFFSET($H$3,0,0,'Données projet'!$E$11+1,1))</f>
        <v>697.21496579331188</v>
      </c>
      <c r="BJ146" s="59">
        <f t="shared" si="146"/>
        <v>215.64914236948769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102.56394375655775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102.56394375655775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212.00000000000009</v>
      </c>
      <c r="BZ146" s="13">
        <f>BY146*VLOOKUP('Données projet'!$B$12,Paramètres!$A$1:$I$89,3,0)*VLOOKUP('Données projet'!$B$12,Paramètres!$A$1:$I$89,5,0)</f>
        <v>185.20320000000009</v>
      </c>
      <c r="CA146" s="13">
        <f t="shared" si="147"/>
        <v>46.477875402099386</v>
      </c>
      <c r="CB146" s="20">
        <f t="shared" si="118"/>
        <v>403.5112063253232</v>
      </c>
      <c r="CC146" s="59">
        <f t="shared" si="119"/>
        <v>689.33886910263459</v>
      </c>
      <c r="CD146" s="59">
        <f ca="1">AVERAGE(OFFSET($CC$3,0,0,'Données projet'!$E$12+1,1))-AVERAGE(OFFSET($H$3,0,0,'Données projet'!$E$12+1,1))</f>
        <v>330.58463337575432</v>
      </c>
      <c r="CE146" s="59">
        <f t="shared" si="148"/>
        <v>285.43250599232192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18.687921009668848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18.687921009668848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6">
        <f t="shared" si="110"/>
        <v>183.33333333333334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189.76714074331781</v>
      </c>
      <c r="T147" s="59">
        <f t="shared" si="142"/>
        <v>458.38901659119472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266.99999999999983</v>
      </c>
      <c r="AJ147" s="13">
        <f>AI147*VLOOKUP('Données projet'!$B$10,Paramètres!$A$1:$I$89,3,0)*VLOOKUP('Données projet'!$B$10,Paramètres!$A$1:$I$89,5,0)</f>
        <v>195.76439999999985</v>
      </c>
      <c r="AK147" s="13">
        <f t="shared" si="143"/>
        <v>48.812154563023455</v>
      </c>
      <c r="AL147" s="20">
        <f t="shared" si="112"/>
        <v>425.9708325305989</v>
      </c>
      <c r="AM147" s="59">
        <f t="shared" si="113"/>
        <v>711.92870191189172</v>
      </c>
      <c r="AN147" s="59">
        <f ca="1">AVERAGE(OFFSET($AM$3,0,0,'Données projet'!$E$10+1,1))-AVERAGE(OFFSET($H$3,0,0,'Données projet'!$E$10+1,1))</f>
        <v>302.36110224755532</v>
      </c>
      <c r="AO147" s="59">
        <f t="shared" si="144"/>
        <v>292.08583531469412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9.1331966196507306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9.1331966196507306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514.94000000000005</v>
      </c>
      <c r="BB147" s="12">
        <f>VLOOKUP(A147,'Données projet'!$A$87:$I$107,9,0)</f>
        <v>8.561000000000007</v>
      </c>
      <c r="BC147" s="12">
        <f t="array" ref="BC147">INDEX(BB:BB,MIN(IF(ISNUMBER(BB147:BB343),ROW(BB147:BB343),"")))</f>
        <v>8.561000000000007</v>
      </c>
      <c r="BD147" s="12">
        <f>IF('Données projet'!$A$88&gt;35,BD146+BC147-BL146,IF(A147&lt;'Données projet'!$A$88,$BA$205^A147,IF(A147='Données projet'!$A$88,'Données projet'!$B$88,BD146+BC147-BL146)))</f>
        <v>514.9400000000004</v>
      </c>
      <c r="BE147" s="13">
        <f>BD147*VLOOKUP('Données projet'!$B$11,Paramètres!$A$1:$I$89,3,0)*VLOOKUP('Données projet'!$B$11,Paramètres!$A$1:$I$89,5,0)</f>
        <v>490.01690400000041</v>
      </c>
      <c r="BF147" s="13">
        <f t="shared" si="145"/>
        <v>109.80511200903999</v>
      </c>
      <c r="BG147" s="20">
        <f t="shared" si="115"/>
        <v>1044.6900112157455</v>
      </c>
      <c r="BH147" s="59">
        <f t="shared" si="116"/>
        <v>1330.6478805970382</v>
      </c>
      <c r="BI147" s="59">
        <f ca="1">AVERAGE(OFFSET($BH$3,0,0,'Données projet'!$E$11+1,1))-AVERAGE(OFFSET($H$3,0,0,'Données projet'!$E$11+1,1))</f>
        <v>697.21496579331188</v>
      </c>
      <c r="BJ147" s="59">
        <f t="shared" si="146"/>
        <v>215.64914236948769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56.01</v>
      </c>
      <c r="BM147" s="16">
        <f>IF(ISNA(VLOOKUP(A147,'Données projet'!$A$87:$I$107,5,0)),0%,VLOOKUP(A147,'Données projet'!$A$87:$I$107,5,0)*VLOOKUP('Données projet'!$B$11,Paramètres!$A$1:$I$89,7,0))</f>
        <v>0.43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125.88858279443528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125.88858279443528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212.00000000000009</v>
      </c>
      <c r="BZ147" s="13">
        <f>BY147*VLOOKUP('Données projet'!$B$12,Paramètres!$A$1:$I$89,3,0)*VLOOKUP('Données projet'!$B$12,Paramètres!$A$1:$I$89,5,0)</f>
        <v>185.20320000000009</v>
      </c>
      <c r="CA147" s="13">
        <f t="shared" si="147"/>
        <v>46.477875402099386</v>
      </c>
      <c r="CB147" s="20">
        <f t="shared" si="118"/>
        <v>403.5112063253232</v>
      </c>
      <c r="CC147" s="59">
        <f t="shared" si="119"/>
        <v>689.46907570661608</v>
      </c>
      <c r="CD147" s="59">
        <f ca="1">AVERAGE(OFFSET($CC$3,0,0,'Données projet'!$E$12+1,1))-AVERAGE(OFFSET($H$3,0,0,'Données projet'!$E$12+1,1))</f>
        <v>330.58463337575432</v>
      </c>
      <c r="CE147" s="59">
        <f t="shared" si="148"/>
        <v>285.43250599232192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18.321462277175549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18.321462277175549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6">
        <f t="shared" si="110"/>
        <v>183.33333333333334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189.76714074331781</v>
      </c>
      <c r="T148" s="59">
        <f t="shared" si="142"/>
        <v>458.38901659119472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266.99999999999983</v>
      </c>
      <c r="AJ148" s="13">
        <f>AI148*VLOOKUP('Données projet'!$B$10,Paramètres!$A$1:$I$89,3,0)*VLOOKUP('Données projet'!$B$10,Paramètres!$A$1:$I$89,5,0)</f>
        <v>195.76439999999985</v>
      </c>
      <c r="AK148" s="13">
        <f t="shared" si="143"/>
        <v>48.812154563023455</v>
      </c>
      <c r="AL148" s="20">
        <f t="shared" si="112"/>
        <v>425.9708325305989</v>
      </c>
      <c r="AM148" s="59">
        <f t="shared" si="113"/>
        <v>712.05664972239242</v>
      </c>
      <c r="AN148" s="59">
        <f ca="1">AVERAGE(OFFSET($AM$3,0,0,'Données projet'!$E$10+1,1))-AVERAGE(OFFSET($H$3,0,0,'Données projet'!$E$10+1,1))</f>
        <v>302.36110224755532</v>
      </c>
      <c r="AO148" s="59">
        <f t="shared" si="144"/>
        <v>292.08583531469412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8.954100204639257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8.954100204639257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8.7559999999999949</v>
      </c>
      <c r="BD148" s="12">
        <f>IF('Données projet'!$A$88&gt;35,BD147+BC148-BL147,IF(A148&lt;'Données projet'!$A$88,$BA$205^A148,IF(A148='Données projet'!$A$88,'Données projet'!$B$88,BD147+BC148-BL147)))</f>
        <v>467.68600000000038</v>
      </c>
      <c r="BE148" s="13">
        <f>BD148*VLOOKUP('Données projet'!$B$11,Paramètres!$A$1:$I$89,3,0)*VLOOKUP('Données projet'!$B$11,Paramètres!$A$1:$I$89,5,0)</f>
        <v>445.04999760000032</v>
      </c>
      <c r="BF148" s="13">
        <f t="shared" si="145"/>
        <v>100.85236414117045</v>
      </c>
      <c r="BG148" s="20">
        <f t="shared" si="115"/>
        <v>950.77994669920588</v>
      </c>
      <c r="BH148" s="59">
        <f t="shared" si="116"/>
        <v>1236.8657638909995</v>
      </c>
      <c r="BI148" s="59">
        <f ca="1">AVERAGE(OFFSET($BH$3,0,0,'Données projet'!$E$11+1,1))-AVERAGE(OFFSET($H$3,0,0,'Données projet'!$E$11+1,1))</f>
        <v>697.21496579331188</v>
      </c>
      <c r="BJ148" s="59">
        <f t="shared" si="146"/>
        <v>215.64914236948769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123.41998447029007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123.41998447029007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212.00000000000009</v>
      </c>
      <c r="BZ148" s="13">
        <f>BY148*VLOOKUP('Données projet'!$B$12,Paramètres!$A$1:$I$89,3,0)*VLOOKUP('Données projet'!$B$12,Paramètres!$A$1:$I$89,5,0)</f>
        <v>185.20320000000009</v>
      </c>
      <c r="CA148" s="13">
        <f t="shared" si="147"/>
        <v>46.477875402099386</v>
      </c>
      <c r="CB148" s="20">
        <f t="shared" si="118"/>
        <v>403.5112063253232</v>
      </c>
      <c r="CC148" s="59">
        <f t="shared" si="119"/>
        <v>689.59702351711678</v>
      </c>
      <c r="CD148" s="59">
        <f ca="1">AVERAGE(OFFSET($CC$3,0,0,'Données projet'!$E$12+1,1))-AVERAGE(OFFSET($H$3,0,0,'Données projet'!$E$12+1,1))</f>
        <v>330.58463337575432</v>
      </c>
      <c r="CE148" s="59">
        <f t="shared" si="148"/>
        <v>285.43250599232192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17.962189576908688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17.962189576908688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6">
        <f t="shared" si="110"/>
        <v>183.33333333333334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189.76714074331781</v>
      </c>
      <c r="T149" s="59">
        <f t="shared" si="142"/>
        <v>458.38901659119472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266.99999999999983</v>
      </c>
      <c r="AJ149" s="13">
        <f>AI149*VLOOKUP('Données projet'!$B$10,Paramètres!$A$1:$I$89,3,0)*VLOOKUP('Données projet'!$B$10,Paramètres!$A$1:$I$89,5,0)</f>
        <v>195.76439999999985</v>
      </c>
      <c r="AK149" s="13">
        <f t="shared" si="143"/>
        <v>48.812154563023455</v>
      </c>
      <c r="AL149" s="20">
        <f t="shared" si="112"/>
        <v>425.9708325305989</v>
      </c>
      <c r="AM149" s="59">
        <f t="shared" si="113"/>
        <v>712.1823779244296</v>
      </c>
      <c r="AN149" s="59">
        <f ca="1">AVERAGE(OFFSET($AM$3,0,0,'Données projet'!$E$10+1,1))-AVERAGE(OFFSET($H$3,0,0,'Données projet'!$E$10+1,1))</f>
        <v>302.36110224755532</v>
      </c>
      <c r="AO149" s="59">
        <f t="shared" si="144"/>
        <v>292.08583531469412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8.7785157610881317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8.7785157610881317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8.7559999999999949</v>
      </c>
      <c r="BD149" s="12">
        <f>IF('Données projet'!$A$88&gt;35,BD148+BC149-BL148,IF(A149&lt;'Données projet'!$A$88,$BA$205^A149,IF(A149='Données projet'!$A$88,'Données projet'!$B$88,BD148+BC149-BL148)))</f>
        <v>476.44200000000035</v>
      </c>
      <c r="BE149" s="13">
        <f>BD149*VLOOKUP('Données projet'!$B$11,Paramètres!$A$1:$I$89,3,0)*VLOOKUP('Données projet'!$B$11,Paramètres!$A$1:$I$89,5,0)</f>
        <v>453.38220720000038</v>
      </c>
      <c r="BF149" s="13">
        <f t="shared" si="145"/>
        <v>102.51893187267257</v>
      </c>
      <c r="BG149" s="20">
        <f t="shared" si="115"/>
        <v>968.19448388490548</v>
      </c>
      <c r="BH149" s="59">
        <f t="shared" si="116"/>
        <v>1254.4060292787362</v>
      </c>
      <c r="BI149" s="59">
        <f ca="1">AVERAGE(OFFSET($BH$3,0,0,'Données projet'!$E$11+1,1))-AVERAGE(OFFSET($H$3,0,0,'Données projet'!$E$11+1,1))</f>
        <v>697.21496579331188</v>
      </c>
      <c r="BJ149" s="59">
        <f t="shared" si="146"/>
        <v>215.64914236948769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120.99979385358505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120.99979385358505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212.00000000000009</v>
      </c>
      <c r="BZ149" s="13">
        <f>BY149*VLOOKUP('Données projet'!$B$12,Paramètres!$A$1:$I$89,3,0)*VLOOKUP('Données projet'!$B$12,Paramètres!$A$1:$I$89,5,0)</f>
        <v>185.20320000000009</v>
      </c>
      <c r="CA149" s="13">
        <f t="shared" si="147"/>
        <v>46.477875402099386</v>
      </c>
      <c r="CB149" s="20">
        <f t="shared" si="118"/>
        <v>403.5112063253232</v>
      </c>
      <c r="CC149" s="59">
        <f t="shared" si="119"/>
        <v>689.72275171915385</v>
      </c>
      <c r="CD149" s="59">
        <f ca="1">AVERAGE(OFFSET($CC$3,0,0,'Données projet'!$E$12+1,1))-AVERAGE(OFFSET($H$3,0,0,'Données projet'!$E$12+1,1))</f>
        <v>330.58463337575432</v>
      </c>
      <c r="CE149" s="59">
        <f t="shared" si="148"/>
        <v>285.43250599232192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17.609961995159349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17.609961995159349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6">
        <f t="shared" si="110"/>
        <v>183.33333333333334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189.76714074331781</v>
      </c>
      <c r="T150" s="59">
        <f t="shared" si="142"/>
        <v>458.38901659119472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266.99999999999983</v>
      </c>
      <c r="AJ150" s="13">
        <f>AI150*VLOOKUP('Données projet'!$B$10,Paramètres!$A$1:$I$89,3,0)*VLOOKUP('Données projet'!$B$10,Paramètres!$A$1:$I$89,5,0)</f>
        <v>195.76439999999985</v>
      </c>
      <c r="AK150" s="13">
        <f t="shared" si="143"/>
        <v>48.812154563023455</v>
      </c>
      <c r="AL150" s="20">
        <f t="shared" si="112"/>
        <v>425.9708325305989</v>
      </c>
      <c r="AM150" s="59">
        <f t="shared" si="113"/>
        <v>712.30592502324726</v>
      </c>
      <c r="AN150" s="59">
        <f ca="1">AVERAGE(OFFSET($AM$3,0,0,'Données projet'!$E$10+1,1))-AVERAGE(OFFSET($H$3,0,0,'Données projet'!$E$10+1,1))</f>
        <v>302.36110224755532</v>
      </c>
      <c r="AO150" s="59">
        <f t="shared" si="144"/>
        <v>292.08583531469412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8.6063744213791082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8.6063744213791082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8.7559999999999949</v>
      </c>
      <c r="BD150" s="12">
        <f>IF('Données projet'!$A$88&gt;35,BD149+BC150-BL149,IF(A150&lt;'Données projet'!$A$88,$BA$205^A150,IF(A150='Données projet'!$A$88,'Données projet'!$B$88,BD149+BC150-BL149)))</f>
        <v>485.19800000000032</v>
      </c>
      <c r="BE150" s="13">
        <f>BD150*VLOOKUP('Données projet'!$B$11,Paramètres!$A$1:$I$89,3,0)*VLOOKUP('Données projet'!$B$11,Paramètres!$A$1:$I$89,5,0)</f>
        <v>461.71441680000027</v>
      </c>
      <c r="BF150" s="13">
        <f t="shared" si="145"/>
        <v>104.18193810316261</v>
      </c>
      <c r="BG150" s="20">
        <f t="shared" si="115"/>
        <v>985.60281812300855</v>
      </c>
      <c r="BH150" s="59">
        <f t="shared" si="116"/>
        <v>1271.9379106156571</v>
      </c>
      <c r="BI150" s="59">
        <f ca="1">AVERAGE(OFFSET($BH$3,0,0,'Données projet'!$E$11+1,1))-AVERAGE(OFFSET($H$3,0,0,'Données projet'!$E$11+1,1))</f>
        <v>697.21496579331188</v>
      </c>
      <c r="BJ150" s="59">
        <f t="shared" si="146"/>
        <v>215.64914236948769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118.62706169870309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118.62706169870309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212.00000000000009</v>
      </c>
      <c r="BZ150" s="13">
        <f>BY150*VLOOKUP('Données projet'!$B$12,Paramètres!$A$1:$I$89,3,0)*VLOOKUP('Données projet'!$B$12,Paramètres!$A$1:$I$89,5,0)</f>
        <v>185.20320000000009</v>
      </c>
      <c r="CA150" s="13">
        <f t="shared" si="147"/>
        <v>46.477875402099386</v>
      </c>
      <c r="CB150" s="20">
        <f t="shared" si="118"/>
        <v>403.5112063253232</v>
      </c>
      <c r="CC150" s="59">
        <f t="shared" si="119"/>
        <v>689.84629881797161</v>
      </c>
      <c r="CD150" s="59">
        <f ca="1">AVERAGE(OFFSET($CC$3,0,0,'Données projet'!$E$12+1,1))-AVERAGE(OFFSET($H$3,0,0,'Données projet'!$E$12+1,1))</f>
        <v>330.58463337575432</v>
      </c>
      <c r="CE150" s="59">
        <f t="shared" si="148"/>
        <v>285.43250599232192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17.264641381450502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17.264641381450502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6">
        <f t="shared" si="110"/>
        <v>183.33333333333334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189.76714074331781</v>
      </c>
      <c r="T151" s="59">
        <f t="shared" si="142"/>
        <v>458.38901659119472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266.99999999999983</v>
      </c>
      <c r="AJ151" s="13">
        <f>AI151*VLOOKUP('Données projet'!$B$10,Paramètres!$A$1:$I$89,3,0)*VLOOKUP('Données projet'!$B$10,Paramètres!$A$1:$I$89,5,0)</f>
        <v>195.76439999999985</v>
      </c>
      <c r="AK151" s="13">
        <f t="shared" si="143"/>
        <v>48.812154563023455</v>
      </c>
      <c r="AL151" s="20">
        <f t="shared" si="112"/>
        <v>425.9708325305989</v>
      </c>
      <c r="AM151" s="59">
        <f t="shared" si="113"/>
        <v>712.42732885611053</v>
      </c>
      <c r="AN151" s="59">
        <f ca="1">AVERAGE(OFFSET($AM$3,0,0,'Données projet'!$E$10+1,1))-AVERAGE(OFFSET($H$3,0,0,'Données projet'!$E$10+1,1))</f>
        <v>302.36110224755532</v>
      </c>
      <c r="AO151" s="59">
        <f t="shared" si="144"/>
        <v>292.08583531469412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8.4376086683459288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8.4376086683459288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8.7559999999999949</v>
      </c>
      <c r="BD151" s="12">
        <f>IF('Données projet'!$A$88&gt;35,BD150+BC151-BL150,IF(A151&lt;'Données projet'!$A$88,$BA$205^A151,IF(A151='Données projet'!$A$88,'Données projet'!$B$88,BD150+BC151-BL150)))</f>
        <v>493.95400000000029</v>
      </c>
      <c r="BE151" s="13">
        <f>BD151*VLOOKUP('Données projet'!$B$11,Paramètres!$A$1:$I$89,3,0)*VLOOKUP('Données projet'!$B$11,Paramètres!$A$1:$I$89,5,0)</f>
        <v>470.04662640000026</v>
      </c>
      <c r="BF151" s="13">
        <f t="shared" si="145"/>
        <v>105.84145451810926</v>
      </c>
      <c r="BG151" s="20">
        <f t="shared" si="115"/>
        <v>1003.0050742657073</v>
      </c>
      <c r="BH151" s="59">
        <f t="shared" si="116"/>
        <v>1289.461570591219</v>
      </c>
      <c r="BI151" s="59">
        <f ca="1">AVERAGE(OFFSET($BH$3,0,0,'Données projet'!$E$11+1,1))-AVERAGE(OFFSET($H$3,0,0,'Données projet'!$E$11+1,1))</f>
        <v>697.21496579331188</v>
      </c>
      <c r="BJ151" s="59">
        <f t="shared" si="146"/>
        <v>215.64914236948769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116.30085737415466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116.30085737415466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212.00000000000009</v>
      </c>
      <c r="BZ151" s="13">
        <f>BY151*VLOOKUP('Données projet'!$B$12,Paramètres!$A$1:$I$89,3,0)*VLOOKUP('Données projet'!$B$12,Paramètres!$A$1:$I$89,5,0)</f>
        <v>185.20320000000009</v>
      </c>
      <c r="CA151" s="13">
        <f t="shared" si="147"/>
        <v>46.477875402099386</v>
      </c>
      <c r="CB151" s="20">
        <f t="shared" si="118"/>
        <v>403.5112063253232</v>
      </c>
      <c r="CC151" s="59">
        <f t="shared" si="119"/>
        <v>689.96770265083489</v>
      </c>
      <c r="CD151" s="59">
        <f ca="1">AVERAGE(OFFSET($CC$3,0,0,'Données projet'!$E$12+1,1))-AVERAGE(OFFSET($H$3,0,0,'Données projet'!$E$12+1,1))</f>
        <v>330.58463337575432</v>
      </c>
      <c r="CE151" s="59">
        <f t="shared" si="148"/>
        <v>285.43250599232192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16.926092294351712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16.926092294351712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6">
        <f t="shared" si="110"/>
        <v>183.33333333333334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189.76714074331781</v>
      </c>
      <c r="T152" s="59">
        <f t="shared" si="142"/>
        <v>458.38901659119472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266.99999999999983</v>
      </c>
      <c r="AJ152" s="13">
        <f>AI152*VLOOKUP('Données projet'!$B$10,Paramètres!$A$1:$I$89,3,0)*VLOOKUP('Données projet'!$B$10,Paramètres!$A$1:$I$89,5,0)</f>
        <v>195.76439999999985</v>
      </c>
      <c r="AK152" s="13">
        <f t="shared" si="143"/>
        <v>48.812154563023455</v>
      </c>
      <c r="AL152" s="20">
        <f t="shared" si="112"/>
        <v>425.9708325305989</v>
      </c>
      <c r="AM152" s="59">
        <f t="shared" si="113"/>
        <v>712.54662660389204</v>
      </c>
      <c r="AN152" s="59">
        <f ca="1">AVERAGE(OFFSET($AM$3,0,0,'Données projet'!$E$10+1,1))-AVERAGE(OFFSET($H$3,0,0,'Données projet'!$E$10+1,1))</f>
        <v>302.36110224755532</v>
      </c>
      <c r="AO152" s="59">
        <f t="shared" si="144"/>
        <v>292.08583531469412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8.2721523087927853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8.2721523087927853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8.7559999999999949</v>
      </c>
      <c r="BD152" s="12">
        <f>IF('Données projet'!$A$88&gt;35,BD151+BC152-BL151,IF(A152&lt;'Données projet'!$A$88,$BA$205^A152,IF(A152='Données projet'!$A$88,'Données projet'!$B$88,BD151+BC152-BL151)))</f>
        <v>502.71000000000026</v>
      </c>
      <c r="BE152" s="13">
        <f>BD152*VLOOKUP('Données projet'!$B$11,Paramètres!$A$1:$I$89,3,0)*VLOOKUP('Données projet'!$B$11,Paramètres!$A$1:$I$89,5,0)</f>
        <v>478.37883600000026</v>
      </c>
      <c r="BF152" s="13">
        <f t="shared" si="145"/>
        <v>107.49755011597769</v>
      </c>
      <c r="BG152" s="20">
        <f t="shared" si="115"/>
        <v>1020.4013724853284</v>
      </c>
      <c r="BH152" s="59">
        <f t="shared" si="116"/>
        <v>1306.9771665586213</v>
      </c>
      <c r="BI152" s="59">
        <f ca="1">AVERAGE(OFFSET($BH$3,0,0,'Données projet'!$E$11+1,1))-AVERAGE(OFFSET($H$3,0,0,'Données projet'!$E$11+1,1))</f>
        <v>697.21496579331188</v>
      </c>
      <c r="BJ152" s="59">
        <f t="shared" si="146"/>
        <v>215.64914236948769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114.02026849756608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114.02026849756608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212.00000000000009</v>
      </c>
      <c r="BZ152" s="13">
        <f>BY152*VLOOKUP('Données projet'!$B$12,Paramètres!$A$1:$I$89,3,0)*VLOOKUP('Données projet'!$B$12,Paramètres!$A$1:$I$89,5,0)</f>
        <v>185.20320000000009</v>
      </c>
      <c r="CA152" s="13">
        <f t="shared" si="147"/>
        <v>46.477875402099386</v>
      </c>
      <c r="CB152" s="20">
        <f t="shared" si="118"/>
        <v>403.5112063253232</v>
      </c>
      <c r="CC152" s="59">
        <f t="shared" si="119"/>
        <v>690.08700039861628</v>
      </c>
      <c r="CD152" s="59">
        <f ca="1">AVERAGE(OFFSET($CC$3,0,0,'Données projet'!$E$12+1,1))-AVERAGE(OFFSET($H$3,0,0,'Données projet'!$E$12+1,1))</f>
        <v>330.58463337575432</v>
      </c>
      <c r="CE152" s="59">
        <f t="shared" si="148"/>
        <v>285.43250599232192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16.594181948356375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16.594181948356375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6">
        <f t="shared" si="110"/>
        <v>183.33333333333334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189.76714074331781</v>
      </c>
      <c r="T153" s="59">
        <f t="shared" si="142"/>
        <v>458.38901659119472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266.99999999999983</v>
      </c>
      <c r="AJ153" s="13">
        <f>AI153*VLOOKUP('Données projet'!$B$10,Paramètres!$A$1:$I$89,3,0)*VLOOKUP('Données projet'!$B$10,Paramètres!$A$1:$I$89,5,0)</f>
        <v>195.76439999999985</v>
      </c>
      <c r="AK153" s="13">
        <f t="shared" si="143"/>
        <v>48.812154563023455</v>
      </c>
      <c r="AL153" s="20">
        <f t="shared" si="112"/>
        <v>425.9708325305989</v>
      </c>
      <c r="AM153" s="59">
        <f t="shared" si="113"/>
        <v>712.66385480245924</v>
      </c>
      <c r="AN153" s="59">
        <f ca="1">AVERAGE(OFFSET($AM$3,0,0,'Données projet'!$E$10+1,1))-AVERAGE(OFFSET($H$3,0,0,'Données projet'!$E$10+1,1))</f>
        <v>302.36110224755532</v>
      </c>
      <c r="AO153" s="59">
        <f t="shared" si="144"/>
        <v>292.08583531469412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8.1099404475320647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8.1099404475320647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8.7559999999999949</v>
      </c>
      <c r="BD153" s="12">
        <f>IF('Données projet'!$A$88&gt;35,BD152+BC153-BL152,IF(A153&lt;'Données projet'!$A$88,$BA$205^A153,IF(A153='Données projet'!$A$88,'Données projet'!$B$88,BD152+BC153-BL152)))</f>
        <v>511.46600000000024</v>
      </c>
      <c r="BE153" s="13">
        <f>BD153*VLOOKUP('Données projet'!$B$11,Paramètres!$A$1:$I$89,3,0)*VLOOKUP('Données projet'!$B$11,Paramètres!$A$1:$I$89,5,0)</f>
        <v>486.7110456000002</v>
      </c>
      <c r="BF153" s="13">
        <f t="shared" si="145"/>
        <v>109.15029135396259</v>
      </c>
      <c r="BG153" s="20">
        <f t="shared" si="115"/>
        <v>1037.7918285281519</v>
      </c>
      <c r="BH153" s="59">
        <f t="shared" si="116"/>
        <v>1324.4848508000123</v>
      </c>
      <c r="BI153" s="59">
        <f ca="1">AVERAGE(OFFSET($BH$3,0,0,'Données projet'!$E$11+1,1))-AVERAGE(OFFSET($H$3,0,0,'Données projet'!$E$11+1,1))</f>
        <v>697.21496579331188</v>
      </c>
      <c r="BJ153" s="59">
        <f t="shared" si="146"/>
        <v>215.64914236948769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111.78440057782555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111.78440057782555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212.00000000000009</v>
      </c>
      <c r="BZ153" s="13">
        <f>BY153*VLOOKUP('Données projet'!$B$12,Paramètres!$A$1:$I$89,3,0)*VLOOKUP('Données projet'!$B$12,Paramètres!$A$1:$I$89,5,0)</f>
        <v>185.20320000000009</v>
      </c>
      <c r="CA153" s="13">
        <f t="shared" si="147"/>
        <v>46.477875402099386</v>
      </c>
      <c r="CB153" s="20">
        <f t="shared" si="118"/>
        <v>403.5112063253232</v>
      </c>
      <c r="CC153" s="59">
        <f t="shared" si="119"/>
        <v>690.2042285971836</v>
      </c>
      <c r="CD153" s="59">
        <f ca="1">AVERAGE(OFFSET($CC$3,0,0,'Données projet'!$E$12+1,1))-AVERAGE(OFFSET($H$3,0,0,'Données projet'!$E$12+1,1))</f>
        <v>330.58463337575432</v>
      </c>
      <c r="CE153" s="59">
        <f t="shared" si="148"/>
        <v>285.43250599232192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16.268780161800684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16.268780161800684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6">
        <f t="shared" si="110"/>
        <v>183.33333333333334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189.76714074331781</v>
      </c>
      <c r="T154" s="59">
        <f t="shared" si="142"/>
        <v>458.38901659119472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266.99999999999983</v>
      </c>
      <c r="AJ154" s="13">
        <f>AI154*VLOOKUP('Données projet'!$B$10,Paramètres!$A$1:$I$89,3,0)*VLOOKUP('Données projet'!$B$10,Paramètres!$A$1:$I$89,5,0)</f>
        <v>195.76439999999985</v>
      </c>
      <c r="AK154" s="13">
        <f t="shared" ref="AK154:AK203" si="164">EXP(-1.0587+0.8836*LN(AJ154)+0.284)</f>
        <v>48.812154563023455</v>
      </c>
      <c r="AL154" s="20">
        <f t="shared" ref="AL154:AL203" si="165">(AJ154+AK154)*0.475*44/12</f>
        <v>425.9708325305989</v>
      </c>
      <c r="AM154" s="59">
        <f t="shared" si="113"/>
        <v>712.77904935386425</v>
      </c>
      <c r="AN154" s="59">
        <f ca="1">AVERAGE(OFFSET($AM$3,0,0,'Données projet'!$E$10+1,1))-AVERAGE(OFFSET($H$3,0,0,'Données projet'!$E$10+1,1))</f>
        <v>302.36110224755532</v>
      </c>
      <c r="AO154" s="59">
        <f t="shared" si="144"/>
        <v>292.08583531469412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7.9509094619312002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7.9509094619312002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8.7559999999999949</v>
      </c>
      <c r="BD154" s="12">
        <f>IF('Données projet'!$A$88&gt;35,BD153+BC154-BL153,IF(A154&lt;'Données projet'!$A$88,$BA$205^A154,IF(A154='Données projet'!$A$88,'Données projet'!$B$88,BD153+BC154-BL153)))</f>
        <v>520.22200000000021</v>
      </c>
      <c r="BE154" s="13">
        <f>BD154*VLOOKUP('Données projet'!$B$11,Paramètres!$A$1:$I$89,3,0)*VLOOKUP('Données projet'!$B$11,Paramètres!$A$1:$I$89,5,0)</f>
        <v>495.0432552000002</v>
      </c>
      <c r="BF154" s="13">
        <f t="shared" ref="BF154:BF203" si="167">EXP(-1.0587+0.8836*LN(BE154)+0.284)</f>
        <v>110.7997422834583</v>
      </c>
      <c r="BG154" s="20">
        <f t="shared" ref="BG154:BG203" si="168">(BE154+BF154)*0.475*44/12</f>
        <v>1055.1765539503567</v>
      </c>
      <c r="BH154" s="59">
        <f t="shared" si="116"/>
        <v>1341.9847707736221</v>
      </c>
      <c r="BI154" s="59">
        <f ca="1">AVERAGE(OFFSET($BH$3,0,0,'Données projet'!$E$11+1,1))-AVERAGE(OFFSET($H$3,0,0,'Données projet'!$E$11+1,1))</f>
        <v>697.21496579331188</v>
      </c>
      <c r="BJ154" s="59">
        <f t="shared" si="146"/>
        <v>215.64914236948769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109.59237666424636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109.59237666424636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212.00000000000009</v>
      </c>
      <c r="BZ154" s="13">
        <f>BY154*VLOOKUP('Données projet'!$B$12,Paramètres!$A$1:$I$89,3,0)*VLOOKUP('Données projet'!$B$12,Paramètres!$A$1:$I$89,5,0)</f>
        <v>185.20320000000009</v>
      </c>
      <c r="CA154" s="13">
        <f t="shared" ref="CA154:CA203" si="170">EXP(-1.0587+0.8836*LN(BZ154)+0.284)</f>
        <v>46.477875402099386</v>
      </c>
      <c r="CB154" s="20">
        <f t="shared" ref="CB154:CB203" si="171">(BZ154+CA154)*0.475*44/12</f>
        <v>403.5112063253232</v>
      </c>
      <c r="CC154" s="59">
        <f t="shared" si="119"/>
        <v>690.31942314858861</v>
      </c>
      <c r="CD154" s="59">
        <f ca="1">AVERAGE(OFFSET($CC$3,0,0,'Données projet'!$E$12+1,1))-AVERAGE(OFFSET($H$3,0,0,'Données projet'!$E$12+1,1))</f>
        <v>330.58463337575432</v>
      </c>
      <c r="CE154" s="59">
        <f t="shared" si="148"/>
        <v>285.43250599232192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15.949759305803859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15.949759305803859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6">
        <f t="shared" si="110"/>
        <v>183.33333333333334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189.76714074331781</v>
      </c>
      <c r="T155" s="59">
        <f t="shared" si="142"/>
        <v>458.38901659119472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266.99999999999983</v>
      </c>
      <c r="AJ155" s="13">
        <f>AI155*VLOOKUP('Données projet'!$B$10,Paramètres!$A$1:$I$89,3,0)*VLOOKUP('Données projet'!$B$10,Paramètres!$A$1:$I$89,5,0)</f>
        <v>195.76439999999985</v>
      </c>
      <c r="AK155" s="13">
        <f t="shared" si="164"/>
        <v>48.812154563023455</v>
      </c>
      <c r="AL155" s="20">
        <f t="shared" si="165"/>
        <v>425.9708325305989</v>
      </c>
      <c r="AM155" s="59">
        <f t="shared" si="113"/>
        <v>712.89224553733879</v>
      </c>
      <c r="AN155" s="59">
        <f ca="1">AVERAGE(OFFSET($AM$3,0,0,'Données projet'!$E$10+1,1))-AVERAGE(OFFSET($H$3,0,0,'Données projet'!$E$10+1,1))</f>
        <v>302.36110224755532</v>
      </c>
      <c r="AO155" s="59">
        <f t="shared" si="144"/>
        <v>292.08583531469412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7.7949969769586449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7.7949969769586449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8.7559999999999949</v>
      </c>
      <c r="BD155" s="12">
        <f>IF('Données projet'!$A$88&gt;35,BD154+BC155-BL154,IF(A155&lt;'Données projet'!$A$88,$BA$205^A155,IF(A155='Données projet'!$A$88,'Données projet'!$B$88,BD154+BC155-BL154)))</f>
        <v>528.97800000000018</v>
      </c>
      <c r="BE155" s="13">
        <f>BD155*VLOOKUP('Données projet'!$B$11,Paramètres!$A$1:$I$89,3,0)*VLOOKUP('Données projet'!$B$11,Paramètres!$A$1:$I$89,5,0)</f>
        <v>503.3754648000002</v>
      </c>
      <c r="BF155" s="13">
        <f t="shared" si="167"/>
        <v>112.44596467615034</v>
      </c>
      <c r="BG155" s="20">
        <f t="shared" si="168"/>
        <v>1072.555656337629</v>
      </c>
      <c r="BH155" s="59">
        <f t="shared" si="116"/>
        <v>1359.4770693443688</v>
      </c>
      <c r="BI155" s="59">
        <f ca="1">AVERAGE(OFFSET($BH$3,0,0,'Données projet'!$E$11+1,1))-AVERAGE(OFFSET($H$3,0,0,'Données projet'!$E$11+1,1))</f>
        <v>697.21496579331188</v>
      </c>
      <c r="BJ155" s="59">
        <f t="shared" si="146"/>
        <v>215.64914236948769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107.44333700260988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107.44333700260988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212.00000000000009</v>
      </c>
      <c r="BZ155" s="13">
        <f>BY155*VLOOKUP('Données projet'!$B$12,Paramètres!$A$1:$I$89,3,0)*VLOOKUP('Données projet'!$B$12,Paramètres!$A$1:$I$89,5,0)</f>
        <v>185.20320000000009</v>
      </c>
      <c r="CA155" s="13">
        <f t="shared" si="170"/>
        <v>46.477875402099386</v>
      </c>
      <c r="CB155" s="20">
        <f t="shared" si="171"/>
        <v>403.5112063253232</v>
      </c>
      <c r="CC155" s="59">
        <f t="shared" si="119"/>
        <v>690.43261933206304</v>
      </c>
      <c r="CD155" s="59">
        <f ca="1">AVERAGE(OFFSET($CC$3,0,0,'Données projet'!$E$12+1,1))-AVERAGE(OFFSET($H$3,0,0,'Données projet'!$E$12+1,1))</f>
        <v>330.58463337575432</v>
      </c>
      <c r="CE155" s="59">
        <f t="shared" si="148"/>
        <v>285.43250599232192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15.636994254209624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15.636994254209624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6">
        <f t="shared" si="110"/>
        <v>183.33333333333334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189.76714074331781</v>
      </c>
      <c r="T156" s="59">
        <f t="shared" si="142"/>
        <v>458.38901659119472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266.99999999999983</v>
      </c>
      <c r="AJ156" s="13">
        <f>AI156*VLOOKUP('Données projet'!$B$10,Paramètres!$A$1:$I$89,3,0)*VLOOKUP('Données projet'!$B$10,Paramètres!$A$1:$I$89,5,0)</f>
        <v>195.76439999999985</v>
      </c>
      <c r="AK156" s="13">
        <f t="shared" si="164"/>
        <v>48.812154563023455</v>
      </c>
      <c r="AL156" s="20">
        <f t="shared" si="165"/>
        <v>425.9708325305989</v>
      </c>
      <c r="AM156" s="59">
        <f t="shared" si="113"/>
        <v>713.0034780200989</v>
      </c>
      <c r="AN156" s="59">
        <f ca="1">AVERAGE(OFFSET($AM$3,0,0,'Données projet'!$E$10+1,1))-AVERAGE(OFFSET($H$3,0,0,'Données projet'!$E$10+1,1))</f>
        <v>302.36110224755532</v>
      </c>
      <c r="AO156" s="59">
        <f t="shared" si="144"/>
        <v>292.08583531469412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7.6421418407191757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7.6421418407191757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8.7559999999999949</v>
      </c>
      <c r="BD156" s="12">
        <f>IF('Données projet'!$A$88&gt;35,BD155+BC156-BL155,IF(A156&lt;'Données projet'!$A$88,$BA$205^A156,IF(A156='Données projet'!$A$88,'Données projet'!$B$88,BD155+BC156-BL155)))</f>
        <v>537.73400000000015</v>
      </c>
      <c r="BE156" s="13">
        <f>BD156*VLOOKUP('Données projet'!$B$11,Paramètres!$A$1:$I$89,3,0)*VLOOKUP('Données projet'!$B$11,Paramètres!$A$1:$I$89,5,0)</f>
        <v>511.70767440000009</v>
      </c>
      <c r="BF156" s="13">
        <f t="shared" si="167"/>
        <v>114.08901814152235</v>
      </c>
      <c r="BG156" s="20">
        <f t="shared" si="168"/>
        <v>1089.9292395098182</v>
      </c>
      <c r="BH156" s="59">
        <f t="shared" si="116"/>
        <v>1376.9618849993183</v>
      </c>
      <c r="BI156" s="59">
        <f ca="1">AVERAGE(OFFSET($BH$3,0,0,'Données projet'!$E$11+1,1))-AVERAGE(OFFSET($H$3,0,0,'Données projet'!$E$11+1,1))</f>
        <v>697.21496579331188</v>
      </c>
      <c r="BJ156" s="59">
        <f t="shared" si="146"/>
        <v>215.64914236948769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105.33643869795333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105.33643869795333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212.00000000000009</v>
      </c>
      <c r="BZ156" s="13">
        <f>BY156*VLOOKUP('Données projet'!$B$12,Paramètres!$A$1:$I$89,3,0)*VLOOKUP('Données projet'!$B$12,Paramètres!$A$1:$I$89,5,0)</f>
        <v>185.20320000000009</v>
      </c>
      <c r="CA156" s="13">
        <f t="shared" si="170"/>
        <v>46.477875402099386</v>
      </c>
      <c r="CB156" s="20">
        <f t="shared" si="171"/>
        <v>403.5112063253232</v>
      </c>
      <c r="CC156" s="59">
        <f t="shared" si="119"/>
        <v>690.54385181482326</v>
      </c>
      <c r="CD156" s="59">
        <f ca="1">AVERAGE(OFFSET($CC$3,0,0,'Données projet'!$E$12+1,1))-AVERAGE(OFFSET($H$3,0,0,'Données projet'!$E$12+1,1))</f>
        <v>330.58463337575432</v>
      </c>
      <c r="CE156" s="59">
        <f t="shared" si="148"/>
        <v>285.43250599232192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15.330362334509307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15.330362334509307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6">
        <f t="shared" si="110"/>
        <v>183.33333333333334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189.76714074331781</v>
      </c>
      <c r="T157" s="59">
        <f t="shared" si="142"/>
        <v>458.38901659119472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266.99999999999983</v>
      </c>
      <c r="AJ157" s="13">
        <f>AI157*VLOOKUP('Données projet'!$B$10,Paramètres!$A$1:$I$89,3,0)*VLOOKUP('Données projet'!$B$10,Paramètres!$A$1:$I$89,5,0)</f>
        <v>195.76439999999985</v>
      </c>
      <c r="AK157" s="13">
        <f t="shared" si="164"/>
        <v>48.812154563023455</v>
      </c>
      <c r="AL157" s="20">
        <f t="shared" si="165"/>
        <v>425.9708325305989</v>
      </c>
      <c r="AM157" s="59">
        <f t="shared" si="113"/>
        <v>713.11278086796165</v>
      </c>
      <c r="AN157" s="59">
        <f ca="1">AVERAGE(OFFSET($AM$3,0,0,'Données projet'!$E$10+1,1))-AVERAGE(OFFSET($H$3,0,0,'Données projet'!$E$10+1,1))</f>
        <v>302.36110224755532</v>
      </c>
      <c r="AO157" s="59">
        <f t="shared" si="144"/>
        <v>292.08583531469412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7.492284100468936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7.492284100468936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546.49</v>
      </c>
      <c r="BB157" s="12">
        <f>VLOOKUP(A157,'Données projet'!$A$87:$I$107,9,0)</f>
        <v>8.7559999999999949</v>
      </c>
      <c r="BC157" s="12">
        <f t="array" ref="BC157">INDEX(BB:BB,MIN(IF(ISNUMBER(BB157:BB353),ROW(BB157:BB353),"")))</f>
        <v>8.7559999999999949</v>
      </c>
      <c r="BD157" s="12">
        <f>IF('Données projet'!$A$88&gt;35,BD156+BC157-BL156,IF(A157&lt;'Données projet'!$A$88,$BA$205^A157,IF(A157='Données projet'!$A$88,'Données projet'!$B$88,BD156+BC157-BL156)))</f>
        <v>546.49000000000012</v>
      </c>
      <c r="BE157" s="13">
        <f>BD157*VLOOKUP('Données projet'!$B$11,Paramètres!$A$1:$I$89,3,0)*VLOOKUP('Données projet'!$B$11,Paramètres!$A$1:$I$89,5,0)</f>
        <v>520.03988400000014</v>
      </c>
      <c r="BF157" s="13">
        <f t="shared" si="167"/>
        <v>115.72896023649142</v>
      </c>
      <c r="BG157" s="20">
        <f t="shared" si="168"/>
        <v>1107.2974037118893</v>
      </c>
      <c r="BH157" s="59">
        <f t="shared" si="116"/>
        <v>1394.439352049252</v>
      </c>
      <c r="BI157" s="59">
        <f ca="1">AVERAGE(OFFSET($BH$3,0,0,'Données projet'!$E$11+1,1))-AVERAGE(OFFSET($H$3,0,0,'Données projet'!$E$11+1,1))</f>
        <v>697.21496579331188</v>
      </c>
      <c r="BJ157" s="59">
        <f t="shared" si="146"/>
        <v>215.64914236948769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55.13</v>
      </c>
      <c r="BM157" s="16">
        <f>IF(ISNA(VLOOKUP(A157,'Données projet'!$A$87:$I$107,5,0)),0%,VLOOKUP(A157,'Données projet'!$A$87:$I$107,5,0)*VLOOKUP('Données projet'!$B$11,Paramètres!$A$1:$I$89,7,0))</f>
        <v>0.43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128.20864701306394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128.20864701306394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212.00000000000009</v>
      </c>
      <c r="BZ157" s="13">
        <f>BY157*VLOOKUP('Données projet'!$B$12,Paramètres!$A$1:$I$89,3,0)*VLOOKUP('Données projet'!$B$12,Paramètres!$A$1:$I$89,5,0)</f>
        <v>185.20320000000009</v>
      </c>
      <c r="CA157" s="13">
        <f t="shared" si="170"/>
        <v>46.477875402099386</v>
      </c>
      <c r="CB157" s="20">
        <f t="shared" si="171"/>
        <v>403.5112063253232</v>
      </c>
      <c r="CC157" s="59">
        <f t="shared" si="119"/>
        <v>690.65315466268589</v>
      </c>
      <c r="CD157" s="59">
        <f ca="1">AVERAGE(OFFSET($CC$3,0,0,'Données projet'!$E$12+1,1))-AVERAGE(OFFSET($H$3,0,0,'Données projet'!$E$12+1,1))</f>
        <v>330.58463337575432</v>
      </c>
      <c r="CE157" s="59">
        <f t="shared" si="148"/>
        <v>285.43250599232192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15.029743279727308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15.029743279727308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6">
        <f t="shared" si="110"/>
        <v>183.33333333333334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189.76714074331781</v>
      </c>
      <c r="T158" s="59">
        <f t="shared" si="142"/>
        <v>458.38901659119472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266.99999999999983</v>
      </c>
      <c r="AJ158" s="13">
        <f>AI158*VLOOKUP('Données projet'!$B$10,Paramètres!$A$1:$I$89,3,0)*VLOOKUP('Données projet'!$B$10,Paramètres!$A$1:$I$89,5,0)</f>
        <v>195.76439999999985</v>
      </c>
      <c r="AK158" s="13">
        <f t="shared" si="164"/>
        <v>48.812154563023455</v>
      </c>
      <c r="AL158" s="20">
        <f t="shared" si="165"/>
        <v>425.9708325305989</v>
      </c>
      <c r="AM158" s="59">
        <f t="shared" si="113"/>
        <v>713.22018755577858</v>
      </c>
      <c r="AN158" s="59">
        <f ca="1">AVERAGE(OFFSET($AM$3,0,0,'Données projet'!$E$10+1,1))-AVERAGE(OFFSET($H$3,0,0,'Données projet'!$E$10+1,1))</f>
        <v>302.36110224755532</v>
      </c>
      <c r="AO158" s="59">
        <f t="shared" si="144"/>
        <v>292.08583531469412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7.3453649791008067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7.3453649791008067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8.8960000000000043</v>
      </c>
      <c r="BD158" s="12">
        <f>IF('Données projet'!$A$88&gt;35,BD157+BC158-BL157,IF(A158&lt;'Données projet'!$A$88,$BA$205^A158,IF(A158='Données projet'!$A$88,'Données projet'!$B$88,BD157+BC158-BL157)))</f>
        <v>500.25600000000009</v>
      </c>
      <c r="BE158" s="13">
        <f>BD158*VLOOKUP('Données projet'!$B$11,Paramètres!$A$1:$I$89,3,0)*VLOOKUP('Données projet'!$B$11,Paramètres!$A$1:$I$89,5,0)</f>
        <v>476.04360960000008</v>
      </c>
      <c r="BF158" s="13">
        <f t="shared" si="167"/>
        <v>107.03374567724661</v>
      </c>
      <c r="BG158" s="20">
        <f t="shared" si="168"/>
        <v>1015.5263937745381</v>
      </c>
      <c r="BH158" s="59">
        <f t="shared" si="116"/>
        <v>1302.7757487997178</v>
      </c>
      <c r="BI158" s="59">
        <f ca="1">AVERAGE(OFFSET($BH$3,0,0,'Données projet'!$E$11+1,1))-AVERAGE(OFFSET($H$3,0,0,'Données projet'!$E$11+1,1))</f>
        <v>697.21496579331188</v>
      </c>
      <c r="BJ158" s="59">
        <f t="shared" si="146"/>
        <v>215.64914236948769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125.69455364469087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125.69455364469087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212.00000000000009</v>
      </c>
      <c r="BZ158" s="13">
        <f>BY158*VLOOKUP('Données projet'!$B$12,Paramètres!$A$1:$I$89,3,0)*VLOOKUP('Données projet'!$B$12,Paramètres!$A$1:$I$89,5,0)</f>
        <v>185.20320000000009</v>
      </c>
      <c r="CA158" s="13">
        <f t="shared" si="170"/>
        <v>46.477875402099386</v>
      </c>
      <c r="CB158" s="20">
        <f t="shared" si="171"/>
        <v>403.5112063253232</v>
      </c>
      <c r="CC158" s="59">
        <f t="shared" si="119"/>
        <v>690.76056135050294</v>
      </c>
      <c r="CD158" s="59">
        <f ca="1">AVERAGE(OFFSET($CC$3,0,0,'Données projet'!$E$12+1,1))-AVERAGE(OFFSET($H$3,0,0,'Données projet'!$E$12+1,1))</f>
        <v>330.58463337575432</v>
      </c>
      <c r="CE158" s="59">
        <f t="shared" si="148"/>
        <v>285.43250599232192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14.735019181250067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14.735019181250067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6">
        <f t="shared" si="110"/>
        <v>183.33333333333334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189.76714074331781</v>
      </c>
      <c r="T159" s="59">
        <f t="shared" si="142"/>
        <v>458.38901659119472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266.99999999999983</v>
      </c>
      <c r="AJ159" s="13">
        <f>AI159*VLOOKUP('Données projet'!$B$10,Paramètres!$A$1:$I$89,3,0)*VLOOKUP('Données projet'!$B$10,Paramètres!$A$1:$I$89,5,0)</f>
        <v>195.76439999999985</v>
      </c>
      <c r="AK159" s="13">
        <f t="shared" si="164"/>
        <v>48.812154563023455</v>
      </c>
      <c r="AL159" s="20">
        <f t="shared" si="165"/>
        <v>425.9708325305989</v>
      </c>
      <c r="AM159" s="59">
        <f t="shared" si="113"/>
        <v>713.32573097768727</v>
      </c>
      <c r="AN159" s="59">
        <f ca="1">AVERAGE(OFFSET($AM$3,0,0,'Données projet'!$E$10+1,1))-AVERAGE(OFFSET($H$3,0,0,'Données projet'!$E$10+1,1))</f>
        <v>302.36110224755532</v>
      </c>
      <c r="AO159" s="59">
        <f t="shared" si="144"/>
        <v>292.08583531469412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7.2013268520908911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7.2013268520908911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8.8960000000000043</v>
      </c>
      <c r="BD159" s="12">
        <f>IF('Données projet'!$A$88&gt;35,BD158+BC159-BL158,IF(A159&lt;'Données projet'!$A$88,$BA$205^A159,IF(A159='Données projet'!$A$88,'Données projet'!$B$88,BD158+BC159-BL158)))</f>
        <v>509.1520000000001</v>
      </c>
      <c r="BE159" s="13">
        <f>BD159*VLOOKUP('Données projet'!$B$11,Paramètres!$A$1:$I$89,3,0)*VLOOKUP('Données projet'!$B$11,Paramètres!$A$1:$I$89,5,0)</f>
        <v>484.50904320000012</v>
      </c>
      <c r="BF159" s="13">
        <f t="shared" si="167"/>
        <v>108.71383409121859</v>
      </c>
      <c r="BG159" s="20">
        <f t="shared" si="168"/>
        <v>1033.1965112822061</v>
      </c>
      <c r="BH159" s="59">
        <f t="shared" si="116"/>
        <v>1320.5514097292944</v>
      </c>
      <c r="BI159" s="59">
        <f ca="1">AVERAGE(OFFSET($BH$3,0,0,'Données projet'!$E$11+1,1))-AVERAGE(OFFSET($H$3,0,0,'Données projet'!$E$11+1,1))</f>
        <v>697.21496579331188</v>
      </c>
      <c r="BJ159" s="59">
        <f t="shared" si="146"/>
        <v>215.64914236948769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123.22976011382606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123.22976011382606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212.00000000000009</v>
      </c>
      <c r="BZ159" s="13">
        <f>BY159*VLOOKUP('Données projet'!$B$12,Paramètres!$A$1:$I$89,3,0)*VLOOKUP('Données projet'!$B$12,Paramètres!$A$1:$I$89,5,0)</f>
        <v>185.20320000000009</v>
      </c>
      <c r="CA159" s="13">
        <f t="shared" si="170"/>
        <v>46.477875402099386</v>
      </c>
      <c r="CB159" s="20">
        <f t="shared" si="171"/>
        <v>403.5112063253232</v>
      </c>
      <c r="CC159" s="59">
        <f t="shared" si="119"/>
        <v>690.86610477241152</v>
      </c>
      <c r="CD159" s="59">
        <f ca="1">AVERAGE(OFFSET($CC$3,0,0,'Données projet'!$E$12+1,1))-AVERAGE(OFFSET($H$3,0,0,'Données projet'!$E$12+1,1))</f>
        <v>330.58463337575432</v>
      </c>
      <c r="CE159" s="59">
        <f t="shared" si="148"/>
        <v>285.43250599232192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14.446074442580015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14.446074442580015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6">
        <f t="shared" si="110"/>
        <v>183.33333333333334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189.76714074331781</v>
      </c>
      <c r="T160" s="59">
        <f t="shared" si="142"/>
        <v>458.38901659119472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266.99999999999983</v>
      </c>
      <c r="AJ160" s="13">
        <f>AI160*VLOOKUP('Données projet'!$B$10,Paramètres!$A$1:$I$89,3,0)*VLOOKUP('Données projet'!$B$10,Paramètres!$A$1:$I$89,5,0)</f>
        <v>195.76439999999985</v>
      </c>
      <c r="AK160" s="13">
        <f t="shared" si="164"/>
        <v>48.812154563023455</v>
      </c>
      <c r="AL160" s="20">
        <f t="shared" si="165"/>
        <v>425.9708325305989</v>
      </c>
      <c r="AM160" s="59">
        <f t="shared" si="113"/>
        <v>713.42944345718547</v>
      </c>
      <c r="AN160" s="59">
        <f ca="1">AVERAGE(OFFSET($AM$3,0,0,'Données projet'!$E$10+1,1))-AVERAGE(OFFSET($H$3,0,0,'Données projet'!$E$10+1,1))</f>
        <v>302.36110224755532</v>
      </c>
      <c r="AO160" s="59">
        <f t="shared" si="144"/>
        <v>292.08583531469412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7.0601132248970577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7.0601132248970577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8.8960000000000043</v>
      </c>
      <c r="BD160" s="12">
        <f>IF('Données projet'!$A$88&gt;35,BD159+BC160-BL159,IF(A160&lt;'Données projet'!$A$88,$BA$205^A160,IF(A160='Données projet'!$A$88,'Données projet'!$B$88,BD159+BC160-BL159)))</f>
        <v>518.04800000000012</v>
      </c>
      <c r="BE160" s="13">
        <f>BD160*VLOOKUP('Données projet'!$B$11,Paramètres!$A$1:$I$89,3,0)*VLOOKUP('Données projet'!$B$11,Paramètres!$A$1:$I$89,5,0)</f>
        <v>492.9744768000001</v>
      </c>
      <c r="BF160" s="13">
        <f t="shared" si="167"/>
        <v>110.390508892475</v>
      </c>
      <c r="BG160" s="20">
        <f t="shared" si="168"/>
        <v>1050.8606834143941</v>
      </c>
      <c r="BH160" s="59">
        <f t="shared" si="116"/>
        <v>1338.3192943409806</v>
      </c>
      <c r="BI160" s="59">
        <f ca="1">AVERAGE(OFFSET($BH$3,0,0,'Données projet'!$E$11+1,1))-AVERAGE(OFFSET($H$3,0,0,'Données projet'!$E$11+1,1))</f>
        <v>697.21496579331188</v>
      </c>
      <c r="BJ160" s="59">
        <f t="shared" si="146"/>
        <v>215.64914236948769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120.81329968072589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120.81329968072589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212.00000000000009</v>
      </c>
      <c r="BZ160" s="13">
        <f>BY160*VLOOKUP('Données projet'!$B$12,Paramètres!$A$1:$I$89,3,0)*VLOOKUP('Données projet'!$B$12,Paramètres!$A$1:$I$89,5,0)</f>
        <v>185.20320000000009</v>
      </c>
      <c r="CA160" s="13">
        <f t="shared" si="170"/>
        <v>46.477875402099386</v>
      </c>
      <c r="CB160" s="20">
        <f t="shared" si="171"/>
        <v>403.5112063253232</v>
      </c>
      <c r="CC160" s="59">
        <f t="shared" si="119"/>
        <v>690.96981725190972</v>
      </c>
      <c r="CD160" s="59">
        <f ca="1">AVERAGE(OFFSET($CC$3,0,0,'Données projet'!$E$12+1,1))-AVERAGE(OFFSET($H$3,0,0,'Données projet'!$E$12+1,1))</f>
        <v>330.58463337575432</v>
      </c>
      <c r="CE160" s="59">
        <f t="shared" si="148"/>
        <v>285.43250599232192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14.162795733996393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14.162795733996393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6">
        <f t="shared" si="110"/>
        <v>183.33333333333334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189.76714074331781</v>
      </c>
      <c r="T161" s="59">
        <f t="shared" si="142"/>
        <v>458.38901659119472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266.99999999999983</v>
      </c>
      <c r="AJ161" s="13">
        <f>AI161*VLOOKUP('Données projet'!$B$10,Paramètres!$A$1:$I$89,3,0)*VLOOKUP('Données projet'!$B$10,Paramètres!$A$1:$I$89,5,0)</f>
        <v>195.76439999999985</v>
      </c>
      <c r="AK161" s="13">
        <f t="shared" si="164"/>
        <v>48.812154563023455</v>
      </c>
      <c r="AL161" s="20">
        <f t="shared" si="165"/>
        <v>425.9708325305989</v>
      </c>
      <c r="AM161" s="59">
        <f t="shared" si="113"/>
        <v>713.53135675703084</v>
      </c>
      <c r="AN161" s="59">
        <f ca="1">AVERAGE(OFFSET($AM$3,0,0,'Données projet'!$E$10+1,1))-AVERAGE(OFFSET($H$3,0,0,'Données projet'!$E$10+1,1))</f>
        <v>302.36110224755532</v>
      </c>
      <c r="AO161" s="59">
        <f t="shared" si="144"/>
        <v>292.08583531469412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6.9216687108006871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6.9216687108006871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8.8960000000000043</v>
      </c>
      <c r="BD161" s="12">
        <f>IF('Données projet'!$A$88&gt;35,BD160+BC161-BL160,IF(A161&lt;'Données projet'!$A$88,$BA$205^A161,IF(A161='Données projet'!$A$88,'Données projet'!$B$88,BD160+BC161-BL160)))</f>
        <v>526.94400000000007</v>
      </c>
      <c r="BE161" s="13">
        <f>BD161*VLOOKUP('Données projet'!$B$11,Paramètres!$A$1:$I$89,3,0)*VLOOKUP('Données projet'!$B$11,Paramètres!$A$1:$I$89,5,0)</f>
        <v>501.43991040000009</v>
      </c>
      <c r="BF161" s="13">
        <f t="shared" si="167"/>
        <v>112.06383546447631</v>
      </c>
      <c r="BG161" s="20">
        <f t="shared" si="168"/>
        <v>1068.5190240472964</v>
      </c>
      <c r="BH161" s="59">
        <f t="shared" si="116"/>
        <v>1356.0795482737285</v>
      </c>
      <c r="BI161" s="59">
        <f ca="1">AVERAGE(OFFSET($BH$3,0,0,'Données projet'!$E$11+1,1))-AVERAGE(OFFSET($H$3,0,0,'Données projet'!$E$11+1,1))</f>
        <v>697.21496579331188</v>
      </c>
      <c r="BJ161" s="59">
        <f t="shared" si="146"/>
        <v>215.64914236948769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118.44422456282349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118.44422456282349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212.00000000000009</v>
      </c>
      <c r="BZ161" s="13">
        <f>BY161*VLOOKUP('Données projet'!$B$12,Paramètres!$A$1:$I$89,3,0)*VLOOKUP('Données projet'!$B$12,Paramètres!$A$1:$I$89,5,0)</f>
        <v>185.20320000000009</v>
      </c>
      <c r="CA161" s="13">
        <f t="shared" si="170"/>
        <v>46.477875402099386</v>
      </c>
      <c r="CB161" s="20">
        <f t="shared" si="171"/>
        <v>403.5112063253232</v>
      </c>
      <c r="CC161" s="59">
        <f t="shared" si="119"/>
        <v>691.07173055175519</v>
      </c>
      <c r="CD161" s="59">
        <f ca="1">AVERAGE(OFFSET($CC$3,0,0,'Données projet'!$E$12+1,1))-AVERAGE(OFFSET($H$3,0,0,'Données projet'!$E$12+1,1))</f>
        <v>330.58463337575432</v>
      </c>
      <c r="CE161" s="59">
        <f t="shared" si="148"/>
        <v>285.43250599232192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13.885071948105146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13.885071948105146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6">
        <f t="shared" si="110"/>
        <v>183.33333333333334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189.76714074331781</v>
      </c>
      <c r="T162" s="59">
        <f t="shared" si="142"/>
        <v>458.38901659119472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266.99999999999983</v>
      </c>
      <c r="AJ162" s="13">
        <f>AI162*VLOOKUP('Données projet'!$B$10,Paramètres!$A$1:$I$89,3,0)*VLOOKUP('Données projet'!$B$10,Paramètres!$A$1:$I$89,5,0)</f>
        <v>195.76439999999985</v>
      </c>
      <c r="AK162" s="13">
        <f t="shared" si="164"/>
        <v>48.812154563023455</v>
      </c>
      <c r="AL162" s="20">
        <f t="shared" si="165"/>
        <v>425.9708325305989</v>
      </c>
      <c r="AM162" s="59">
        <f t="shared" si="113"/>
        <v>713.63150208896786</v>
      </c>
      <c r="AN162" s="59">
        <f ca="1">AVERAGE(OFFSET($AM$3,0,0,'Données projet'!$E$10+1,1))-AVERAGE(OFFSET($H$3,0,0,'Données projet'!$E$10+1,1))</f>
        <v>302.36110224755532</v>
      </c>
      <c r="AO162" s="59">
        <f t="shared" si="144"/>
        <v>292.08583531469412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6.7859390091829308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6.7859390091829308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8.8960000000000043</v>
      </c>
      <c r="BD162" s="12">
        <f>IF('Données projet'!$A$88&gt;35,BD161+BC162-BL161,IF(A162&lt;'Données projet'!$A$88,$BA$205^A162,IF(A162='Données projet'!$A$88,'Données projet'!$B$88,BD161+BC162-BL161)))</f>
        <v>535.84</v>
      </c>
      <c r="BE162" s="13">
        <f>BD162*VLOOKUP('Données projet'!$B$11,Paramètres!$A$1:$I$89,3,0)*VLOOKUP('Données projet'!$B$11,Paramètres!$A$1:$I$89,5,0)</f>
        <v>509.90534400000007</v>
      </c>
      <c r="BF162" s="13">
        <f t="shared" si="167"/>
        <v>113.73387685652062</v>
      </c>
      <c r="BG162" s="20">
        <f t="shared" si="168"/>
        <v>1086.1716429917735</v>
      </c>
      <c r="BH162" s="59">
        <f t="shared" si="116"/>
        <v>1373.8323125501424</v>
      </c>
      <c r="BI162" s="59">
        <f ca="1">AVERAGE(OFFSET($BH$3,0,0,'Données projet'!$E$11+1,1))-AVERAGE(OFFSET($H$3,0,0,'Données projet'!$E$11+1,1))</f>
        <v>697.21496579331188</v>
      </c>
      <c r="BJ162" s="59">
        <f t="shared" si="146"/>
        <v>215.64914236948769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116.12160556299003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116.12160556299003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212.00000000000009</v>
      </c>
      <c r="BZ162" s="13">
        <f>BY162*VLOOKUP('Données projet'!$B$12,Paramètres!$A$1:$I$89,3,0)*VLOOKUP('Données projet'!$B$12,Paramètres!$A$1:$I$89,5,0)</f>
        <v>185.20320000000009</v>
      </c>
      <c r="CA162" s="13">
        <f t="shared" si="170"/>
        <v>46.477875402099386</v>
      </c>
      <c r="CB162" s="20">
        <f t="shared" si="171"/>
        <v>403.5112063253232</v>
      </c>
      <c r="CC162" s="59">
        <f t="shared" si="119"/>
        <v>691.17187588369211</v>
      </c>
      <c r="CD162" s="59">
        <f ca="1">AVERAGE(OFFSET($CC$3,0,0,'Données projet'!$E$12+1,1))-AVERAGE(OFFSET($H$3,0,0,'Données projet'!$E$12+1,1))</f>
        <v>330.58463337575432</v>
      </c>
      <c r="CE162" s="59">
        <f t="shared" si="148"/>
        <v>285.43250599232192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13.612794156260442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13.612794156260442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6">
        <f t="shared" si="110"/>
        <v>183.33333333333334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189.76714074331781</v>
      </c>
      <c r="T163" s="59">
        <f t="shared" si="142"/>
        <v>458.38901659119472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266.99999999999983</v>
      </c>
      <c r="AJ163" s="13">
        <f>AI163*VLOOKUP('Données projet'!$B$10,Paramètres!$A$1:$I$89,3,0)*VLOOKUP('Données projet'!$B$10,Paramètres!$A$1:$I$89,5,0)</f>
        <v>195.76439999999985</v>
      </c>
      <c r="AK163" s="13">
        <f t="shared" si="164"/>
        <v>48.812154563023455</v>
      </c>
      <c r="AL163" s="20">
        <f t="shared" si="165"/>
        <v>425.9708325305989</v>
      </c>
      <c r="AM163" s="59">
        <f t="shared" si="113"/>
        <v>713.72991012328725</v>
      </c>
      <c r="AN163" s="59">
        <f ca="1">AVERAGE(OFFSET($AM$3,0,0,'Données projet'!$E$10+1,1))-AVERAGE(OFFSET($H$3,0,0,'Données projet'!$E$10+1,1))</f>
        <v>302.36110224755532</v>
      </c>
      <c r="AO163" s="59">
        <f t="shared" si="144"/>
        <v>292.08583531469412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6.6528708842269557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6.6528708842269557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8.8960000000000043</v>
      </c>
      <c r="BD163" s="12">
        <f>IF('Données projet'!$A$88&gt;35,BD162+BC163-BL162,IF(A163&lt;'Données projet'!$A$88,$BA$205^A163,IF(A163='Données projet'!$A$88,'Données projet'!$B$88,BD162+BC163-BL162)))</f>
        <v>544.73599999999999</v>
      </c>
      <c r="BE163" s="13">
        <f>BD163*VLOOKUP('Données projet'!$B$11,Paramètres!$A$1:$I$89,3,0)*VLOOKUP('Données projet'!$B$11,Paramètres!$A$1:$I$89,5,0)</f>
        <v>518.3707776</v>
      </c>
      <c r="BF163" s="13">
        <f t="shared" si="167"/>
        <v>115.4006939044155</v>
      </c>
      <c r="BG163" s="20">
        <f t="shared" si="168"/>
        <v>1103.8186462035235</v>
      </c>
      <c r="BH163" s="59">
        <f t="shared" si="116"/>
        <v>1391.5777237962118</v>
      </c>
      <c r="BI163" s="59">
        <f ca="1">AVERAGE(OFFSET($BH$3,0,0,'Données projet'!$E$11+1,1))-AVERAGE(OFFSET($H$3,0,0,'Données projet'!$E$11+1,1))</f>
        <v>697.21496579331188</v>
      </c>
      <c r="BJ163" s="59">
        <f t="shared" si="146"/>
        <v>215.64914236948769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113.84453170508559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113.84453170508559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212.00000000000009</v>
      </c>
      <c r="BZ163" s="13">
        <f>BY163*VLOOKUP('Données projet'!$B$12,Paramètres!$A$1:$I$89,3,0)*VLOOKUP('Données projet'!$B$12,Paramètres!$A$1:$I$89,5,0)</f>
        <v>185.20320000000009</v>
      </c>
      <c r="CA163" s="13">
        <f t="shared" si="170"/>
        <v>46.477875402099386</v>
      </c>
      <c r="CB163" s="20">
        <f t="shared" si="171"/>
        <v>403.5112063253232</v>
      </c>
      <c r="CC163" s="59">
        <f t="shared" si="119"/>
        <v>691.2702839180115</v>
      </c>
      <c r="CD163" s="59">
        <f ca="1">AVERAGE(OFFSET($CC$3,0,0,'Données projet'!$E$12+1,1))-AVERAGE(OFFSET($H$3,0,0,'Données projet'!$E$12+1,1))</f>
        <v>330.58463337575432</v>
      </c>
      <c r="CE163" s="59">
        <f t="shared" si="148"/>
        <v>285.43250599232192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13.345855565840758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13.345855565840758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6">
        <f t="shared" si="110"/>
        <v>183.33333333333334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189.76714074331781</v>
      </c>
      <c r="T164" s="59">
        <f t="shared" si="142"/>
        <v>458.38901659119472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266.99999999999983</v>
      </c>
      <c r="AJ164" s="13">
        <f>AI164*VLOOKUP('Données projet'!$B$10,Paramètres!$A$1:$I$89,3,0)*VLOOKUP('Données projet'!$B$10,Paramètres!$A$1:$I$89,5,0)</f>
        <v>195.76439999999985</v>
      </c>
      <c r="AK164" s="13">
        <f t="shared" si="164"/>
        <v>48.812154563023455</v>
      </c>
      <c r="AL164" s="20">
        <f t="shared" si="165"/>
        <v>425.9708325305989</v>
      </c>
      <c r="AM164" s="59">
        <f t="shared" si="113"/>
        <v>713.8266109982186</v>
      </c>
      <c r="AN164" s="59">
        <f ca="1">AVERAGE(OFFSET($AM$3,0,0,'Données projet'!$E$10+1,1))-AVERAGE(OFFSET($H$3,0,0,'Données projet'!$E$10+1,1))</f>
        <v>302.36110224755532</v>
      </c>
      <c r="AO164" s="59">
        <f t="shared" si="144"/>
        <v>292.08583531469412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6.5224121440378253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6.5224121440378253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8.8960000000000043</v>
      </c>
      <c r="BD164" s="12">
        <f>IF('Données projet'!$A$88&gt;35,BD163+BC164-BL163,IF(A164&lt;'Données projet'!$A$88,$BA$205^A164,IF(A164='Données projet'!$A$88,'Données projet'!$B$88,BD163+BC164-BL163)))</f>
        <v>553.63199999999995</v>
      </c>
      <c r="BE164" s="13">
        <f>BD164*VLOOKUP('Données projet'!$B$11,Paramètres!$A$1:$I$89,3,0)*VLOOKUP('Données projet'!$B$11,Paramètres!$A$1:$I$89,5,0)</f>
        <v>526.83621119999998</v>
      </c>
      <c r="BF164" s="13">
        <f t="shared" si="167"/>
        <v>117.06434534304272</v>
      </c>
      <c r="BG164" s="20">
        <f t="shared" si="168"/>
        <v>1121.4601359791325</v>
      </c>
      <c r="BH164" s="59">
        <f t="shared" si="116"/>
        <v>1409.3159144467522</v>
      </c>
      <c r="BI164" s="59">
        <f ca="1">AVERAGE(OFFSET($BH$3,0,0,'Données projet'!$E$11+1,1))-AVERAGE(OFFSET($H$3,0,0,'Données projet'!$E$11+1,1))</f>
        <v>697.21496579331188</v>
      </c>
      <c r="BJ164" s="59">
        <f t="shared" si="146"/>
        <v>215.64914236948769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111.61210987665673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111.61210987665673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212.00000000000009</v>
      </c>
      <c r="BZ164" s="13">
        <f>BY164*VLOOKUP('Données projet'!$B$12,Paramètres!$A$1:$I$89,3,0)*VLOOKUP('Données projet'!$B$12,Paramètres!$A$1:$I$89,5,0)</f>
        <v>185.20320000000009</v>
      </c>
      <c r="CA164" s="13">
        <f t="shared" si="170"/>
        <v>46.477875402099386</v>
      </c>
      <c r="CB164" s="20">
        <f t="shared" si="171"/>
        <v>403.5112063253232</v>
      </c>
      <c r="CC164" s="59">
        <f t="shared" si="119"/>
        <v>691.36698479294296</v>
      </c>
      <c r="CD164" s="59">
        <f ca="1">AVERAGE(OFFSET($CC$3,0,0,'Données projet'!$E$12+1,1))-AVERAGE(OFFSET($H$3,0,0,'Données projet'!$E$12+1,1))</f>
        <v>330.58463337575432</v>
      </c>
      <c r="CE164" s="59">
        <f t="shared" si="148"/>
        <v>285.43250599232192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13.08415147836274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13.08415147836274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6">
        <f t="shared" si="110"/>
        <v>183.33333333333334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189.76714074331781</v>
      </c>
      <c r="T165" s="59">
        <f t="shared" si="142"/>
        <v>458.38901659119472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266.99999999999983</v>
      </c>
      <c r="AJ165" s="13">
        <f>AI165*VLOOKUP('Données projet'!$B$10,Paramètres!$A$1:$I$89,3,0)*VLOOKUP('Données projet'!$B$10,Paramètres!$A$1:$I$89,5,0)</f>
        <v>195.76439999999985</v>
      </c>
      <c r="AK165" s="13">
        <f t="shared" si="164"/>
        <v>48.812154563023455</v>
      </c>
      <c r="AL165" s="20">
        <f t="shared" si="165"/>
        <v>425.9708325305989</v>
      </c>
      <c r="AM165" s="59">
        <f t="shared" si="113"/>
        <v>713.92163432916061</v>
      </c>
      <c r="AN165" s="59">
        <f ca="1">AVERAGE(OFFSET($AM$3,0,0,'Données projet'!$E$10+1,1))-AVERAGE(OFFSET($H$3,0,0,'Données projet'!$E$10+1,1))</f>
        <v>302.36110224755532</v>
      </c>
      <c r="AO165" s="59">
        <f t="shared" si="144"/>
        <v>292.08583531469412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6.3945116201718291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6.3945116201718291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8.8960000000000043</v>
      </c>
      <c r="BD165" s="12">
        <f>IF('Données projet'!$A$88&gt;35,BD164+BC165-BL164,IF(A165&lt;'Données projet'!$A$88,$BA$205^A165,IF(A165='Données projet'!$A$88,'Données projet'!$B$88,BD164+BC165-BL164)))</f>
        <v>562.52799999999991</v>
      </c>
      <c r="BE165" s="13">
        <f>BD165*VLOOKUP('Données projet'!$B$11,Paramètres!$A$1:$I$89,3,0)*VLOOKUP('Données projet'!$B$11,Paramètres!$A$1:$I$89,5,0)</f>
        <v>535.30164479999985</v>
      </c>
      <c r="BF165" s="13">
        <f t="shared" si="167"/>
        <v>118.72488791148284</v>
      </c>
      <c r="BG165" s="20">
        <f t="shared" si="168"/>
        <v>1139.0962111391655</v>
      </c>
      <c r="BH165" s="59">
        <f t="shared" si="116"/>
        <v>1427.0470129377272</v>
      </c>
      <c r="BI165" s="59">
        <f ca="1">AVERAGE(OFFSET($BH$3,0,0,'Données projet'!$E$11+1,1))-AVERAGE(OFFSET($H$3,0,0,'Données projet'!$E$11+1,1))</f>
        <v>697.21496579331188</v>
      </c>
      <c r="BJ165" s="59">
        <f t="shared" si="146"/>
        <v>215.64914236948769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109.42346447864051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109.42346447864051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212.00000000000009</v>
      </c>
      <c r="BZ165" s="13">
        <f>BY165*VLOOKUP('Données projet'!$B$12,Paramètres!$A$1:$I$89,3,0)*VLOOKUP('Données projet'!$B$12,Paramètres!$A$1:$I$89,5,0)</f>
        <v>185.20320000000009</v>
      </c>
      <c r="CA165" s="13">
        <f t="shared" si="170"/>
        <v>46.477875402099386</v>
      </c>
      <c r="CB165" s="20">
        <f t="shared" si="171"/>
        <v>403.5112063253232</v>
      </c>
      <c r="CC165" s="59">
        <f t="shared" si="119"/>
        <v>691.46200812388497</v>
      </c>
      <c r="CD165" s="59">
        <f ca="1">AVERAGE(OFFSET($CC$3,0,0,'Données projet'!$E$12+1,1))-AVERAGE(OFFSET($H$3,0,0,'Données projet'!$E$12+1,1))</f>
        <v>330.58463337575432</v>
      </c>
      <c r="CE165" s="59">
        <f t="shared" si="148"/>
        <v>285.43250599232192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12.827579248416436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12.827579248416436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6">
        <f t="shared" si="110"/>
        <v>183.33333333333334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189.76714074331781</v>
      </c>
      <c r="T166" s="59">
        <f t="shared" si="142"/>
        <v>458.38901659119472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266.99999999999983</v>
      </c>
      <c r="AJ166" s="13">
        <f>AI166*VLOOKUP('Données projet'!$B$10,Paramètres!$A$1:$I$89,3,0)*VLOOKUP('Données projet'!$B$10,Paramètres!$A$1:$I$89,5,0)</f>
        <v>195.76439999999985</v>
      </c>
      <c r="AK166" s="13">
        <f t="shared" si="164"/>
        <v>48.812154563023455</v>
      </c>
      <c r="AL166" s="20">
        <f t="shared" si="165"/>
        <v>425.9708325305989</v>
      </c>
      <c r="AM166" s="59">
        <f t="shared" si="113"/>
        <v>714.01500921775119</v>
      </c>
      <c r="AN166" s="59">
        <f ca="1">AVERAGE(OFFSET($AM$3,0,0,'Données projet'!$E$10+1,1))-AVERAGE(OFFSET($H$3,0,0,'Données projet'!$E$10+1,1))</f>
        <v>302.36110224755532</v>
      </c>
      <c r="AO166" s="59">
        <f t="shared" si="144"/>
        <v>292.08583531469412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6.2691191475672285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6.2691191475672285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8.8960000000000043</v>
      </c>
      <c r="BD166" s="12">
        <f>IF('Données projet'!$A$88&gt;35,BD165+BC166-BL165,IF(A166&lt;'Données projet'!$A$88,$BA$205^A166,IF(A166='Données projet'!$A$88,'Données projet'!$B$88,BD165+BC166-BL165)))</f>
        <v>571.42399999999986</v>
      </c>
      <c r="BE166" s="13">
        <f>BD166*VLOOKUP('Données projet'!$B$11,Paramètres!$A$1:$I$89,3,0)*VLOOKUP('Données projet'!$B$11,Paramètres!$A$1:$I$89,5,0)</f>
        <v>543.76707839999983</v>
      </c>
      <c r="BF166" s="13">
        <f t="shared" si="167"/>
        <v>120.38237645130253</v>
      </c>
      <c r="BG166" s="20">
        <f t="shared" si="168"/>
        <v>1156.7269671993515</v>
      </c>
      <c r="BH166" s="59">
        <f t="shared" si="116"/>
        <v>1444.7711438865038</v>
      </c>
      <c r="BI166" s="59">
        <f ca="1">AVERAGE(OFFSET($BH$3,0,0,'Données projet'!$E$11+1,1))-AVERAGE(OFFSET($H$3,0,0,'Données projet'!$E$11+1,1))</f>
        <v>697.21496579331188</v>
      </c>
      <c r="BJ166" s="59">
        <f t="shared" si="146"/>
        <v>215.64914236948769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107.2777370819375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107.2777370819375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212.00000000000009</v>
      </c>
      <c r="BZ166" s="13">
        <f>BY166*VLOOKUP('Données projet'!$B$12,Paramètres!$A$1:$I$89,3,0)*VLOOKUP('Données projet'!$B$12,Paramètres!$A$1:$I$89,5,0)</f>
        <v>185.20320000000009</v>
      </c>
      <c r="CA166" s="13">
        <f t="shared" si="170"/>
        <v>46.477875402099386</v>
      </c>
      <c r="CB166" s="20">
        <f t="shared" si="171"/>
        <v>403.5112063253232</v>
      </c>
      <c r="CC166" s="59">
        <f t="shared" si="119"/>
        <v>691.55538301247543</v>
      </c>
      <c r="CD166" s="59">
        <f ca="1">AVERAGE(OFFSET($CC$3,0,0,'Données projet'!$E$12+1,1))-AVERAGE(OFFSET($H$3,0,0,'Données projet'!$E$12+1,1))</f>
        <v>330.58463337575432</v>
      </c>
      <c r="CE166" s="59">
        <f t="shared" si="148"/>
        <v>285.43250599232192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12.576038243405771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12.576038243405771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6">
        <f t="shared" si="110"/>
        <v>183.33333333333334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189.76714074331781</v>
      </c>
      <c r="T167" s="59">
        <f t="shared" si="142"/>
        <v>458.38901659119472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266.99999999999983</v>
      </c>
      <c r="AJ167" s="13">
        <f>AI167*VLOOKUP('Données projet'!$B$10,Paramètres!$A$1:$I$89,3,0)*VLOOKUP('Données projet'!$B$10,Paramètres!$A$1:$I$89,5,0)</f>
        <v>195.76439999999985</v>
      </c>
      <c r="AK167" s="13">
        <f t="shared" si="164"/>
        <v>48.812154563023455</v>
      </c>
      <c r="AL167" s="20">
        <f t="shared" si="165"/>
        <v>425.9708325305989</v>
      </c>
      <c r="AM167" s="59">
        <f t="shared" si="113"/>
        <v>714.10676426077953</v>
      </c>
      <c r="AN167" s="59">
        <f ca="1">AVERAGE(OFFSET($AM$3,0,0,'Données projet'!$E$10+1,1))-AVERAGE(OFFSET($H$3,0,0,'Données projet'!$E$10+1,1))</f>
        <v>302.36110224755532</v>
      </c>
      <c r="AO167" s="59">
        <f t="shared" si="144"/>
        <v>292.08583531469412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6.1461855448685476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6.1461855448685476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580.32000000000005</v>
      </c>
      <c r="BB167" s="12">
        <f>VLOOKUP(A167,'Données projet'!$A$87:$I$107,9,0)</f>
        <v>8.8960000000000043</v>
      </c>
      <c r="BC167" s="12">
        <f t="array" ref="BC167">INDEX(BB:BB,MIN(IF(ISNUMBER(BB167:BB363),ROW(BB167:BB363),"")))</f>
        <v>8.8960000000000043</v>
      </c>
      <c r="BD167" s="12">
        <f>IF('Données projet'!$A$88&gt;35,BD166+BC167-BL166,IF(A167&lt;'Données projet'!$A$88,$BA$205^A167,IF(A167='Données projet'!$A$88,'Données projet'!$B$88,BD166+BC167-BL166)))</f>
        <v>580.31999999999982</v>
      </c>
      <c r="BE167" s="13">
        <f>BD167*VLOOKUP('Données projet'!$B$11,Paramètres!$A$1:$I$89,3,0)*VLOOKUP('Données projet'!$B$11,Paramètres!$A$1:$I$89,5,0)</f>
        <v>552.23251199999982</v>
      </c>
      <c r="BF167" s="13">
        <f t="shared" si="167"/>
        <v>122.03686399854581</v>
      </c>
      <c r="BG167" s="20">
        <f t="shared" si="168"/>
        <v>1174.3524965308004</v>
      </c>
      <c r="BH167" s="59">
        <f t="shared" si="116"/>
        <v>1462.488428260981</v>
      </c>
      <c r="BI167" s="59">
        <f ca="1">AVERAGE(OFFSET($BH$3,0,0,'Données projet'!$E$11+1,1))-AVERAGE(OFFSET($H$3,0,0,'Données projet'!$E$11+1,1))</f>
        <v>697.21496579331188</v>
      </c>
      <c r="BJ167" s="59">
        <f t="shared" si="146"/>
        <v>215.64914236948769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59.58</v>
      </c>
      <c r="BM167" s="16">
        <f>IF(ISNA(VLOOKUP(A167,'Données projet'!$A$87:$I$107,5,0)),0%,VLOOKUP(A167,'Données projet'!$A$87:$I$107,5,0)*VLOOKUP('Données projet'!$B$11,Paramètres!$A$1:$I$89,7,0))</f>
        <v>0.43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132.12481392060175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132.12481392060175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212.00000000000009</v>
      </c>
      <c r="BZ167" s="13">
        <f>BY167*VLOOKUP('Données projet'!$B$12,Paramètres!$A$1:$I$89,3,0)*VLOOKUP('Données projet'!$B$12,Paramètres!$A$1:$I$89,5,0)</f>
        <v>185.20320000000009</v>
      </c>
      <c r="CA167" s="13">
        <f t="shared" si="170"/>
        <v>46.477875402099386</v>
      </c>
      <c r="CB167" s="20">
        <f t="shared" si="171"/>
        <v>403.5112063253232</v>
      </c>
      <c r="CC167" s="59">
        <f t="shared" si="119"/>
        <v>691.64713805550389</v>
      </c>
      <c r="CD167" s="59">
        <f ca="1">AVERAGE(OFFSET($CC$3,0,0,'Données projet'!$E$12+1,1))-AVERAGE(OFFSET($H$3,0,0,'Données projet'!$E$12+1,1))</f>
        <v>330.58463337575432</v>
      </c>
      <c r="CE167" s="59">
        <f t="shared" si="148"/>
        <v>285.43250599232192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12.329429804078501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12.329429804078501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6">
        <f t="shared" si="110"/>
        <v>183.33333333333334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189.76714074331781</v>
      </c>
      <c r="T168" s="59">
        <f t="shared" si="142"/>
        <v>458.38901659119472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266.99999999999983</v>
      </c>
      <c r="AJ168" s="13">
        <f>AI168*VLOOKUP('Données projet'!$B$10,Paramètres!$A$1:$I$89,3,0)*VLOOKUP('Données projet'!$B$10,Paramètres!$A$1:$I$89,5,0)</f>
        <v>195.76439999999985</v>
      </c>
      <c r="AK168" s="13">
        <f t="shared" si="164"/>
        <v>48.812154563023455</v>
      </c>
      <c r="AL168" s="20">
        <f t="shared" si="165"/>
        <v>425.9708325305989</v>
      </c>
      <c r="AM168" s="59">
        <f t="shared" si="113"/>
        <v>714.19692755894505</v>
      </c>
      <c r="AN168" s="59">
        <f ca="1">AVERAGE(OFFSET($AM$3,0,0,'Données projet'!$E$10+1,1))-AVERAGE(OFFSET($H$3,0,0,'Données projet'!$E$10+1,1))</f>
        <v>302.36110224755532</v>
      </c>
      <c r="AO168" s="59">
        <f t="shared" si="144"/>
        <v>292.08583531469412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6.0256625951366942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6.0256625951366942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8.977999999999998</v>
      </c>
      <c r="BD168" s="12">
        <f>IF('Données projet'!$A$88&gt;35,BD167+BC168-BL167,IF(A168&lt;'Données projet'!$A$88,$BA$205^A168,IF(A168='Données projet'!$A$88,'Données projet'!$B$88,BD167+BC168-BL167)))</f>
        <v>529.71799999999973</v>
      </c>
      <c r="BE168" s="13">
        <f>BD168*VLOOKUP('Données projet'!$B$11,Paramètres!$A$1:$I$89,3,0)*VLOOKUP('Données projet'!$B$11,Paramètres!$A$1:$I$89,5,0)</f>
        <v>504.07964879999975</v>
      </c>
      <c r="BF168" s="13">
        <f t="shared" si="167"/>
        <v>112.58494660961439</v>
      </c>
      <c r="BG168" s="20">
        <f t="shared" si="168"/>
        <v>1074.0241703384111</v>
      </c>
      <c r="BH168" s="59">
        <f t="shared" si="116"/>
        <v>1362.2502653667573</v>
      </c>
      <c r="BI168" s="59">
        <f ca="1">AVERAGE(OFFSET($BH$3,0,0,'Données projet'!$E$11+1,1))-AVERAGE(OFFSET($H$3,0,0,'Données projet'!$E$11+1,1))</f>
        <v>697.21496579331188</v>
      </c>
      <c r="BJ168" s="59">
        <f t="shared" si="146"/>
        <v>215.64914236948769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129.53392690779782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129.53392690779782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212.00000000000009</v>
      </c>
      <c r="BZ168" s="13">
        <f>BY168*VLOOKUP('Données projet'!$B$12,Paramètres!$A$1:$I$89,3,0)*VLOOKUP('Données projet'!$B$12,Paramètres!$A$1:$I$89,5,0)</f>
        <v>185.20320000000009</v>
      </c>
      <c r="CA168" s="13">
        <f t="shared" si="170"/>
        <v>46.477875402099386</v>
      </c>
      <c r="CB168" s="20">
        <f t="shared" si="171"/>
        <v>403.5112063253232</v>
      </c>
      <c r="CC168" s="59">
        <f t="shared" si="119"/>
        <v>691.73730135366941</v>
      </c>
      <c r="CD168" s="59">
        <f ca="1">AVERAGE(OFFSET($CC$3,0,0,'Données projet'!$E$12+1,1))-AVERAGE(OFFSET($H$3,0,0,'Données projet'!$E$12+1,1))</f>
        <v>330.58463337575432</v>
      </c>
      <c r="CE168" s="59">
        <f t="shared" si="148"/>
        <v>285.43250599232192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12.087657205830142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12.087657205830142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6">
        <f t="shared" si="110"/>
        <v>183.33333333333334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189.76714074331781</v>
      </c>
      <c r="T169" s="59">
        <f t="shared" si="142"/>
        <v>458.38901659119472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266.99999999999983</v>
      </c>
      <c r="AJ169" s="13">
        <f>AI169*VLOOKUP('Données projet'!$B$10,Paramètres!$A$1:$I$89,3,0)*VLOOKUP('Données projet'!$B$10,Paramètres!$A$1:$I$89,5,0)</f>
        <v>195.76439999999985</v>
      </c>
      <c r="AK169" s="13">
        <f t="shared" si="164"/>
        <v>48.812154563023455</v>
      </c>
      <c r="AL169" s="20">
        <f t="shared" si="165"/>
        <v>425.9708325305989</v>
      </c>
      <c r="AM169" s="59">
        <f t="shared" si="113"/>
        <v>714.28552672546232</v>
      </c>
      <c r="AN169" s="59">
        <f ca="1">AVERAGE(OFFSET($AM$3,0,0,'Données projet'!$E$10+1,1))-AVERAGE(OFFSET($H$3,0,0,'Données projet'!$E$10+1,1))</f>
        <v>302.36110224755532</v>
      </c>
      <c r="AO169" s="59">
        <f t="shared" si="144"/>
        <v>292.08583531469412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5.9075030269373414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5.9075030269373414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8.977999999999998</v>
      </c>
      <c r="BD169" s="12">
        <f>IF('Données projet'!$A$88&gt;35,BD168+BC169-BL168,IF(A169&lt;'Données projet'!$A$88,$BA$205^A169,IF(A169='Données projet'!$A$88,'Données projet'!$B$88,BD168+BC169-BL168)))</f>
        <v>538.69599999999969</v>
      </c>
      <c r="BE169" s="13">
        <f>BD169*VLOOKUP('Données projet'!$B$11,Paramètres!$A$1:$I$89,3,0)*VLOOKUP('Données projet'!$B$11,Paramètres!$A$1:$I$89,5,0)</f>
        <v>512.62311359999978</v>
      </c>
      <c r="BF169" s="13">
        <f t="shared" si="167"/>
        <v>114.26934563002628</v>
      </c>
      <c r="BG169" s="20">
        <f t="shared" si="168"/>
        <v>1091.8376998256288</v>
      </c>
      <c r="BH169" s="59">
        <f t="shared" si="116"/>
        <v>1380.1523940204922</v>
      </c>
      <c r="BI169" s="59">
        <f ca="1">AVERAGE(OFFSET($BH$3,0,0,'Données projet'!$E$11+1,1))-AVERAGE(OFFSET($H$3,0,0,'Données projet'!$E$11+1,1))</f>
        <v>697.21496579331188</v>
      </c>
      <c r="BJ169" s="59">
        <f t="shared" si="146"/>
        <v>215.64914236948769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126.99384560902993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126.99384560902993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212.00000000000009</v>
      </c>
      <c r="BZ169" s="13">
        <f>BY169*VLOOKUP('Données projet'!$B$12,Paramètres!$A$1:$I$89,3,0)*VLOOKUP('Données projet'!$B$12,Paramètres!$A$1:$I$89,5,0)</f>
        <v>185.20320000000009</v>
      </c>
      <c r="CA169" s="13">
        <f t="shared" si="170"/>
        <v>46.477875402099386</v>
      </c>
      <c r="CB169" s="20">
        <f t="shared" si="171"/>
        <v>403.5112063253232</v>
      </c>
      <c r="CC169" s="59">
        <f t="shared" si="119"/>
        <v>691.82590052018668</v>
      </c>
      <c r="CD169" s="59">
        <f ca="1">AVERAGE(OFFSET($CC$3,0,0,'Données projet'!$E$12+1,1))-AVERAGE(OFFSET($H$3,0,0,'Données projet'!$E$12+1,1))</f>
        <v>330.58463337575432</v>
      </c>
      <c r="CE169" s="59">
        <f t="shared" si="148"/>
        <v>285.43250599232192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11.850625620766712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11.850625620766712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6">
        <f t="shared" si="110"/>
        <v>183.33333333333334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189.76714074331781</v>
      </c>
      <c r="T170" s="59">
        <f t="shared" si="142"/>
        <v>458.38901659119472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266.99999999999983</v>
      </c>
      <c r="AJ170" s="13">
        <f>AI170*VLOOKUP('Données projet'!$B$10,Paramètres!$A$1:$I$89,3,0)*VLOOKUP('Données projet'!$B$10,Paramètres!$A$1:$I$89,5,0)</f>
        <v>195.76439999999985</v>
      </c>
      <c r="AK170" s="13">
        <f t="shared" si="164"/>
        <v>48.812154563023455</v>
      </c>
      <c r="AL170" s="20">
        <f t="shared" si="165"/>
        <v>425.9708325305989</v>
      </c>
      <c r="AM170" s="59">
        <f t="shared" si="113"/>
        <v>714.37258889451846</v>
      </c>
      <c r="AN170" s="59">
        <f ca="1">AVERAGE(OFFSET($AM$3,0,0,'Données projet'!$E$10+1,1))-AVERAGE(OFFSET($H$3,0,0,'Données projet'!$E$10+1,1))</f>
        <v>302.36110224755532</v>
      </c>
      <c r="AO170" s="59">
        <f t="shared" si="144"/>
        <v>292.08583531469412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5.7916604958001576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5.7916604958001576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8.977999999999998</v>
      </c>
      <c r="BD170" s="12">
        <f>IF('Données projet'!$A$88&gt;35,BD169+BC170-BL169,IF(A170&lt;'Données projet'!$A$88,$BA$205^A170,IF(A170='Données projet'!$A$88,'Données projet'!$B$88,BD169+BC170-BL169)))</f>
        <v>547.67399999999964</v>
      </c>
      <c r="BE170" s="13">
        <f>BD170*VLOOKUP('Données projet'!$B$11,Paramètres!$A$1:$I$89,3,0)*VLOOKUP('Données projet'!$B$11,Paramètres!$A$1:$I$89,5,0)</f>
        <v>521.16657839999971</v>
      </c>
      <c r="BF170" s="13">
        <f t="shared" si="167"/>
        <v>115.95048002107703</v>
      </c>
      <c r="BG170" s="20">
        <f t="shared" si="168"/>
        <v>1109.6455434167087</v>
      </c>
      <c r="BH170" s="59">
        <f t="shared" si="116"/>
        <v>1398.0472997806282</v>
      </c>
      <c r="BI170" s="59">
        <f ca="1">AVERAGE(OFFSET($BH$3,0,0,'Données projet'!$E$11+1,1))-AVERAGE(OFFSET($H$3,0,0,'Données projet'!$E$11+1,1))</f>
        <v>697.21496579331188</v>
      </c>
      <c r="BJ170" s="59">
        <f t="shared" si="146"/>
        <v>215.64914236948769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124.50357375523427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124.50357375523427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212.00000000000009</v>
      </c>
      <c r="BZ170" s="13">
        <f>BY170*VLOOKUP('Données projet'!$B$12,Paramètres!$A$1:$I$89,3,0)*VLOOKUP('Données projet'!$B$12,Paramètres!$A$1:$I$89,5,0)</f>
        <v>185.20320000000009</v>
      </c>
      <c r="CA170" s="13">
        <f t="shared" si="170"/>
        <v>46.477875402099386</v>
      </c>
      <c r="CB170" s="20">
        <f t="shared" si="171"/>
        <v>403.5112063253232</v>
      </c>
      <c r="CC170" s="59">
        <f t="shared" si="119"/>
        <v>691.91296268924282</v>
      </c>
      <c r="CD170" s="59">
        <f ca="1">AVERAGE(OFFSET($CC$3,0,0,'Données projet'!$E$12+1,1))-AVERAGE(OFFSET($H$3,0,0,'Données projet'!$E$12+1,1))</f>
        <v>330.58463337575432</v>
      </c>
      <c r="CE170" s="59">
        <f t="shared" si="148"/>
        <v>285.43250599232192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11.618242080511383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11.618242080511383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6">
        <f t="shared" si="110"/>
        <v>183.33333333333334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189.76714074331781</v>
      </c>
      <c r="T171" s="59">
        <f t="shared" si="142"/>
        <v>458.38901659119472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266.99999999999983</v>
      </c>
      <c r="AJ171" s="13">
        <f>AI171*VLOOKUP('Données projet'!$B$10,Paramètres!$A$1:$I$89,3,0)*VLOOKUP('Données projet'!$B$10,Paramètres!$A$1:$I$89,5,0)</f>
        <v>195.76439999999985</v>
      </c>
      <c r="AK171" s="13">
        <f t="shared" si="164"/>
        <v>48.812154563023455</v>
      </c>
      <c r="AL171" s="20">
        <f t="shared" si="165"/>
        <v>425.9708325305989</v>
      </c>
      <c r="AM171" s="59">
        <f t="shared" si="113"/>
        <v>714.45814072958342</v>
      </c>
      <c r="AN171" s="59">
        <f ca="1">AVERAGE(OFFSET($AM$3,0,0,'Données projet'!$E$10+1,1))-AVERAGE(OFFSET($H$3,0,0,'Données projet'!$E$10+1,1))</f>
        <v>302.36110224755532</v>
      </c>
      <c r="AO171" s="59">
        <f t="shared" si="144"/>
        <v>292.08583531469412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5.6780895660416073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5.6780895660416073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8.977999999999998</v>
      </c>
      <c r="BD171" s="12">
        <f>IF('Données projet'!$A$88&gt;35,BD170+BC171-BL170,IF(A171&lt;'Données projet'!$A$88,$BA$205^A171,IF(A171='Données projet'!$A$88,'Données projet'!$B$88,BD170+BC171-BL170)))</f>
        <v>556.65199999999959</v>
      </c>
      <c r="BE171" s="13">
        <f>BD171*VLOOKUP('Données projet'!$B$11,Paramètres!$A$1:$I$89,3,0)*VLOOKUP('Données projet'!$B$11,Paramètres!$A$1:$I$89,5,0)</f>
        <v>529.71004319999963</v>
      </c>
      <c r="BF171" s="13">
        <f t="shared" si="167"/>
        <v>117.6284094775115</v>
      </c>
      <c r="BG171" s="20">
        <f t="shared" si="168"/>
        <v>1127.4478050799985</v>
      </c>
      <c r="BH171" s="59">
        <f t="shared" si="116"/>
        <v>1415.935113278983</v>
      </c>
      <c r="BI171" s="59">
        <f ca="1">AVERAGE(OFFSET($BH$3,0,0,'Données projet'!$E$11+1,1))-AVERAGE(OFFSET($H$3,0,0,'Données projet'!$E$11+1,1))</f>
        <v>697.21496579331188</v>
      </c>
      <c r="BJ171" s="59">
        <f t="shared" si="146"/>
        <v>215.64914236948769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122.06213461357569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122.06213461357569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212.00000000000009</v>
      </c>
      <c r="BZ171" s="13">
        <f>BY171*VLOOKUP('Données projet'!$B$12,Paramètres!$A$1:$I$89,3,0)*VLOOKUP('Données projet'!$B$12,Paramètres!$A$1:$I$89,5,0)</f>
        <v>185.20320000000009</v>
      </c>
      <c r="CA171" s="13">
        <f t="shared" si="170"/>
        <v>46.477875402099386</v>
      </c>
      <c r="CB171" s="20">
        <f t="shared" si="171"/>
        <v>403.5112063253232</v>
      </c>
      <c r="CC171" s="59">
        <f t="shared" si="119"/>
        <v>691.99851452430767</v>
      </c>
      <c r="CD171" s="59">
        <f ca="1">AVERAGE(OFFSET($CC$3,0,0,'Données projet'!$E$12+1,1))-AVERAGE(OFFSET($H$3,0,0,'Données projet'!$E$12+1,1))</f>
        <v>330.58463337575432</v>
      </c>
      <c r="CE171" s="59">
        <f t="shared" si="148"/>
        <v>285.43250599232192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11.390415439740497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11.390415439740497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6">
        <f t="shared" si="110"/>
        <v>183.33333333333334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189.76714074331781</v>
      </c>
      <c r="T172" s="59">
        <f t="shared" si="142"/>
        <v>458.38901659119472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266.99999999999983</v>
      </c>
      <c r="AJ172" s="13">
        <f>AI172*VLOOKUP('Données projet'!$B$10,Paramètres!$A$1:$I$89,3,0)*VLOOKUP('Données projet'!$B$10,Paramètres!$A$1:$I$89,5,0)</f>
        <v>195.76439999999985</v>
      </c>
      <c r="AK172" s="13">
        <f t="shared" si="164"/>
        <v>48.812154563023455</v>
      </c>
      <c r="AL172" s="20">
        <f t="shared" si="165"/>
        <v>425.9708325305989</v>
      </c>
      <c r="AM172" s="59">
        <f t="shared" si="113"/>
        <v>714.54220843157532</v>
      </c>
      <c r="AN172" s="59">
        <f ca="1">AVERAGE(OFFSET($AM$3,0,0,'Données projet'!$E$10+1,1))-AVERAGE(OFFSET($H$3,0,0,'Données projet'!$E$10+1,1))</f>
        <v>302.36110224755532</v>
      </c>
      <c r="AO172" s="59">
        <f t="shared" si="144"/>
        <v>292.08583531469412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5.5667456929441945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5.5667456929441945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8.977999999999998</v>
      </c>
      <c r="BD172" s="12">
        <f>IF('Données projet'!$A$88&gt;35,BD171+BC172-BL171,IF(A172&lt;'Données projet'!$A$88,$BA$205^A172,IF(A172='Données projet'!$A$88,'Données projet'!$B$88,BD171+BC172-BL171)))</f>
        <v>565.62999999999954</v>
      </c>
      <c r="BE172" s="13">
        <f>BD172*VLOOKUP('Données projet'!$B$11,Paramètres!$A$1:$I$89,3,0)*VLOOKUP('Données projet'!$B$11,Paramètres!$A$1:$I$89,5,0)</f>
        <v>538.25350799999956</v>
      </c>
      <c r="BF172" s="13">
        <f t="shared" si="167"/>
        <v>119.30319165807148</v>
      </c>
      <c r="BG172" s="20">
        <f t="shared" si="168"/>
        <v>1145.2445852378071</v>
      </c>
      <c r="BH172" s="59">
        <f t="shared" si="116"/>
        <v>1433.8159611387835</v>
      </c>
      <c r="BI172" s="59">
        <f ca="1">AVERAGE(OFFSET($BH$3,0,0,'Données projet'!$E$11+1,1))-AVERAGE(OFFSET($H$3,0,0,'Données projet'!$E$11+1,1))</f>
        <v>697.21496579331188</v>
      </c>
      <c r="BJ172" s="59">
        <f t="shared" si="146"/>
        <v>215.64914236948769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119.6685706043542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119.6685706043542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212.00000000000009</v>
      </c>
      <c r="BZ172" s="13">
        <f>BY172*VLOOKUP('Données projet'!$B$12,Paramètres!$A$1:$I$89,3,0)*VLOOKUP('Données projet'!$B$12,Paramètres!$A$1:$I$89,5,0)</f>
        <v>185.20320000000009</v>
      </c>
      <c r="CA172" s="13">
        <f t="shared" si="170"/>
        <v>46.477875402099386</v>
      </c>
      <c r="CB172" s="20">
        <f t="shared" si="171"/>
        <v>403.5112063253232</v>
      </c>
      <c r="CC172" s="59">
        <f t="shared" si="119"/>
        <v>692.08258222629956</v>
      </c>
      <c r="CD172" s="59">
        <f ca="1">AVERAGE(OFFSET($CC$3,0,0,'Données projet'!$E$12+1,1))-AVERAGE(OFFSET($H$3,0,0,'Données projet'!$E$12+1,1))</f>
        <v>330.58463337575432</v>
      </c>
      <c r="CE172" s="59">
        <f t="shared" si="148"/>
        <v>285.43250599232192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11.167056340434598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11.167056340434598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6">
        <f t="shared" si="110"/>
        <v>183.33333333333334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189.76714074331781</v>
      </c>
      <c r="T173" s="59">
        <f t="shared" si="142"/>
        <v>458.38901659119472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266.99999999999983</v>
      </c>
      <c r="AJ173" s="13">
        <f>AI173*VLOOKUP('Données projet'!$B$10,Paramètres!$A$1:$I$89,3,0)*VLOOKUP('Données projet'!$B$10,Paramètres!$A$1:$I$89,5,0)</f>
        <v>195.76439999999985</v>
      </c>
      <c r="AK173" s="13">
        <f t="shared" si="164"/>
        <v>48.812154563023455</v>
      </c>
      <c r="AL173" s="20">
        <f t="shared" si="165"/>
        <v>425.9708325305989</v>
      </c>
      <c r="AM173" s="59">
        <f t="shared" si="113"/>
        <v>714.62481774688479</v>
      </c>
      <c r="AN173" s="59">
        <f ca="1">AVERAGE(OFFSET($AM$3,0,0,'Données projet'!$E$10+1,1))-AVERAGE(OFFSET($H$3,0,0,'Données projet'!$E$10+1,1))</f>
        <v>302.36110224755532</v>
      </c>
      <c r="AO173" s="59">
        <f t="shared" si="144"/>
        <v>292.08583531469412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5.4575852052851657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5.4575852052851657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8.977999999999998</v>
      </c>
      <c r="BD173" s="12">
        <f>IF('Données projet'!$A$88&gt;35,BD172+BC173-BL172,IF(A173&lt;'Données projet'!$A$88,$BA$205^A173,IF(A173='Données projet'!$A$88,'Données projet'!$B$88,BD172+BC173-BL172)))</f>
        <v>574.60799999999949</v>
      </c>
      <c r="BE173" s="13">
        <f>BD173*VLOOKUP('Données projet'!$B$11,Paramètres!$A$1:$I$89,3,0)*VLOOKUP('Données projet'!$B$11,Paramètres!$A$1:$I$89,5,0)</f>
        <v>546.79697279999959</v>
      </c>
      <c r="BF173" s="13">
        <f t="shared" si="167"/>
        <v>120.97488228613159</v>
      </c>
      <c r="BG173" s="20">
        <f t="shared" si="168"/>
        <v>1163.0359809416784</v>
      </c>
      <c r="BH173" s="59">
        <f t="shared" si="116"/>
        <v>1451.6899661579644</v>
      </c>
      <c r="BI173" s="59">
        <f ca="1">AVERAGE(OFFSET($BH$3,0,0,'Données projet'!$E$11+1,1))-AVERAGE(OFFSET($H$3,0,0,'Données projet'!$E$11+1,1))</f>
        <v>697.21496579331188</v>
      </c>
      <c r="BJ173" s="59">
        <f t="shared" si="146"/>
        <v>215.64914236948769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117.32194292542366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117.32194292542366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212.00000000000009</v>
      </c>
      <c r="BZ173" s="13">
        <f>BY173*VLOOKUP('Données projet'!$B$12,Paramètres!$A$1:$I$89,3,0)*VLOOKUP('Données projet'!$B$12,Paramètres!$A$1:$I$89,5,0)</f>
        <v>185.20320000000009</v>
      </c>
      <c r="CA173" s="13">
        <f t="shared" si="170"/>
        <v>46.477875402099386</v>
      </c>
      <c r="CB173" s="20">
        <f t="shared" si="171"/>
        <v>403.5112063253232</v>
      </c>
      <c r="CC173" s="59">
        <f t="shared" si="119"/>
        <v>692.16519154160915</v>
      </c>
      <c r="CD173" s="59">
        <f ca="1">AVERAGE(OFFSET($CC$3,0,0,'Données projet'!$E$12+1,1))-AVERAGE(OFFSET($H$3,0,0,'Données projet'!$E$12+1,1))</f>
        <v>330.58463337575432</v>
      </c>
      <c r="CE173" s="59">
        <f t="shared" si="148"/>
        <v>285.43250599232192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10.948077176830489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10.948077176830489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6">
        <f t="shared" si="110"/>
        <v>183.33333333333334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189.76714074331781</v>
      </c>
      <c r="T174" s="59">
        <f t="shared" si="142"/>
        <v>458.38901659119472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266.99999999999983</v>
      </c>
      <c r="AJ174" s="13">
        <f>AI174*VLOOKUP('Données projet'!$B$10,Paramètres!$A$1:$I$89,3,0)*VLOOKUP('Données projet'!$B$10,Paramètres!$A$1:$I$89,5,0)</f>
        <v>195.76439999999985</v>
      </c>
      <c r="AK174" s="13">
        <f t="shared" si="164"/>
        <v>48.812154563023455</v>
      </c>
      <c r="AL174" s="20">
        <f t="shared" si="165"/>
        <v>425.9708325305989</v>
      </c>
      <c r="AM174" s="59">
        <f t="shared" si="113"/>
        <v>714.70599397526041</v>
      </c>
      <c r="AN174" s="59">
        <f ca="1">AVERAGE(OFFSET($AM$3,0,0,'Données projet'!$E$10+1,1))-AVERAGE(OFFSET($H$3,0,0,'Données projet'!$E$10+1,1))</f>
        <v>302.36110224755532</v>
      </c>
      <c r="AO174" s="59">
        <f t="shared" si="144"/>
        <v>292.08583531469412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5.3505652882078074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5.3505652882078074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8.977999999999998</v>
      </c>
      <c r="BD174" s="12">
        <f>IF('Données projet'!$A$88&gt;35,BD173+BC174-BL173,IF(A174&lt;'Données projet'!$A$88,$BA$205^A174,IF(A174='Données projet'!$A$88,'Données projet'!$B$88,BD173+BC174-BL173)))</f>
        <v>583.58599999999944</v>
      </c>
      <c r="BE174" s="13">
        <f>BD174*VLOOKUP('Données projet'!$B$11,Paramètres!$A$1:$I$89,3,0)*VLOOKUP('Données projet'!$B$11,Paramètres!$A$1:$I$89,5,0)</f>
        <v>555.34043759999952</v>
      </c>
      <c r="BF174" s="13">
        <f t="shared" si="167"/>
        <v>122.64353524386648</v>
      </c>
      <c r="BG174" s="20">
        <f t="shared" si="168"/>
        <v>1180.8220860363999</v>
      </c>
      <c r="BH174" s="59">
        <f t="shared" si="116"/>
        <v>1469.5572474810615</v>
      </c>
      <c r="BI174" s="59">
        <f ca="1">AVERAGE(OFFSET($BH$3,0,0,'Données projet'!$E$11+1,1))-AVERAGE(OFFSET($H$3,0,0,'Données projet'!$E$11+1,1))</f>
        <v>697.21496579331188</v>
      </c>
      <c r="BJ174" s="59">
        <f t="shared" si="146"/>
        <v>215.64914236948769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115.02133118397539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115.02133118397539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212.00000000000009</v>
      </c>
      <c r="BZ174" s="13">
        <f>BY174*VLOOKUP('Données projet'!$B$12,Paramètres!$A$1:$I$89,3,0)*VLOOKUP('Données projet'!$B$12,Paramètres!$A$1:$I$89,5,0)</f>
        <v>185.20320000000009</v>
      </c>
      <c r="CA174" s="13">
        <f t="shared" si="170"/>
        <v>46.477875402099386</v>
      </c>
      <c r="CB174" s="20">
        <f t="shared" si="171"/>
        <v>403.5112063253232</v>
      </c>
      <c r="CC174" s="59">
        <f t="shared" si="119"/>
        <v>692.24636776998477</v>
      </c>
      <c r="CD174" s="59">
        <f ca="1">AVERAGE(OFFSET($CC$3,0,0,'Données projet'!$E$12+1,1))-AVERAGE(OFFSET($H$3,0,0,'Données projet'!$E$12+1,1))</f>
        <v>330.58463337575432</v>
      </c>
      <c r="CE174" s="59">
        <f t="shared" si="148"/>
        <v>285.43250599232192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10.733392061060556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10.733392061060556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6">
        <f t="shared" si="110"/>
        <v>183.33333333333334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189.76714074331781</v>
      </c>
      <c r="T175" s="59">
        <f t="shared" si="142"/>
        <v>458.38901659119472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266.99999999999983</v>
      </c>
      <c r="AJ175" s="13">
        <f>AI175*VLOOKUP('Données projet'!$B$10,Paramètres!$A$1:$I$89,3,0)*VLOOKUP('Données projet'!$B$10,Paramètres!$A$1:$I$89,5,0)</f>
        <v>195.76439999999985</v>
      </c>
      <c r="AK175" s="13">
        <f t="shared" si="164"/>
        <v>48.812154563023455</v>
      </c>
      <c r="AL175" s="20">
        <f t="shared" si="165"/>
        <v>425.9708325305989</v>
      </c>
      <c r="AM175" s="59">
        <f t="shared" si="113"/>
        <v>714.7857619775566</v>
      </c>
      <c r="AN175" s="59">
        <f ca="1">AVERAGE(OFFSET($AM$3,0,0,'Données projet'!$E$10+1,1))-AVERAGE(OFFSET($H$3,0,0,'Données projet'!$E$10+1,1))</f>
        <v>302.36110224755532</v>
      </c>
      <c r="AO175" s="59">
        <f t="shared" si="144"/>
        <v>292.08583531469412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5.2456439664286316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5.2456439664286316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8.977999999999998</v>
      </c>
      <c r="BD175" s="12">
        <f>IF('Données projet'!$A$88&gt;35,BD174+BC175-BL174,IF(A175&lt;'Données projet'!$A$88,$BA$205^A175,IF(A175='Données projet'!$A$88,'Données projet'!$B$88,BD174+BC175-BL174)))</f>
        <v>592.5639999999994</v>
      </c>
      <c r="BE175" s="13">
        <f>BD175*VLOOKUP('Données projet'!$B$11,Paramètres!$A$1:$I$89,3,0)*VLOOKUP('Données projet'!$B$11,Paramètres!$A$1:$I$89,5,0)</f>
        <v>563.88390239999944</v>
      </c>
      <c r="BF175" s="13">
        <f t="shared" si="167"/>
        <v>124.30920266045823</v>
      </c>
      <c r="BG175" s="20">
        <f t="shared" si="168"/>
        <v>1198.6029913136304</v>
      </c>
      <c r="BH175" s="59">
        <f t="shared" si="116"/>
        <v>1487.417920760588</v>
      </c>
      <c r="BI175" s="59">
        <f ca="1">AVERAGE(OFFSET($BH$3,0,0,'Données projet'!$E$11+1,1))-AVERAGE(OFFSET($H$3,0,0,'Données projet'!$E$11+1,1))</f>
        <v>697.21496579331188</v>
      </c>
      <c r="BJ175" s="59">
        <f t="shared" si="146"/>
        <v>215.64914236948769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112.76583303554231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112.76583303554231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212.00000000000009</v>
      </c>
      <c r="BZ175" s="13">
        <f>BY175*VLOOKUP('Données projet'!$B$12,Paramètres!$A$1:$I$89,3,0)*VLOOKUP('Données projet'!$B$12,Paramètres!$A$1:$I$89,5,0)</f>
        <v>185.20320000000009</v>
      </c>
      <c r="CA175" s="13">
        <f t="shared" si="170"/>
        <v>46.477875402099386</v>
      </c>
      <c r="CB175" s="20">
        <f t="shared" si="171"/>
        <v>403.5112063253232</v>
      </c>
      <c r="CC175" s="59">
        <f t="shared" si="119"/>
        <v>692.32613577228085</v>
      </c>
      <c r="CD175" s="59">
        <f ca="1">AVERAGE(OFFSET($CC$3,0,0,'Données projet'!$E$12+1,1))-AVERAGE(OFFSET($H$3,0,0,'Données projet'!$E$12+1,1))</f>
        <v>330.58463337575432</v>
      </c>
      <c r="CE175" s="59">
        <f t="shared" si="148"/>
        <v>285.43250599232192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10.52291678946588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10.52291678946588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6">
        <f t="shared" si="110"/>
        <v>183.33333333333334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189.76714074331781</v>
      </c>
      <c r="T176" s="59">
        <f t="shared" si="142"/>
        <v>458.38901659119472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266.99999999999983</v>
      </c>
      <c r="AJ176" s="13">
        <f>AI176*VLOOKUP('Données projet'!$B$10,Paramètres!$A$1:$I$89,3,0)*VLOOKUP('Données projet'!$B$10,Paramètres!$A$1:$I$89,5,0)</f>
        <v>195.76439999999985</v>
      </c>
      <c r="AK176" s="13">
        <f t="shared" si="164"/>
        <v>48.812154563023455</v>
      </c>
      <c r="AL176" s="20">
        <f t="shared" si="165"/>
        <v>425.9708325305989</v>
      </c>
      <c r="AM176" s="59">
        <f t="shared" si="113"/>
        <v>714.86414618334743</v>
      </c>
      <c r="AN176" s="59">
        <f ca="1">AVERAGE(OFFSET($AM$3,0,0,'Données projet'!$E$10+1,1))-AVERAGE(OFFSET($H$3,0,0,'Données projet'!$E$10+1,1))</f>
        <v>302.36110224755532</v>
      </c>
      <c r="AO176" s="59">
        <f t="shared" si="144"/>
        <v>292.08583531469412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5.1427800877738585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5.1427800877738585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8.977999999999998</v>
      </c>
      <c r="BD176" s="12">
        <f>IF('Données projet'!$A$88&gt;35,BD175+BC176-BL175,IF(A176&lt;'Données projet'!$A$88,$BA$205^A176,IF(A176='Données projet'!$A$88,'Données projet'!$B$88,BD175+BC176-BL175)))</f>
        <v>601.54199999999935</v>
      </c>
      <c r="BE176" s="13">
        <f>BD176*VLOOKUP('Données projet'!$B$11,Paramètres!$A$1:$I$89,3,0)*VLOOKUP('Données projet'!$B$11,Paramètres!$A$1:$I$89,5,0)</f>
        <v>572.42736719999937</v>
      </c>
      <c r="BF176" s="13">
        <f t="shared" si="167"/>
        <v>125.97193499480747</v>
      </c>
      <c r="BG176" s="20">
        <f t="shared" si="168"/>
        <v>1216.3787846559553</v>
      </c>
      <c r="BH176" s="59">
        <f t="shared" si="116"/>
        <v>1505.2720983087038</v>
      </c>
      <c r="BI176" s="59">
        <f ca="1">AVERAGE(OFFSET($BH$3,0,0,'Données projet'!$E$11+1,1))-AVERAGE(OFFSET($H$3,0,0,'Données projet'!$E$11+1,1))</f>
        <v>697.21496579331188</v>
      </c>
      <c r="BJ176" s="59">
        <f t="shared" si="146"/>
        <v>215.64914236948769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110.55456383008199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110.55456383008199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212.00000000000009</v>
      </c>
      <c r="BZ176" s="13">
        <f>BY176*VLOOKUP('Données projet'!$B$12,Paramètres!$A$1:$I$89,3,0)*VLOOKUP('Données projet'!$B$12,Paramètres!$A$1:$I$89,5,0)</f>
        <v>185.20320000000009</v>
      </c>
      <c r="CA176" s="13">
        <f t="shared" si="170"/>
        <v>46.477875402099386</v>
      </c>
      <c r="CB176" s="20">
        <f t="shared" si="171"/>
        <v>403.5112063253232</v>
      </c>
      <c r="CC176" s="59">
        <f t="shared" si="119"/>
        <v>692.40451997807168</v>
      </c>
      <c r="CD176" s="59">
        <f ca="1">AVERAGE(OFFSET($CC$3,0,0,'Données projet'!$E$12+1,1))-AVERAGE(OFFSET($H$3,0,0,'Données projet'!$E$12+1,1))</f>
        <v>330.58463337575432</v>
      </c>
      <c r="CE176" s="59">
        <f t="shared" si="148"/>
        <v>285.43250599232192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10.316568809569937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10.316568809569937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6">
        <f t="shared" si="110"/>
        <v>183.33333333333334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189.76714074331781</v>
      </c>
      <c r="T177" s="59">
        <f t="shared" si="142"/>
        <v>458.38901659119472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266.99999999999983</v>
      </c>
      <c r="AJ177" s="13">
        <f>AI177*VLOOKUP('Données projet'!$B$10,Paramètres!$A$1:$I$89,3,0)*VLOOKUP('Données projet'!$B$10,Paramètres!$A$1:$I$89,5,0)</f>
        <v>195.76439999999985</v>
      </c>
      <c r="AK177" s="13">
        <f t="shared" si="164"/>
        <v>48.812154563023455</v>
      </c>
      <c r="AL177" s="20">
        <f t="shared" si="165"/>
        <v>425.9708325305989</v>
      </c>
      <c r="AM177" s="59">
        <f t="shared" si="113"/>
        <v>714.94117059840869</v>
      </c>
      <c r="AN177" s="59">
        <f ca="1">AVERAGE(OFFSET($AM$3,0,0,'Données projet'!$E$10+1,1))-AVERAGE(OFFSET($H$3,0,0,'Données projet'!$E$10+1,1))</f>
        <v>302.36110224755532</v>
      </c>
      <c r="AO177" s="59">
        <f t="shared" si="144"/>
        <v>292.08583531469412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5.0419333070387351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5.0419333070387351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610.52</v>
      </c>
      <c r="BB177" s="12">
        <f>VLOOKUP(A177,'Données projet'!$A$87:$I$107,9,0)</f>
        <v>8.977999999999998</v>
      </c>
      <c r="BC177" s="12">
        <f t="array" ref="BC177">INDEX(BB:BB,MIN(IF(ISNUMBER(BB177:BB373),ROW(BB177:BB373),"")))</f>
        <v>8.977999999999998</v>
      </c>
      <c r="BD177" s="12">
        <f>IF('Données projet'!$A$88&gt;35,BD176+BC177-BL176,IF(A177&lt;'Données projet'!$A$88,$BA$205^A177,IF(A177='Données projet'!$A$88,'Données projet'!$B$88,BD176+BC177-BL176)))</f>
        <v>610.5199999999993</v>
      </c>
      <c r="BE177" s="13">
        <f>BD177*VLOOKUP('Données projet'!$B$11,Paramètres!$A$1:$I$89,3,0)*VLOOKUP('Données projet'!$B$11,Paramètres!$A$1:$I$89,5,0)</f>
        <v>580.9708319999994</v>
      </c>
      <c r="BF177" s="13">
        <f t="shared" si="167"/>
        <v>127.63178111316594</v>
      </c>
      <c r="BG177" s="20">
        <f t="shared" si="168"/>
        <v>1234.1495511720962</v>
      </c>
      <c r="BH177" s="59">
        <f t="shared" si="116"/>
        <v>1523.1198892399059</v>
      </c>
      <c r="BI177" s="59">
        <f ca="1">AVERAGE(OFFSET($BH$3,0,0,'Données projet'!$E$11+1,1))-AVERAGE(OFFSET($H$3,0,0,'Données projet'!$E$11+1,1))</f>
        <v>697.21496579331188</v>
      </c>
      <c r="BJ177" s="59">
        <f t="shared" si="146"/>
        <v>215.64914236948769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214.77</v>
      </c>
      <c r="BM177" s="16">
        <f>IF(ISNA(VLOOKUP(A177,'Données projet'!$A$87:$I$107,5,0)),0%,VLOOKUP(A177,'Données projet'!$A$87:$I$107,5,0)*VLOOKUP('Données projet'!$B$11,Paramètres!$A$1:$I$89,7,0))</f>
        <v>0.43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205.53683780282853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205.53683780282853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212.00000000000009</v>
      </c>
      <c r="BZ177" s="13">
        <f>BY177*VLOOKUP('Données projet'!$B$12,Paramètres!$A$1:$I$89,3,0)*VLOOKUP('Données projet'!$B$12,Paramètres!$A$1:$I$89,5,0)</f>
        <v>185.20320000000009</v>
      </c>
      <c r="CA177" s="13">
        <f t="shared" si="170"/>
        <v>46.477875402099386</v>
      </c>
      <c r="CB177" s="20">
        <f t="shared" si="171"/>
        <v>403.5112063253232</v>
      </c>
      <c r="CC177" s="59">
        <f t="shared" si="119"/>
        <v>692.48154439313294</v>
      </c>
      <c r="CD177" s="59">
        <f ca="1">AVERAGE(OFFSET($CC$3,0,0,'Données projet'!$E$12+1,1))-AVERAGE(OFFSET($H$3,0,0,'Données projet'!$E$12+1,1))</f>
        <v>330.58463337575432</v>
      </c>
      <c r="CE177" s="59">
        <f t="shared" si="148"/>
        <v>285.43250599232192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10.114267187699912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10.114267187699912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6">
        <f t="shared" si="110"/>
        <v>183.33333333333334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189.76714074331781</v>
      </c>
      <c r="T178" s="59">
        <f t="shared" si="142"/>
        <v>458.38901659119472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266.99999999999983</v>
      </c>
      <c r="AJ178" s="13">
        <f>AI178*VLOOKUP('Données projet'!$B$10,Paramètres!$A$1:$I$89,3,0)*VLOOKUP('Données projet'!$B$10,Paramètres!$A$1:$I$89,5,0)</f>
        <v>195.76439999999985</v>
      </c>
      <c r="AK178" s="13">
        <f t="shared" si="164"/>
        <v>48.812154563023455</v>
      </c>
      <c r="AL178" s="20">
        <f t="shared" si="165"/>
        <v>425.9708325305989</v>
      </c>
      <c r="AM178" s="59">
        <f t="shared" si="113"/>
        <v>715.01685881206936</v>
      </c>
      <c r="AN178" s="59">
        <f ca="1">AVERAGE(OFFSET($AM$3,0,0,'Données projet'!$E$10+1,1))-AVERAGE(OFFSET($H$3,0,0,'Données projet'!$E$10+1,1))</f>
        <v>302.36110224755532</v>
      </c>
      <c r="AO178" s="59">
        <f t="shared" si="144"/>
        <v>292.08583531469412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4.9430640701633646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4.9430640701633646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-2.2700000000000009</v>
      </c>
      <c r="BD178" s="12">
        <f>IF('Données projet'!$A$88&gt;35,BD177+BC178-BL177,IF(A178&lt;'Données projet'!$A$88,$BA$205^A178,IF(A178='Données projet'!$A$88,'Données projet'!$B$88,BD177+BC178-BL177)))</f>
        <v>393.47999999999934</v>
      </c>
      <c r="BE178" s="13">
        <f>BD178*VLOOKUP('Données projet'!$B$11,Paramètres!$A$1:$I$89,3,0)*VLOOKUP('Données projet'!$B$11,Paramètres!$A$1:$I$89,5,0)</f>
        <v>374.43556799999936</v>
      </c>
      <c r="BF178" s="13">
        <f t="shared" si="167"/>
        <v>86.574116251768999</v>
      </c>
      <c r="BG178" s="20">
        <f t="shared" si="168"/>
        <v>802.92520007182975</v>
      </c>
      <c r="BH178" s="59">
        <f t="shared" si="116"/>
        <v>1091.9712263533002</v>
      </c>
      <c r="BI178" s="59">
        <f ca="1">AVERAGE(OFFSET($BH$3,0,0,'Données projet'!$E$11+1,1))-AVERAGE(OFFSET($H$3,0,0,'Données projet'!$E$11+1,1))</f>
        <v>697.21496579331188</v>
      </c>
      <c r="BJ178" s="59">
        <f t="shared" si="146"/>
        <v>215.64914236948769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201.50638577860735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201.50638577860735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212.00000000000009</v>
      </c>
      <c r="BZ178" s="13">
        <f>BY178*VLOOKUP('Données projet'!$B$12,Paramètres!$A$1:$I$89,3,0)*VLOOKUP('Données projet'!$B$12,Paramètres!$A$1:$I$89,5,0)</f>
        <v>185.20320000000009</v>
      </c>
      <c r="CA178" s="13">
        <f t="shared" si="170"/>
        <v>46.477875402099386</v>
      </c>
      <c r="CB178" s="20">
        <f t="shared" si="171"/>
        <v>403.5112063253232</v>
      </c>
      <c r="CC178" s="59">
        <f t="shared" si="119"/>
        <v>692.5572326067936</v>
      </c>
      <c r="CD178" s="59">
        <f ca="1">AVERAGE(OFFSET($CC$3,0,0,'Données projet'!$E$12+1,1))-AVERAGE(OFFSET($H$3,0,0,'Données projet'!$E$12+1,1))</f>
        <v>330.58463337575432</v>
      </c>
      <c r="CE178" s="59">
        <f t="shared" si="148"/>
        <v>285.43250599232192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9.9159325772429536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9.9159325772429536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6">
        <f t="shared" si="110"/>
        <v>183.33333333333334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189.76714074331781</v>
      </c>
      <c r="T179" s="59">
        <f t="shared" si="142"/>
        <v>458.38901659119472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266.99999999999983</v>
      </c>
      <c r="AJ179" s="13">
        <f>AI179*VLOOKUP('Données projet'!$B$10,Paramètres!$A$1:$I$89,3,0)*VLOOKUP('Données projet'!$B$10,Paramètres!$A$1:$I$89,5,0)</f>
        <v>195.76439999999985</v>
      </c>
      <c r="AK179" s="13">
        <f t="shared" si="164"/>
        <v>48.812154563023455</v>
      </c>
      <c r="AL179" s="20">
        <f t="shared" si="165"/>
        <v>425.9708325305989</v>
      </c>
      <c r="AM179" s="59">
        <f t="shared" si="113"/>
        <v>715.0912340044365</v>
      </c>
      <c r="AN179" s="59">
        <f ca="1">AVERAGE(OFFSET($AM$3,0,0,'Données projet'!$E$10+1,1))-AVERAGE(OFFSET($H$3,0,0,'Données projet'!$E$10+1,1))</f>
        <v>302.36110224755532</v>
      </c>
      <c r="AO179" s="59">
        <f t="shared" si="144"/>
        <v>292.08583531469412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4.8461335987188399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4.8461335987188399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-2.2700000000000009</v>
      </c>
      <c r="BD179" s="12">
        <f>IF('Données projet'!$A$88&gt;35,BD178+BC179-BL178,IF(A179&lt;'Données projet'!$A$88,$BA$205^A179,IF(A179='Données projet'!$A$88,'Données projet'!$B$88,BD178+BC179-BL178)))</f>
        <v>391.20999999999935</v>
      </c>
      <c r="BE179" s="13">
        <f>BD179*VLOOKUP('Données projet'!$B$11,Paramètres!$A$1:$I$89,3,0)*VLOOKUP('Données projet'!$B$11,Paramètres!$A$1:$I$89,5,0)</f>
        <v>372.27543599999939</v>
      </c>
      <c r="BF179" s="13">
        <f t="shared" si="167"/>
        <v>86.132654506536269</v>
      </c>
      <c r="BG179" s="20">
        <f t="shared" si="168"/>
        <v>798.39409096554948</v>
      </c>
      <c r="BH179" s="59">
        <f t="shared" si="116"/>
        <v>1087.5144924393871</v>
      </c>
      <c r="BI179" s="59">
        <f ca="1">AVERAGE(OFFSET($BH$3,0,0,'Données projet'!$E$11+1,1))-AVERAGE(OFFSET($H$3,0,0,'Données projet'!$E$11+1,1))</f>
        <v>697.21496579331188</v>
      </c>
      <c r="BJ179" s="59">
        <f t="shared" si="146"/>
        <v>215.64914236948769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197.55496846024815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197.55496846024815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212.00000000000009</v>
      </c>
      <c r="BZ179" s="13">
        <f>BY179*VLOOKUP('Données projet'!$B$12,Paramètres!$A$1:$I$89,3,0)*VLOOKUP('Données projet'!$B$12,Paramètres!$A$1:$I$89,5,0)</f>
        <v>185.20320000000009</v>
      </c>
      <c r="CA179" s="13">
        <f t="shared" si="170"/>
        <v>46.477875402099386</v>
      </c>
      <c r="CB179" s="20">
        <f t="shared" si="171"/>
        <v>403.5112063253232</v>
      </c>
      <c r="CC179" s="59">
        <f t="shared" si="119"/>
        <v>692.63160779916075</v>
      </c>
      <c r="CD179" s="59">
        <f ca="1">AVERAGE(OFFSET($CC$3,0,0,'Données projet'!$E$12+1,1))-AVERAGE(OFFSET($H$3,0,0,'Données projet'!$E$12+1,1))</f>
        <v>330.58463337575432</v>
      </c>
      <c r="CE179" s="59">
        <f t="shared" si="148"/>
        <v>285.43250599232192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9.7214871875248896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9.7214871875248896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6">
        <f t="shared" si="110"/>
        <v>183.33333333333334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189.76714074331781</v>
      </c>
      <c r="T180" s="59">
        <f t="shared" si="142"/>
        <v>458.38901659119472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266.99999999999983</v>
      </c>
      <c r="AJ180" s="13">
        <f>AI180*VLOOKUP('Données projet'!$B$10,Paramètres!$A$1:$I$89,3,0)*VLOOKUP('Données projet'!$B$10,Paramètres!$A$1:$I$89,5,0)</f>
        <v>195.76439999999985</v>
      </c>
      <c r="AK180" s="13">
        <f t="shared" si="164"/>
        <v>48.812154563023455</v>
      </c>
      <c r="AL180" s="20">
        <f t="shared" si="165"/>
        <v>425.9708325305989</v>
      </c>
      <c r="AM180" s="59">
        <f t="shared" si="113"/>
        <v>715.1643189534941</v>
      </c>
      <c r="AN180" s="59">
        <f ca="1">AVERAGE(OFFSET($AM$3,0,0,'Données projet'!$E$10+1,1))-AVERAGE(OFFSET($H$3,0,0,'Données projet'!$E$10+1,1))</f>
        <v>302.36110224755532</v>
      </c>
      <c r="AO180" s="59">
        <f t="shared" si="144"/>
        <v>292.08583531469412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4.7511038746975931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4.7511038746975931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388.94</v>
      </c>
      <c r="BB180" s="12">
        <f>VLOOKUP(A180,'Données projet'!$A$87:$I$107,9,0)</f>
        <v>-2.2700000000000009</v>
      </c>
      <c r="BC180" s="12">
        <f t="array" ref="BC180">INDEX(BB:BB,MIN(IF(ISNUMBER(BB180:BB376),ROW(BB180:BB376),"")))</f>
        <v>-2.2700000000000009</v>
      </c>
      <c r="BD180" s="12">
        <f>IF('Données projet'!$A$88&gt;35,BD179+BC180-BL179,IF(A180&lt;'Données projet'!$A$88,$BA$205^A180,IF(A180='Données projet'!$A$88,'Données projet'!$B$88,BD179+BC180-BL179)))</f>
        <v>388.93999999999937</v>
      </c>
      <c r="BE180" s="13">
        <f>BD180*VLOOKUP('Données projet'!$B$11,Paramètres!$A$1:$I$89,3,0)*VLOOKUP('Données projet'!$B$11,Paramètres!$A$1:$I$89,5,0)</f>
        <v>370.11530399999941</v>
      </c>
      <c r="BF180" s="13">
        <f t="shared" si="167"/>
        <v>85.69089449017487</v>
      </c>
      <c r="BG180" s="20">
        <f t="shared" si="168"/>
        <v>793.86246237038677</v>
      </c>
      <c r="BH180" s="59">
        <f t="shared" si="116"/>
        <v>1083.0559487932819</v>
      </c>
      <c r="BI180" s="59">
        <f ca="1">AVERAGE(OFFSET($BH$3,0,0,'Données projet'!$E$11+1,1))-AVERAGE(OFFSET($H$3,0,0,'Données projet'!$E$11+1,1))</f>
        <v>697.21496579331188</v>
      </c>
      <c r="BJ180" s="59">
        <f t="shared" si="146"/>
        <v>215.64914236948769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115.19</v>
      </c>
      <c r="BM180" s="16">
        <f>IF(ISNA(VLOOKUP(A180,'Données projet'!$A$87:$I$107,5,0)),0%,VLOOKUP(A180,'Données projet'!$A$87:$I$107,5,0)*VLOOKUP('Données projet'!$B$11,Paramètres!$A$1:$I$89,7,0))</f>
        <v>0.43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245.78668118690868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245.78668118690868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212.00000000000009</v>
      </c>
      <c r="BZ180" s="13">
        <f>BY180*VLOOKUP('Données projet'!$B$12,Paramètres!$A$1:$I$89,3,0)*VLOOKUP('Données projet'!$B$12,Paramètres!$A$1:$I$89,5,0)</f>
        <v>185.20320000000009</v>
      </c>
      <c r="CA180" s="13">
        <f t="shared" si="170"/>
        <v>46.477875402099386</v>
      </c>
      <c r="CB180" s="20">
        <f t="shared" si="171"/>
        <v>403.5112063253232</v>
      </c>
      <c r="CC180" s="59">
        <f t="shared" si="119"/>
        <v>692.70469274821846</v>
      </c>
      <c r="CD180" s="59">
        <f ca="1">AVERAGE(OFFSET($CC$3,0,0,'Données projet'!$E$12+1,1))-AVERAGE(OFFSET($H$3,0,0,'Données projet'!$E$12+1,1))</f>
        <v>330.58463337575432</v>
      </c>
      <c r="CE180" s="59">
        <f t="shared" si="148"/>
        <v>285.43250599232192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9.5308547532992201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9.5308547532992201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6">
        <f t="shared" si="110"/>
        <v>183.33333333333334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189.76714074331781</v>
      </c>
      <c r="T181" s="59">
        <f t="shared" si="142"/>
        <v>458.38901659119472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266.99999999999983</v>
      </c>
      <c r="AJ181" s="13">
        <f>AI181*VLOOKUP('Données projet'!$B$10,Paramètres!$A$1:$I$89,3,0)*VLOOKUP('Données projet'!$B$10,Paramètres!$A$1:$I$89,5,0)</f>
        <v>195.76439999999985</v>
      </c>
      <c r="AK181" s="13">
        <f t="shared" si="164"/>
        <v>48.812154563023455</v>
      </c>
      <c r="AL181" s="20">
        <f t="shared" si="165"/>
        <v>425.9708325305989</v>
      </c>
      <c r="AM181" s="59">
        <f t="shared" si="113"/>
        <v>715.23613604207912</v>
      </c>
      <c r="AN181" s="59">
        <f ca="1">AVERAGE(OFFSET($AM$3,0,0,'Données projet'!$E$10+1,1))-AVERAGE(OFFSET($H$3,0,0,'Données projet'!$E$10+1,1))</f>
        <v>302.36110224755532</v>
      </c>
      <c r="AO181" s="59">
        <f t="shared" si="144"/>
        <v>292.08583531469412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4.6579376256019946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4.6579376256019946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-0.72999999999999921</v>
      </c>
      <c r="BD181" s="12">
        <f>IF('Données projet'!$A$88&gt;35,BD180+BC181-BL180,IF(A181&lt;'Données projet'!$A$88,$BA$205^A181,IF(A181='Données projet'!$A$88,'Données projet'!$B$88,BD180+BC181-BL180)))</f>
        <v>273.01999999999936</v>
      </c>
      <c r="BE181" s="13">
        <f>BD181*VLOOKUP('Données projet'!$B$11,Paramètres!$A$1:$I$89,3,0)*VLOOKUP('Données projet'!$B$11,Paramètres!$A$1:$I$89,5,0)</f>
        <v>259.80583199999938</v>
      </c>
      <c r="BF181" s="13">
        <f t="shared" si="167"/>
        <v>62.680987385657332</v>
      </c>
      <c r="BG181" s="20">
        <f t="shared" si="168"/>
        <v>561.66454376335207</v>
      </c>
      <c r="BH181" s="59">
        <f t="shared" si="116"/>
        <v>850.92984727483224</v>
      </c>
      <c r="BI181" s="59">
        <f ca="1">AVERAGE(OFFSET($BH$3,0,0,'Données projet'!$E$11+1,1))-AVERAGE(OFFSET($H$3,0,0,'Données projet'!$E$11+1,1))</f>
        <v>697.21496579331188</v>
      </c>
      <c r="BJ181" s="59">
        <f t="shared" si="146"/>
        <v>215.64914236948769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240.96695428390603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240.96695428390603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212.00000000000009</v>
      </c>
      <c r="BZ181" s="13">
        <f>BY181*VLOOKUP('Données projet'!$B$12,Paramètres!$A$1:$I$89,3,0)*VLOOKUP('Données projet'!$B$12,Paramètres!$A$1:$I$89,5,0)</f>
        <v>185.20320000000009</v>
      </c>
      <c r="CA181" s="13">
        <f t="shared" si="170"/>
        <v>46.477875402099386</v>
      </c>
      <c r="CB181" s="20">
        <f t="shared" si="171"/>
        <v>403.5112063253232</v>
      </c>
      <c r="CC181" s="59">
        <f t="shared" si="119"/>
        <v>692.77650983680337</v>
      </c>
      <c r="CD181" s="59">
        <f ca="1">AVERAGE(OFFSET($CC$3,0,0,'Données projet'!$E$12+1,1))-AVERAGE(OFFSET($H$3,0,0,'Données projet'!$E$12+1,1))</f>
        <v>330.58463337575432</v>
      </c>
      <c r="CE181" s="59">
        <f t="shared" si="148"/>
        <v>285.43250599232192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9.3439605048344117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9.3439605048344117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6">
        <f t="shared" si="110"/>
        <v>183.33333333333334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189.76714074331781</v>
      </c>
      <c r="T182" s="59">
        <f t="shared" si="142"/>
        <v>458.38901659119472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266.99999999999983</v>
      </c>
      <c r="AJ182" s="13">
        <f>AI182*VLOOKUP('Données projet'!$B$10,Paramètres!$A$1:$I$89,3,0)*VLOOKUP('Données projet'!$B$10,Paramètres!$A$1:$I$89,5,0)</f>
        <v>195.76439999999985</v>
      </c>
      <c r="AK182" s="13">
        <f t="shared" si="164"/>
        <v>48.812154563023455</v>
      </c>
      <c r="AL182" s="20">
        <f t="shared" si="165"/>
        <v>425.9708325305989</v>
      </c>
      <c r="AM182" s="59">
        <f t="shared" si="113"/>
        <v>715.30670726473602</v>
      </c>
      <c r="AN182" s="59">
        <f ca="1">AVERAGE(OFFSET($AM$3,0,0,'Données projet'!$E$10+1,1))-AVERAGE(OFFSET($H$3,0,0,'Données projet'!$E$10+1,1))</f>
        <v>302.36110224755532</v>
      </c>
      <c r="AO182" s="59">
        <f t="shared" si="144"/>
        <v>292.08583531469412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4.56659830982536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4.56659830982536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-0.72999999999999921</v>
      </c>
      <c r="BD182" s="12">
        <f>IF('Données projet'!$A$88&gt;35,BD181+BC182-BL181,IF(A182&lt;'Données projet'!$A$88,$BA$205^A182,IF(A182='Données projet'!$A$88,'Données projet'!$B$88,BD181+BC182-BL181)))</f>
        <v>272.28999999999934</v>
      </c>
      <c r="BE182" s="13">
        <f>BD182*VLOOKUP('Données projet'!$B$11,Paramètres!$A$1:$I$89,3,0)*VLOOKUP('Données projet'!$B$11,Paramètres!$A$1:$I$89,5,0)</f>
        <v>259.11116399999935</v>
      </c>
      <c r="BF182" s="13">
        <f t="shared" si="167"/>
        <v>62.532876295377314</v>
      </c>
      <c r="BG182" s="20">
        <f t="shared" si="168"/>
        <v>560.19670351444768</v>
      </c>
      <c r="BH182" s="59">
        <f t="shared" si="116"/>
        <v>849.53257824858474</v>
      </c>
      <c r="BI182" s="59">
        <f ca="1">AVERAGE(OFFSET($BH$3,0,0,'Données projet'!$E$11+1,1))-AVERAGE(OFFSET($H$3,0,0,'Données projet'!$E$11+1,1))</f>
        <v>697.21496579331188</v>
      </c>
      <c r="BJ182" s="59">
        <f t="shared" si="146"/>
        <v>215.64914236948769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236.24173928572813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236.24173928572813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212.00000000000009</v>
      </c>
      <c r="BZ182" s="13">
        <f>BY182*VLOOKUP('Données projet'!$B$12,Paramètres!$A$1:$I$89,3,0)*VLOOKUP('Données projet'!$B$12,Paramètres!$A$1:$I$89,5,0)</f>
        <v>185.20320000000009</v>
      </c>
      <c r="CA182" s="13">
        <f t="shared" si="170"/>
        <v>46.477875402099386</v>
      </c>
      <c r="CB182" s="20">
        <f t="shared" si="171"/>
        <v>403.5112063253232</v>
      </c>
      <c r="CC182" s="59">
        <f t="shared" si="119"/>
        <v>692.84708105946038</v>
      </c>
      <c r="CD182" s="59">
        <f ca="1">AVERAGE(OFFSET($CC$3,0,0,'Données projet'!$E$12+1,1))-AVERAGE(OFFSET($H$3,0,0,'Données projet'!$E$12+1,1))</f>
        <v>330.58463337575432</v>
      </c>
      <c r="CE182" s="59">
        <f t="shared" si="148"/>
        <v>285.43250599232192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9.1607311385877619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9.1607311385877619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6">
        <f t="shared" si="110"/>
        <v>183.33333333333334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189.76714074331781</v>
      </c>
      <c r="T183" s="59">
        <f t="shared" si="142"/>
        <v>458.38901659119472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266.99999999999983</v>
      </c>
      <c r="AJ183" s="13">
        <f>AI183*VLOOKUP('Données projet'!$B$10,Paramètres!$A$1:$I$89,3,0)*VLOOKUP('Données projet'!$B$10,Paramètres!$A$1:$I$89,5,0)</f>
        <v>195.76439999999985</v>
      </c>
      <c r="AK183" s="13">
        <f t="shared" si="164"/>
        <v>48.812154563023455</v>
      </c>
      <c r="AL183" s="20">
        <f t="shared" si="165"/>
        <v>425.9708325305989</v>
      </c>
      <c r="AM183" s="59">
        <f t="shared" si="113"/>
        <v>715.37605423445348</v>
      </c>
      <c r="AN183" s="59">
        <f ca="1">AVERAGE(OFFSET($AM$3,0,0,'Données projet'!$E$10+1,1))-AVERAGE(OFFSET($H$3,0,0,'Données projet'!$E$10+1,1))</f>
        <v>302.36110224755532</v>
      </c>
      <c r="AO183" s="59">
        <f t="shared" si="144"/>
        <v>292.08583531469412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4.4770501023196232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4.4770501023196232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271.56</v>
      </c>
      <c r="BB183" s="12">
        <f>VLOOKUP(A183,'Données projet'!$A$87:$I$107,9,0)</f>
        <v>-0.72999999999999921</v>
      </c>
      <c r="BC183" s="12">
        <f t="array" ref="BC183">INDEX(BB:BB,MIN(IF(ISNUMBER(BB183:BB379),ROW(BB183:BB379),"")))</f>
        <v>-0.72999999999999921</v>
      </c>
      <c r="BD183" s="12">
        <f>IF('Données projet'!$A$88&gt;35,BD182+BC183-BL182,IF(A183&lt;'Données projet'!$A$88,$BA$205^A183,IF(A183='Données projet'!$A$88,'Données projet'!$B$88,BD182+BC183-BL182)))</f>
        <v>271.55999999999932</v>
      </c>
      <c r="BE183" s="13">
        <f>BD183*VLOOKUP('Données projet'!$B$11,Paramètres!$A$1:$I$89,3,0)*VLOOKUP('Données projet'!$B$11,Paramètres!$A$1:$I$89,5,0)</f>
        <v>258.41649599999937</v>
      </c>
      <c r="BF183" s="13">
        <f t="shared" si="167"/>
        <v>62.384718977635956</v>
      </c>
      <c r="BG183" s="20">
        <f t="shared" si="168"/>
        <v>558.72878275271478</v>
      </c>
      <c r="BH183" s="59">
        <f t="shared" si="116"/>
        <v>848.13400445656941</v>
      </c>
      <c r="BI183" s="59">
        <f ca="1">AVERAGE(OFFSET($BH$3,0,0,'Données projet'!$E$11+1,1))-AVERAGE(OFFSET($H$3,0,0,'Données projet'!$E$11+1,1))</f>
        <v>697.21496579331188</v>
      </c>
      <c r="BJ183" s="59">
        <f t="shared" si="146"/>
        <v>215.64914236948769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77.72</v>
      </c>
      <c r="BM183" s="16">
        <f>IF(ISNA(VLOOKUP(A183,'Données projet'!$A$87:$I$107,5,0)),0%,VLOOKUP(A183,'Données projet'!$A$87:$I$107,5,0)*VLOOKUP('Données projet'!$B$11,Paramètres!$A$1:$I$89,7,0))</f>
        <v>0.43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266.76545287724872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266.76545287724872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212.00000000000009</v>
      </c>
      <c r="BZ183" s="13">
        <f>BY183*VLOOKUP('Données projet'!$B$12,Paramètres!$A$1:$I$89,3,0)*VLOOKUP('Données projet'!$B$12,Paramètres!$A$1:$I$89,5,0)</f>
        <v>185.20320000000009</v>
      </c>
      <c r="CA183" s="13">
        <f t="shared" si="170"/>
        <v>46.477875402099386</v>
      </c>
      <c r="CB183" s="20">
        <f t="shared" si="171"/>
        <v>403.5112063253232</v>
      </c>
      <c r="CC183" s="59">
        <f t="shared" si="119"/>
        <v>692.91642802917784</v>
      </c>
      <c r="CD183" s="59">
        <f ca="1">AVERAGE(OFFSET($CC$3,0,0,'Données projet'!$E$12+1,1))-AVERAGE(OFFSET($H$3,0,0,'Données projet'!$E$12+1,1))</f>
        <v>330.58463337575432</v>
      </c>
      <c r="CE183" s="59">
        <f t="shared" si="148"/>
        <v>285.43250599232192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8.9810947884543317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8.9810947884543317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6">
        <f t="shared" si="110"/>
        <v>183.33333333333334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189.76714074331781</v>
      </c>
      <c r="T184" s="59">
        <f t="shared" si="142"/>
        <v>458.38901659119472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266.99999999999983</v>
      </c>
      <c r="AJ184" s="13">
        <f>AI184*VLOOKUP('Données projet'!$B$10,Paramètres!$A$1:$I$89,3,0)*VLOOKUP('Données projet'!$B$10,Paramètres!$A$1:$I$89,5,0)</f>
        <v>195.76439999999985</v>
      </c>
      <c r="AK184" s="13">
        <f t="shared" si="164"/>
        <v>48.812154563023455</v>
      </c>
      <c r="AL184" s="20">
        <f t="shared" si="165"/>
        <v>425.9708325305989</v>
      </c>
      <c r="AM184" s="59">
        <f t="shared" si="113"/>
        <v>715.44419818928304</v>
      </c>
      <c r="AN184" s="59">
        <f ca="1">AVERAGE(OFFSET($AM$3,0,0,'Données projet'!$E$10+1,1))-AVERAGE(OFFSET($H$3,0,0,'Données projet'!$E$10+1,1))</f>
        <v>302.36110224755532</v>
      </c>
      <c r="AO184" s="59">
        <f t="shared" si="144"/>
        <v>292.08583531469412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4.3892578805440605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4.3892578805440605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-0.79000000000000148</v>
      </c>
      <c r="BD184" s="12">
        <f>IF('Données projet'!$A$88&gt;35,BD183+BC184-BL183,IF(A184&lt;'Données projet'!$A$88,$BA$205^A184,IF(A184='Données projet'!$A$88,'Données projet'!$B$88,BD183+BC184-BL183)))</f>
        <v>193.0499999999993</v>
      </c>
      <c r="BE184" s="13">
        <f>BD184*VLOOKUP('Données projet'!$B$11,Paramètres!$A$1:$I$89,3,0)*VLOOKUP('Données projet'!$B$11,Paramètres!$A$1:$I$89,5,0)</f>
        <v>183.70637999999934</v>
      </c>
      <c r="BF184" s="13">
        <f t="shared" si="167"/>
        <v>46.145806722261682</v>
      </c>
      <c r="BG184" s="20">
        <f t="shared" si="168"/>
        <v>400.32589187460462</v>
      </c>
      <c r="BH184" s="59">
        <f t="shared" si="116"/>
        <v>689.79925753328871</v>
      </c>
      <c r="BI184" s="59">
        <f ca="1">AVERAGE(OFFSET($BH$3,0,0,'Données projet'!$E$11+1,1))-AVERAGE(OFFSET($H$3,0,0,'Données projet'!$E$11+1,1))</f>
        <v>697.21496579331188</v>
      </c>
      <c r="BJ184" s="59">
        <f t="shared" si="146"/>
        <v>215.64914236948769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261.53434505718576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261.53434505718576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212.00000000000009</v>
      </c>
      <c r="BZ184" s="13">
        <f>BY184*VLOOKUP('Données projet'!$B$12,Paramètres!$A$1:$I$89,3,0)*VLOOKUP('Données projet'!$B$12,Paramètres!$A$1:$I$89,5,0)</f>
        <v>185.20320000000009</v>
      </c>
      <c r="CA184" s="13">
        <f t="shared" si="170"/>
        <v>46.477875402099386</v>
      </c>
      <c r="CB184" s="20">
        <f t="shared" si="171"/>
        <v>403.5112063253232</v>
      </c>
      <c r="CC184" s="59">
        <f t="shared" si="119"/>
        <v>692.98457198400729</v>
      </c>
      <c r="CD184" s="59">
        <f ca="1">AVERAGE(OFFSET($CC$3,0,0,'Données projet'!$E$12+1,1))-AVERAGE(OFFSET($H$3,0,0,'Données projet'!$E$12+1,1))</f>
        <v>330.58463337575432</v>
      </c>
      <c r="CE184" s="59">
        <f t="shared" si="148"/>
        <v>285.43250599232192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8.804980997579662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8.804980997579662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6">
        <f t="shared" si="110"/>
        <v>183.33333333333334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189.76714074331781</v>
      </c>
      <c r="T185" s="59">
        <f t="shared" si="142"/>
        <v>458.38901659119472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266.99999999999983</v>
      </c>
      <c r="AJ185" s="13">
        <f>AI185*VLOOKUP('Données projet'!$B$10,Paramètres!$A$1:$I$89,3,0)*VLOOKUP('Données projet'!$B$10,Paramètres!$A$1:$I$89,5,0)</f>
        <v>195.76439999999985</v>
      </c>
      <c r="AK185" s="13">
        <f t="shared" si="164"/>
        <v>48.812154563023455</v>
      </c>
      <c r="AL185" s="20">
        <f t="shared" si="165"/>
        <v>425.9708325305989</v>
      </c>
      <c r="AM185" s="59">
        <f t="shared" si="113"/>
        <v>715.51115999884337</v>
      </c>
      <c r="AN185" s="59">
        <f ca="1">AVERAGE(OFFSET($AM$3,0,0,'Données projet'!$E$10+1,1))-AVERAGE(OFFSET($H$3,0,0,'Données projet'!$E$10+1,1))</f>
        <v>302.36110224755532</v>
      </c>
      <c r="AO185" s="59">
        <f t="shared" si="144"/>
        <v>292.08583531469412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4.3031872106895488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4.3031872106895488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-0.79000000000000148</v>
      </c>
      <c r="BD185" s="12">
        <f>IF('Données projet'!$A$88&gt;35,BD184+BC185-BL184,IF(A185&lt;'Données projet'!$A$88,$BA$205^A185,IF(A185='Données projet'!$A$88,'Données projet'!$B$88,BD184+BC185-BL184)))</f>
        <v>192.25999999999931</v>
      </c>
      <c r="BE185" s="13">
        <f>BD185*VLOOKUP('Données projet'!$B$11,Paramètres!$A$1:$I$89,3,0)*VLOOKUP('Données projet'!$B$11,Paramètres!$A$1:$I$89,5,0)</f>
        <v>182.95461599999933</v>
      </c>
      <c r="BF185" s="13">
        <f t="shared" si="167"/>
        <v>45.978909612801665</v>
      </c>
      <c r="BG185" s="20">
        <f t="shared" si="168"/>
        <v>398.72589044229511</v>
      </c>
      <c r="BH185" s="59">
        <f t="shared" si="116"/>
        <v>688.26621791053958</v>
      </c>
      <c r="BI185" s="59">
        <f ca="1">AVERAGE(OFFSET($BH$3,0,0,'Données projet'!$E$11+1,1))-AVERAGE(OFFSET($H$3,0,0,'Données projet'!$E$11+1,1))</f>
        <v>697.21496579331188</v>
      </c>
      <c r="BJ185" s="59">
        <f t="shared" si="146"/>
        <v>215.64914236948769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256.4058160708135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256.4058160708135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212.00000000000009</v>
      </c>
      <c r="BZ185" s="13">
        <f>BY185*VLOOKUP('Données projet'!$B$12,Paramètres!$A$1:$I$89,3,0)*VLOOKUP('Données projet'!$B$12,Paramètres!$A$1:$I$89,5,0)</f>
        <v>185.20320000000009</v>
      </c>
      <c r="CA185" s="13">
        <f t="shared" si="170"/>
        <v>46.477875402099386</v>
      </c>
      <c r="CB185" s="20">
        <f t="shared" si="171"/>
        <v>403.5112063253232</v>
      </c>
      <c r="CC185" s="59">
        <f t="shared" si="119"/>
        <v>693.05153379356761</v>
      </c>
      <c r="CD185" s="59">
        <f ca="1">AVERAGE(OFFSET($CC$3,0,0,'Données projet'!$E$12+1,1))-AVERAGE(OFFSET($H$3,0,0,'Données projet'!$E$12+1,1))</f>
        <v>330.58463337575432</v>
      </c>
      <c r="CE185" s="59">
        <f t="shared" si="148"/>
        <v>285.43250599232192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8.6323206907252406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8.6323206907252406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6">
        <f t="shared" si="110"/>
        <v>183.33333333333334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189.76714074331781</v>
      </c>
      <c r="T186" s="59">
        <f t="shared" si="142"/>
        <v>458.38901659119472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266.99999999999983</v>
      </c>
      <c r="AJ186" s="13">
        <f>AI186*VLOOKUP('Données projet'!$B$10,Paramètres!$A$1:$I$89,3,0)*VLOOKUP('Données projet'!$B$10,Paramètres!$A$1:$I$89,5,0)</f>
        <v>195.76439999999985</v>
      </c>
      <c r="AK186" s="13">
        <f t="shared" si="164"/>
        <v>48.812154563023455</v>
      </c>
      <c r="AL186" s="20">
        <f t="shared" si="165"/>
        <v>425.9708325305989</v>
      </c>
      <c r="AM186" s="59">
        <f t="shared" si="113"/>
        <v>715.5769601707118</v>
      </c>
      <c r="AN186" s="59">
        <f ca="1">AVERAGE(OFFSET($AM$3,0,0,'Données projet'!$E$10+1,1))-AVERAGE(OFFSET($H$3,0,0,'Données projet'!$E$10+1,1))</f>
        <v>302.36110224755532</v>
      </c>
      <c r="AO186" s="59">
        <f t="shared" si="144"/>
        <v>292.08583531469412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4.2188043341729591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4.2188043341729591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191.47</v>
      </c>
      <c r="BB186" s="12">
        <f>VLOOKUP(A186,'Données projet'!$A$87:$I$107,9,0)</f>
        <v>-0.79000000000000148</v>
      </c>
      <c r="BC186" s="12">
        <f t="array" ref="BC186">INDEX(BB:BB,MIN(IF(ISNUMBER(BB186:BB382),ROW(BB186:BB382),"")))</f>
        <v>-0.79000000000000148</v>
      </c>
      <c r="BD186" s="12">
        <f>IF('Données projet'!$A$88&gt;35,BD185+BC186-BL185,IF(A186&lt;'Données projet'!$A$88,$BA$205^A186,IF(A186='Données projet'!$A$88,'Données projet'!$B$88,BD185+BC186-BL185)))</f>
        <v>191.46999999999932</v>
      </c>
      <c r="BE186" s="13">
        <f>BD186*VLOOKUP('Données projet'!$B$11,Paramètres!$A$1:$I$89,3,0)*VLOOKUP('Données projet'!$B$11,Paramètres!$A$1:$I$89,5,0)</f>
        <v>182.20285199999935</v>
      </c>
      <c r="BF186" s="13">
        <f t="shared" si="167"/>
        <v>45.811932658823196</v>
      </c>
      <c r="BG186" s="20">
        <f t="shared" si="168"/>
        <v>397.12574994744926</v>
      </c>
      <c r="BH186" s="59">
        <f t="shared" si="116"/>
        <v>686.73187758756217</v>
      </c>
      <c r="BI186" s="59">
        <f ca="1">AVERAGE(OFFSET($BH$3,0,0,'Données projet'!$E$11+1,1))-AVERAGE(OFFSET($H$3,0,0,'Données projet'!$E$11+1,1))</f>
        <v>697.21496579331188</v>
      </c>
      <c r="BJ186" s="59">
        <f t="shared" si="146"/>
        <v>215.64914236948769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169.76</v>
      </c>
      <c r="BM186" s="16">
        <f>IF(ISNA(VLOOKUP(A186,'Données projet'!$A$87:$I$107,5,0)),0%,VLOOKUP(A186,'Données projet'!$A$87:$I$107,5,0)*VLOOKUP('Données projet'!$B$11,Paramètres!$A$1:$I$89,7,0))</f>
        <v>0.43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328.16797788074763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328.16797788074763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212.00000000000009</v>
      </c>
      <c r="BZ186" s="13">
        <f>BY186*VLOOKUP('Données projet'!$B$12,Paramètres!$A$1:$I$89,3,0)*VLOOKUP('Données projet'!$B$12,Paramètres!$A$1:$I$89,5,0)</f>
        <v>185.20320000000009</v>
      </c>
      <c r="CA186" s="13">
        <f t="shared" si="170"/>
        <v>46.477875402099386</v>
      </c>
      <c r="CB186" s="20">
        <f t="shared" si="171"/>
        <v>403.5112063253232</v>
      </c>
      <c r="CC186" s="59">
        <f t="shared" si="119"/>
        <v>693.11733396543616</v>
      </c>
      <c r="CD186" s="59">
        <f ca="1">AVERAGE(OFFSET($CC$3,0,0,'Données projet'!$E$12+1,1))-AVERAGE(OFFSET($H$3,0,0,'Données projet'!$E$12+1,1))</f>
        <v>330.58463337575432</v>
      </c>
      <c r="CE186" s="59">
        <f t="shared" si="148"/>
        <v>285.43250599232192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8.4630461471758451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8.4630461471758451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6">
        <f t="shared" si="110"/>
        <v>183.33333333333334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189.76714074331781</v>
      </c>
      <c r="T187" s="59">
        <f t="shared" si="142"/>
        <v>458.38901659119472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266.99999999999983</v>
      </c>
      <c r="AJ187" s="13">
        <f>AI187*VLOOKUP('Données projet'!$B$10,Paramètres!$A$1:$I$89,3,0)*VLOOKUP('Données projet'!$B$10,Paramètres!$A$1:$I$89,5,0)</f>
        <v>195.76439999999985</v>
      </c>
      <c r="AK187" s="13">
        <f t="shared" si="164"/>
        <v>48.812154563023455</v>
      </c>
      <c r="AL187" s="20">
        <f t="shared" si="165"/>
        <v>425.9708325305989</v>
      </c>
      <c r="AM187" s="59">
        <f t="shared" si="113"/>
        <v>715.64161885670569</v>
      </c>
      <c r="AN187" s="59">
        <f ca="1">AVERAGE(OFFSET($AM$3,0,0,'Données projet'!$E$10+1,1))-AVERAGE(OFFSET($H$3,0,0,'Données projet'!$E$10+1,1))</f>
        <v>302.36110224755532</v>
      </c>
      <c r="AO187" s="59">
        <f t="shared" si="144"/>
        <v>292.08583531469412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4.1360761543963873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4.1360761543963873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21.709999999999326</v>
      </c>
      <c r="BE187" s="13">
        <f>BD187*VLOOKUP('Données projet'!$B$11,Paramètres!$A$1:$I$89,3,0)*VLOOKUP('Données projet'!$B$11,Paramètres!$A$1:$I$89,5,0)</f>
        <v>20.659235999999357</v>
      </c>
      <c r="BF187" s="13">
        <f t="shared" si="167"/>
        <v>6.6924790783679047</v>
      </c>
      <c r="BG187" s="20">
        <f t="shared" si="168"/>
        <v>47.637570428156316</v>
      </c>
      <c r="BH187" s="59">
        <f t="shared" si="116"/>
        <v>337.30835675426306</v>
      </c>
      <c r="BI187" s="59">
        <f ca="1">AVERAGE(OFFSET($BH$3,0,0,'Données projet'!$E$11+1,1))-AVERAGE(OFFSET($H$3,0,0,'Données projet'!$E$11+1,1))</f>
        <v>697.21496579331188</v>
      </c>
      <c r="BJ187" s="59">
        <f t="shared" si="146"/>
        <v>215.64914236948769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321.73280399720824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321.73280399720824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212.00000000000009</v>
      </c>
      <c r="BZ187" s="13">
        <f>BY187*VLOOKUP('Données projet'!$B$12,Paramètres!$A$1:$I$89,3,0)*VLOOKUP('Données projet'!$B$12,Paramètres!$A$1:$I$89,5,0)</f>
        <v>185.20320000000009</v>
      </c>
      <c r="CA187" s="13">
        <f t="shared" si="170"/>
        <v>46.477875402099386</v>
      </c>
      <c r="CB187" s="20">
        <f t="shared" si="171"/>
        <v>403.5112063253232</v>
      </c>
      <c r="CC187" s="59">
        <f t="shared" si="119"/>
        <v>693.18199265142994</v>
      </c>
      <c r="CD187" s="59">
        <f ca="1">AVERAGE(OFFSET($CC$3,0,0,'Données projet'!$E$12+1,1))-AVERAGE(OFFSET($H$3,0,0,'Données projet'!$E$12+1,1))</f>
        <v>330.58463337575432</v>
      </c>
      <c r="CE187" s="59">
        <f t="shared" si="148"/>
        <v>285.43250599232192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8.2970909741781771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8.2970909741781771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6">
        <f t="shared" si="110"/>
        <v>183.33333333333334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189.76714074331781</v>
      </c>
      <c r="T188" s="59">
        <f t="shared" si="142"/>
        <v>458.38901659119472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266.99999999999983</v>
      </c>
      <c r="AJ188" s="13">
        <f>AI188*VLOOKUP('Données projet'!$B$10,Paramètres!$A$1:$I$89,3,0)*VLOOKUP('Données projet'!$B$10,Paramètres!$A$1:$I$89,5,0)</f>
        <v>195.76439999999985</v>
      </c>
      <c r="AK188" s="13">
        <f t="shared" si="164"/>
        <v>48.812154563023455</v>
      </c>
      <c r="AL188" s="20">
        <f t="shared" si="165"/>
        <v>425.9708325305989</v>
      </c>
      <c r="AM188" s="59">
        <f t="shared" si="113"/>
        <v>715.70515585905264</v>
      </c>
      <c r="AN188" s="59">
        <f ca="1">AVERAGE(OFFSET($AM$3,0,0,'Données projet'!$E$10+1,1))-AVERAGE(OFFSET($H$3,0,0,'Données projet'!$E$10+1,1))</f>
        <v>302.36110224755532</v>
      </c>
      <c r="AO188" s="59">
        <f t="shared" si="144"/>
        <v>292.08583531469412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4.054970223766027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4.054970223766027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21.709999999999326</v>
      </c>
      <c r="BE188" s="13">
        <f>BD188*VLOOKUP('Données projet'!$B$11,Paramètres!$A$1:$I$89,3,0)*VLOOKUP('Données projet'!$B$11,Paramètres!$A$1:$I$89,5,0)</f>
        <v>20.659235999999357</v>
      </c>
      <c r="BF188" s="13">
        <f t="shared" si="167"/>
        <v>6.6924790783679047</v>
      </c>
      <c r="BG188" s="20">
        <f t="shared" si="168"/>
        <v>47.637570428156316</v>
      </c>
      <c r="BH188" s="59">
        <f t="shared" si="116"/>
        <v>337.37189375661006</v>
      </c>
      <c r="BI188" s="59">
        <f ca="1">AVERAGE(OFFSET($BH$3,0,0,'Données projet'!$E$11+1,1))-AVERAGE(OFFSET($H$3,0,0,'Données projet'!$E$11+1,1))</f>
        <v>697.21496579331188</v>
      </c>
      <c r="BJ188" s="59">
        <f t="shared" si="146"/>
        <v>215.64914236948769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315.42381994845658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315.42381994845658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212.00000000000009</v>
      </c>
      <c r="BZ188" s="13">
        <f>BY188*VLOOKUP('Données projet'!$B$12,Paramètres!$A$1:$I$89,3,0)*VLOOKUP('Données projet'!$B$12,Paramètres!$A$1:$I$89,5,0)</f>
        <v>185.20320000000009</v>
      </c>
      <c r="CA188" s="13">
        <f t="shared" si="170"/>
        <v>46.477875402099386</v>
      </c>
      <c r="CB188" s="20">
        <f t="shared" si="171"/>
        <v>403.5112063253232</v>
      </c>
      <c r="CC188" s="59">
        <f t="shared" si="119"/>
        <v>693.24552965377688</v>
      </c>
      <c r="CD188" s="59">
        <f ca="1">AVERAGE(OFFSET($CC$3,0,0,'Données projet'!$E$12+1,1))-AVERAGE(OFFSET($H$3,0,0,'Données projet'!$E$12+1,1))</f>
        <v>330.58463337575432</v>
      </c>
      <c r="CE188" s="59">
        <f t="shared" si="148"/>
        <v>285.43250599232192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8.1343900809003316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8.1343900809003316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6">
        <f t="shared" si="110"/>
        <v>183.33333333333334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189.76714074331781</v>
      </c>
      <c r="T189" s="59">
        <f t="shared" si="142"/>
        <v>458.38901659119472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266.99999999999983</v>
      </c>
      <c r="AJ189" s="13">
        <f>AI189*VLOOKUP('Données projet'!$B$10,Paramètres!$A$1:$I$89,3,0)*VLOOKUP('Données projet'!$B$10,Paramètres!$A$1:$I$89,5,0)</f>
        <v>195.76439999999985</v>
      </c>
      <c r="AK189" s="13">
        <f t="shared" si="164"/>
        <v>48.812154563023455</v>
      </c>
      <c r="AL189" s="20">
        <f t="shared" si="165"/>
        <v>425.9708325305989</v>
      </c>
      <c r="AM189" s="59">
        <f t="shared" si="113"/>
        <v>715.76759063645636</v>
      </c>
      <c r="AN189" s="59">
        <f ca="1">AVERAGE(OFFSET($AM$3,0,0,'Données projet'!$E$10+1,1))-AVERAGE(OFFSET($H$3,0,0,'Données projet'!$E$10+1,1))</f>
        <v>302.36110224755532</v>
      </c>
      <c r="AO189" s="59">
        <f t="shared" si="144"/>
        <v>292.08583531469412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3.9754547309655948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3.9754547309655948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21.709999999999326</v>
      </c>
      <c r="BE189" s="13">
        <f>BD189*VLOOKUP('Données projet'!$B$11,Paramètres!$A$1:$I$89,3,0)*VLOOKUP('Données projet'!$B$11,Paramètres!$A$1:$I$89,5,0)</f>
        <v>20.659235999999357</v>
      </c>
      <c r="BF189" s="13">
        <f t="shared" si="167"/>
        <v>6.6924790783679047</v>
      </c>
      <c r="BG189" s="20">
        <f t="shared" si="168"/>
        <v>47.637570428156316</v>
      </c>
      <c r="BH189" s="59">
        <f t="shared" si="116"/>
        <v>337.43432853401373</v>
      </c>
      <c r="BI189" s="59">
        <f ca="1">AVERAGE(OFFSET($BH$3,0,0,'Données projet'!$E$11+1,1))-AVERAGE(OFFSET($H$3,0,0,'Données projet'!$E$11+1,1))</f>
        <v>697.21496579331188</v>
      </c>
      <c r="BJ189" s="59">
        <f t="shared" si="146"/>
        <v>215.64914236948769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309.23855122880065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309.23855122880065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212.00000000000009</v>
      </c>
      <c r="BZ189" s="13">
        <f>BY189*VLOOKUP('Données projet'!$B$12,Paramètres!$A$1:$I$89,3,0)*VLOOKUP('Données projet'!$B$12,Paramètres!$A$1:$I$89,5,0)</f>
        <v>185.20320000000009</v>
      </c>
      <c r="CA189" s="13">
        <f t="shared" si="170"/>
        <v>46.477875402099386</v>
      </c>
      <c r="CB189" s="20">
        <f t="shared" si="171"/>
        <v>403.5112063253232</v>
      </c>
      <c r="CC189" s="59">
        <f t="shared" si="119"/>
        <v>693.30796443118061</v>
      </c>
      <c r="CD189" s="59">
        <f ca="1">AVERAGE(OFFSET($CC$3,0,0,'Données projet'!$E$12+1,1))-AVERAGE(OFFSET($H$3,0,0,'Données projet'!$E$12+1,1))</f>
        <v>330.58463337575432</v>
      </c>
      <c r="CE189" s="59">
        <f t="shared" si="148"/>
        <v>285.43250599232192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7.9748796529019188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7.9748796529019188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6">
        <f t="shared" si="110"/>
        <v>183.33333333333334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189.76714074331781</v>
      </c>
      <c r="T190" s="59">
        <f t="shared" si="142"/>
        <v>458.38901659119472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266.99999999999983</v>
      </c>
      <c r="AJ190" s="13">
        <f>AI190*VLOOKUP('Données projet'!$B$10,Paramètres!$A$1:$I$89,3,0)*VLOOKUP('Données projet'!$B$10,Paramètres!$A$1:$I$89,5,0)</f>
        <v>195.76439999999985</v>
      </c>
      <c r="AK190" s="13">
        <f t="shared" si="164"/>
        <v>48.812154563023455</v>
      </c>
      <c r="AL190" s="20">
        <f t="shared" si="165"/>
        <v>425.9708325305989</v>
      </c>
      <c r="AM190" s="59">
        <f t="shared" si="113"/>
        <v>715.82894231005525</v>
      </c>
      <c r="AN190" s="59">
        <f ca="1">AVERAGE(OFFSET($AM$3,0,0,'Données projet'!$E$10+1,1))-AVERAGE(OFFSET($H$3,0,0,'Données projet'!$E$10+1,1))</f>
        <v>302.36110224755532</v>
      </c>
      <c r="AO190" s="59">
        <f t="shared" si="144"/>
        <v>292.08583531469412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3.8974984884793176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3.8974984884793176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21.709999999999326</v>
      </c>
      <c r="BE190" s="13">
        <f>BD190*VLOOKUP('Données projet'!$B$11,Paramètres!$A$1:$I$89,3,0)*VLOOKUP('Données projet'!$B$11,Paramètres!$A$1:$I$89,5,0)</f>
        <v>20.659235999999357</v>
      </c>
      <c r="BF190" s="13">
        <f t="shared" si="167"/>
        <v>6.6924790783679047</v>
      </c>
      <c r="BG190" s="20">
        <f t="shared" si="168"/>
        <v>47.637570428156316</v>
      </c>
      <c r="BH190" s="59">
        <f t="shared" si="116"/>
        <v>337.49568020761274</v>
      </c>
      <c r="BI190" s="59">
        <f ca="1">AVERAGE(OFFSET($BH$3,0,0,'Données projet'!$E$11+1,1))-AVERAGE(OFFSET($H$3,0,0,'Données projet'!$E$11+1,1))</f>
        <v>697.21496579331188</v>
      </c>
      <c r="BJ190" s="59">
        <f t="shared" si="146"/>
        <v>215.64914236948769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303.17457185609572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303.17457185609572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212.00000000000009</v>
      </c>
      <c r="BZ190" s="13">
        <f>BY190*VLOOKUP('Données projet'!$B$12,Paramètres!$A$1:$I$89,3,0)*VLOOKUP('Données projet'!$B$12,Paramètres!$A$1:$I$89,5,0)</f>
        <v>185.20320000000009</v>
      </c>
      <c r="CA190" s="13">
        <f t="shared" si="170"/>
        <v>46.477875402099386</v>
      </c>
      <c r="CB190" s="20">
        <f t="shared" si="171"/>
        <v>403.5112063253232</v>
      </c>
      <c r="CC190" s="59">
        <f t="shared" si="119"/>
        <v>693.36931610477961</v>
      </c>
      <c r="CD190" s="59">
        <f ca="1">AVERAGE(OFFSET($CC$3,0,0,'Données projet'!$E$12+1,1))-AVERAGE(OFFSET($H$3,0,0,'Données projet'!$E$12+1,1))</f>
        <v>330.58463337575432</v>
      </c>
      <c r="CE190" s="59">
        <f t="shared" si="148"/>
        <v>285.43250599232192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7.8184971271048012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7.8184971271048012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6">
        <f t="shared" si="110"/>
        <v>183.33333333333334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189.76714074331781</v>
      </c>
      <c r="T191" s="59">
        <f t="shared" si="142"/>
        <v>458.38901659119472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266.99999999999983</v>
      </c>
      <c r="AJ191" s="13">
        <f>AI191*VLOOKUP('Données projet'!$B$10,Paramètres!$A$1:$I$89,3,0)*VLOOKUP('Données projet'!$B$10,Paramètres!$A$1:$I$89,5,0)</f>
        <v>195.76439999999985</v>
      </c>
      <c r="AK191" s="13">
        <f t="shared" si="164"/>
        <v>48.812154563023455</v>
      </c>
      <c r="AL191" s="20">
        <f t="shared" si="165"/>
        <v>425.9708325305989</v>
      </c>
      <c r="AM191" s="59">
        <f t="shared" si="113"/>
        <v>715.88922966927908</v>
      </c>
      <c r="AN191" s="59">
        <f ca="1">AVERAGE(OFFSET($AM$3,0,0,'Données projet'!$E$10+1,1))-AVERAGE(OFFSET($H$3,0,0,'Données projet'!$E$10+1,1))</f>
        <v>302.36110224755532</v>
      </c>
      <c r="AO191" s="59">
        <f t="shared" si="144"/>
        <v>292.08583531469412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3.8210709203595834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3.8210709203595834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21.709999999999326</v>
      </c>
      <c r="BE191" s="13">
        <f>BD191*VLOOKUP('Données projet'!$B$11,Paramètres!$A$1:$I$89,3,0)*VLOOKUP('Données projet'!$B$11,Paramètres!$A$1:$I$89,5,0)</f>
        <v>20.659235999999357</v>
      </c>
      <c r="BF191" s="13">
        <f t="shared" si="167"/>
        <v>6.6924790783679047</v>
      </c>
      <c r="BG191" s="20">
        <f t="shared" si="168"/>
        <v>47.637570428156316</v>
      </c>
      <c r="BH191" s="59">
        <f t="shared" si="116"/>
        <v>337.55596756683656</v>
      </c>
      <c r="BI191" s="59">
        <f ca="1">AVERAGE(OFFSET($BH$3,0,0,'Données projet'!$E$11+1,1))-AVERAGE(OFFSET($H$3,0,0,'Données projet'!$E$11+1,1))</f>
        <v>697.21496579331188</v>
      </c>
      <c r="BJ191" s="59">
        <f t="shared" si="146"/>
        <v>215.64914236948769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297.22950342022739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297.22950342022739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212.00000000000009</v>
      </c>
      <c r="BZ191" s="13">
        <f>BY191*VLOOKUP('Données projet'!$B$12,Paramètres!$A$1:$I$89,3,0)*VLOOKUP('Données projet'!$B$12,Paramètres!$A$1:$I$89,5,0)</f>
        <v>185.20320000000009</v>
      </c>
      <c r="CA191" s="13">
        <f t="shared" si="170"/>
        <v>46.477875402099386</v>
      </c>
      <c r="CB191" s="20">
        <f t="shared" si="171"/>
        <v>403.5112063253232</v>
      </c>
      <c r="CC191" s="59">
        <f t="shared" si="119"/>
        <v>693.42960346400343</v>
      </c>
      <c r="CD191" s="59">
        <f ca="1">AVERAGE(OFFSET($CC$3,0,0,'Données projet'!$E$12+1,1))-AVERAGE(OFFSET($H$3,0,0,'Données projet'!$E$12+1,1))</f>
        <v>330.58463337575432</v>
      </c>
      <c r="CE191" s="59">
        <f t="shared" si="148"/>
        <v>285.43250599232192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7.6651811672546426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7.6651811672546426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6">
        <f t="shared" si="110"/>
        <v>183.33333333333334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189.76714074331781</v>
      </c>
      <c r="T192" s="59">
        <f t="shared" si="142"/>
        <v>458.38901659119472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266.99999999999983</v>
      </c>
      <c r="AJ192" s="13">
        <f>AI192*VLOOKUP('Données projet'!$B$10,Paramètres!$A$1:$I$89,3,0)*VLOOKUP('Données projet'!$B$10,Paramètres!$A$1:$I$89,5,0)</f>
        <v>195.76439999999985</v>
      </c>
      <c r="AK192" s="13">
        <f t="shared" si="164"/>
        <v>48.812154563023455</v>
      </c>
      <c r="AL192" s="20">
        <f t="shared" si="165"/>
        <v>425.9708325305989</v>
      </c>
      <c r="AM192" s="59">
        <f t="shared" si="113"/>
        <v>715.94847117760276</v>
      </c>
      <c r="AN192" s="59">
        <f ca="1">AVERAGE(OFFSET($AM$3,0,0,'Données projet'!$E$10+1,1))-AVERAGE(OFFSET($H$3,0,0,'Données projet'!$E$10+1,1))</f>
        <v>302.36110224755532</v>
      </c>
      <c r="AO192" s="59">
        <f t="shared" si="144"/>
        <v>292.08583531469412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3.7461420502344636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3.7461420502344636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21.709999999999326</v>
      </c>
      <c r="BE192" s="13">
        <f>BD192*VLOOKUP('Données projet'!$B$11,Paramètres!$A$1:$I$89,3,0)*VLOOKUP('Données projet'!$B$11,Paramètres!$A$1:$I$89,5,0)</f>
        <v>20.659235999999357</v>
      </c>
      <c r="BF192" s="13">
        <f t="shared" si="167"/>
        <v>6.6924790783679047</v>
      </c>
      <c r="BG192" s="20">
        <f t="shared" si="168"/>
        <v>47.637570428156316</v>
      </c>
      <c r="BH192" s="59">
        <f t="shared" si="116"/>
        <v>337.61520907516018</v>
      </c>
      <c r="BI192" s="59">
        <f ca="1">AVERAGE(OFFSET($BH$3,0,0,'Données projet'!$E$11+1,1))-AVERAGE(OFFSET($H$3,0,0,'Données projet'!$E$11+1,1))</f>
        <v>697.21496579331188</v>
      </c>
      <c r="BJ192" s="59">
        <f t="shared" si="146"/>
        <v>215.64914236948769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291.40101415025271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291.40101415025271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212.00000000000009</v>
      </c>
      <c r="BZ192" s="13">
        <f>BY192*VLOOKUP('Données projet'!$B$12,Paramètres!$A$1:$I$89,3,0)*VLOOKUP('Données projet'!$B$12,Paramètres!$A$1:$I$89,5,0)</f>
        <v>185.20320000000009</v>
      </c>
      <c r="CA192" s="13">
        <f t="shared" si="170"/>
        <v>46.477875402099386</v>
      </c>
      <c r="CB192" s="20">
        <f t="shared" si="171"/>
        <v>403.5112063253232</v>
      </c>
      <c r="CC192" s="59">
        <f t="shared" si="119"/>
        <v>693.48884497232712</v>
      </c>
      <c r="CD192" s="59">
        <f ca="1">AVERAGE(OFFSET($CC$3,0,0,'Données projet'!$E$12+1,1))-AVERAGE(OFFSET($H$3,0,0,'Données projet'!$E$12+1,1))</f>
        <v>330.58463337575432</v>
      </c>
      <c r="CE192" s="59">
        <f t="shared" si="148"/>
        <v>285.43250599232192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7.5148716398636433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7.5148716398636433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6">
        <f t="shared" si="110"/>
        <v>183.33333333333334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189.76714074331781</v>
      </c>
      <c r="T193" s="59">
        <f t="shared" si="142"/>
        <v>458.38901659119472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266.99999999999983</v>
      </c>
      <c r="AJ193" s="13">
        <f>AI193*VLOOKUP('Données projet'!$B$10,Paramètres!$A$1:$I$89,3,0)*VLOOKUP('Données projet'!$B$10,Paramètres!$A$1:$I$89,5,0)</f>
        <v>195.76439999999985</v>
      </c>
      <c r="AK193" s="13">
        <f t="shared" si="164"/>
        <v>48.812154563023455</v>
      </c>
      <c r="AL193" s="20">
        <f t="shared" si="165"/>
        <v>425.9708325305989</v>
      </c>
      <c r="AM193" s="59">
        <f t="shared" si="113"/>
        <v>716.00668497820118</v>
      </c>
      <c r="AN193" s="59">
        <f ca="1">AVERAGE(OFFSET($AM$3,0,0,'Données projet'!$E$10+1,1))-AVERAGE(OFFSET($H$3,0,0,'Données projet'!$E$10+1,1))</f>
        <v>302.36110224755532</v>
      </c>
      <c r="AO193" s="59">
        <f t="shared" si="144"/>
        <v>292.08583531469412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3.6726824895503993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3.6726824895503993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21.709999999999326</v>
      </c>
      <c r="BE193" s="13">
        <f>BD193*VLOOKUP('Données projet'!$B$11,Paramètres!$A$1:$I$89,3,0)*VLOOKUP('Données projet'!$B$11,Paramètres!$A$1:$I$89,5,0)</f>
        <v>20.659235999999357</v>
      </c>
      <c r="BF193" s="13">
        <f t="shared" si="167"/>
        <v>6.6924790783679047</v>
      </c>
      <c r="BG193" s="20">
        <f t="shared" si="168"/>
        <v>47.637570428156316</v>
      </c>
      <c r="BH193" s="59">
        <f t="shared" si="116"/>
        <v>337.6734228757586</v>
      </c>
      <c r="BI193" s="59">
        <f ca="1">AVERAGE(OFFSET($BH$3,0,0,'Données projet'!$E$11+1,1))-AVERAGE(OFFSET($H$3,0,0,'Données projet'!$E$11+1,1))</f>
        <v>697.21496579331188</v>
      </c>
      <c r="BJ193" s="59">
        <f t="shared" si="146"/>
        <v>215.64914236948769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285.68681799983483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285.68681799983483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212.00000000000009</v>
      </c>
      <c r="BZ193" s="13">
        <f>BY193*VLOOKUP('Données projet'!$B$12,Paramètres!$A$1:$I$89,3,0)*VLOOKUP('Données projet'!$B$12,Paramètres!$A$1:$I$89,5,0)</f>
        <v>185.20320000000009</v>
      </c>
      <c r="CA193" s="13">
        <f t="shared" si="170"/>
        <v>46.477875402099386</v>
      </c>
      <c r="CB193" s="20">
        <f t="shared" si="171"/>
        <v>403.5112063253232</v>
      </c>
      <c r="CC193" s="59">
        <f t="shared" si="119"/>
        <v>693.54705877292554</v>
      </c>
      <c r="CD193" s="59">
        <f ca="1">AVERAGE(OFFSET($CC$3,0,0,'Données projet'!$E$12+1,1))-AVERAGE(OFFSET($H$3,0,0,'Données projet'!$E$12+1,1))</f>
        <v>330.58463337575432</v>
      </c>
      <c r="CE193" s="59">
        <f t="shared" si="148"/>
        <v>285.43250599232192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7.3675095906250228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7.3675095906250228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6">
        <f t="shared" si="110"/>
        <v>183.33333333333334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189.76714074331781</v>
      </c>
      <c r="T194" s="59">
        <f t="shared" si="142"/>
        <v>458.38901659119472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266.99999999999983</v>
      </c>
      <c r="AJ194" s="13">
        <f>AI194*VLOOKUP('Données projet'!$B$10,Paramètres!$A$1:$I$89,3,0)*VLOOKUP('Données projet'!$B$10,Paramètres!$A$1:$I$89,5,0)</f>
        <v>195.76439999999985</v>
      </c>
      <c r="AK194" s="13">
        <f t="shared" si="164"/>
        <v>48.812154563023455</v>
      </c>
      <c r="AL194" s="20">
        <f t="shared" si="165"/>
        <v>425.9708325305989</v>
      </c>
      <c r="AM194" s="59">
        <f t="shared" si="113"/>
        <v>716.06388889950574</v>
      </c>
      <c r="AN194" s="59">
        <f ca="1">AVERAGE(OFFSET($AM$3,0,0,'Données projet'!$E$10+1,1))-AVERAGE(OFFSET($H$3,0,0,'Données projet'!$E$10+1,1))</f>
        <v>302.36110224755532</v>
      </c>
      <c r="AO194" s="59">
        <f t="shared" si="144"/>
        <v>292.08583531469412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3.6006634260454415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3.6006634260454415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21.709999999999326</v>
      </c>
      <c r="BE194" s="13">
        <f>BD194*VLOOKUP('Données projet'!$B$11,Paramètres!$A$1:$I$89,3,0)*VLOOKUP('Données projet'!$B$11,Paramètres!$A$1:$I$89,5,0)</f>
        <v>20.659235999999357</v>
      </c>
      <c r="BF194" s="13">
        <f t="shared" si="167"/>
        <v>6.6924790783679047</v>
      </c>
      <c r="BG194" s="20">
        <f t="shared" si="168"/>
        <v>47.637570428156316</v>
      </c>
      <c r="BH194" s="59">
        <f t="shared" si="116"/>
        <v>337.73062679706317</v>
      </c>
      <c r="BI194" s="59">
        <f ca="1">AVERAGE(OFFSET($BH$3,0,0,'Données projet'!$E$11+1,1))-AVERAGE(OFFSET($H$3,0,0,'Données projet'!$E$11+1,1))</f>
        <v>697.21496579331188</v>
      </c>
      <c r="BJ194" s="59">
        <f t="shared" si="146"/>
        <v>215.64914236948769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280.0846737506111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280.0846737506111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212.00000000000009</v>
      </c>
      <c r="BZ194" s="13">
        <f>BY194*VLOOKUP('Données projet'!$B$12,Paramètres!$A$1:$I$89,3,0)*VLOOKUP('Données projet'!$B$12,Paramètres!$A$1:$I$89,5,0)</f>
        <v>185.20320000000009</v>
      </c>
      <c r="CA194" s="13">
        <f t="shared" si="170"/>
        <v>46.477875402099386</v>
      </c>
      <c r="CB194" s="20">
        <f t="shared" si="171"/>
        <v>403.5112063253232</v>
      </c>
      <c r="CC194" s="59">
        <f t="shared" si="119"/>
        <v>693.6042626942301</v>
      </c>
      <c r="CD194" s="59">
        <f ca="1">AVERAGE(OFFSET($CC$3,0,0,'Données projet'!$E$12+1,1))-AVERAGE(OFFSET($H$3,0,0,'Données projet'!$E$12+1,1))</f>
        <v>330.58463337575432</v>
      </c>
      <c r="CE194" s="59">
        <f t="shared" si="148"/>
        <v>285.43250599232192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7.2230372212899967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7.2230372212899967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6">
        <f t="shared" si="110"/>
        <v>183.33333333333334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189.76714074331781</v>
      </c>
      <c r="T195" s="59">
        <f t="shared" si="142"/>
        <v>458.38901659119472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266.99999999999983</v>
      </c>
      <c r="AJ195" s="13">
        <f>AI195*VLOOKUP('Données projet'!$B$10,Paramètres!$A$1:$I$89,3,0)*VLOOKUP('Données projet'!$B$10,Paramètres!$A$1:$I$89,5,0)</f>
        <v>195.76439999999985</v>
      </c>
      <c r="AK195" s="13">
        <f t="shared" si="164"/>
        <v>48.812154563023455</v>
      </c>
      <c r="AL195" s="20">
        <f t="shared" si="165"/>
        <v>425.9708325305989</v>
      </c>
      <c r="AM195" s="59">
        <f t="shared" si="113"/>
        <v>716.12010046066462</v>
      </c>
      <c r="AN195" s="59">
        <f ca="1">AVERAGE(OFFSET($AM$3,0,0,'Données projet'!$E$10+1,1))-AVERAGE(OFFSET($H$3,0,0,'Données projet'!$E$10+1,1))</f>
        <v>302.36110224755532</v>
      </c>
      <c r="AO195" s="59">
        <f t="shared" si="144"/>
        <v>292.08583531469412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3.5300566124485249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3.5300566124485249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21.709999999999326</v>
      </c>
      <c r="BE195" s="13">
        <f>BD195*VLOOKUP('Données projet'!$B$11,Paramètres!$A$1:$I$89,3,0)*VLOOKUP('Données projet'!$B$11,Paramètres!$A$1:$I$89,5,0)</f>
        <v>20.659235999999357</v>
      </c>
      <c r="BF195" s="13">
        <f t="shared" si="167"/>
        <v>6.6924790783679047</v>
      </c>
      <c r="BG195" s="20">
        <f t="shared" si="168"/>
        <v>47.637570428156316</v>
      </c>
      <c r="BH195" s="59">
        <f t="shared" si="116"/>
        <v>337.78683835822198</v>
      </c>
      <c r="BI195" s="59">
        <f ca="1">AVERAGE(OFFSET($BH$3,0,0,'Données projet'!$E$11+1,1))-AVERAGE(OFFSET($H$3,0,0,'Données projet'!$E$11+1,1))</f>
        <v>697.21496579331188</v>
      </c>
      <c r="BJ195" s="59">
        <f t="shared" si="146"/>
        <v>215.64914236948769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274.59238413314409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274.59238413314409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212.00000000000009</v>
      </c>
      <c r="BZ195" s="13">
        <f>BY195*VLOOKUP('Données projet'!$B$12,Paramètres!$A$1:$I$89,3,0)*VLOOKUP('Données projet'!$B$12,Paramètres!$A$1:$I$89,5,0)</f>
        <v>185.20320000000009</v>
      </c>
      <c r="CA195" s="13">
        <f t="shared" si="170"/>
        <v>46.477875402099386</v>
      </c>
      <c r="CB195" s="20">
        <f t="shared" si="171"/>
        <v>403.5112063253232</v>
      </c>
      <c r="CC195" s="59">
        <f t="shared" si="119"/>
        <v>693.66047425538886</v>
      </c>
      <c r="CD195" s="59">
        <f ca="1">AVERAGE(OFFSET($CC$3,0,0,'Données projet'!$E$12+1,1))-AVERAGE(OFFSET($H$3,0,0,'Données projet'!$E$12+1,1))</f>
        <v>330.58463337575432</v>
      </c>
      <c r="CE195" s="59">
        <f t="shared" si="148"/>
        <v>285.43250599232192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7.0813978669981861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7.0813978669981861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6">
        <f t="shared" ref="H196:H203" si="192">(B196+E196+F196)*44/12+(C196+D196)*0.475*44/12</f>
        <v>183.33333333333334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189.76714074331781</v>
      </c>
      <c r="T196" s="59">
        <f t="shared" si="142"/>
        <v>458.38901659119472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266.99999999999983</v>
      </c>
      <c r="AJ196" s="13">
        <f>AI196*VLOOKUP('Données projet'!$B$10,Paramètres!$A$1:$I$89,3,0)*VLOOKUP('Données projet'!$B$10,Paramètres!$A$1:$I$89,5,0)</f>
        <v>195.76439999999985</v>
      </c>
      <c r="AK196" s="13">
        <f t="shared" si="164"/>
        <v>48.812154563023455</v>
      </c>
      <c r="AL196" s="20">
        <f t="shared" si="165"/>
        <v>425.9708325305989</v>
      </c>
      <c r="AM196" s="59">
        <f t="shared" ref="AM196:AM203" si="193">AL196+(AD196+AE196)*44/12</f>
        <v>716.17533687690741</v>
      </c>
      <c r="AN196" s="59">
        <f ca="1">AVERAGE(OFFSET($AM$3,0,0,'Données projet'!$E$10+1,1))-AVERAGE(OFFSET($H$3,0,0,'Données projet'!$E$10+1,1))</f>
        <v>302.36110224755532</v>
      </c>
      <c r="AO196" s="59">
        <f t="shared" si="144"/>
        <v>292.08583531469412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3.4608343554003396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3.4608343554003396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21.709999999999326</v>
      </c>
      <c r="BE196" s="13">
        <f>BD196*VLOOKUP('Données projet'!$B$11,Paramètres!$A$1:$I$89,3,0)*VLOOKUP('Données projet'!$B$11,Paramètres!$A$1:$I$89,5,0)</f>
        <v>20.659235999999357</v>
      </c>
      <c r="BF196" s="13">
        <f t="shared" si="167"/>
        <v>6.6924790783679047</v>
      </c>
      <c r="BG196" s="20">
        <f t="shared" si="168"/>
        <v>47.637570428156316</v>
      </c>
      <c r="BH196" s="59">
        <f t="shared" ref="BH196:BH203" si="194">BG196+(AY196+AZ196)*44/12</f>
        <v>337.84207477446483</v>
      </c>
      <c r="BI196" s="59">
        <f ca="1">AVERAGE(OFFSET($BH$3,0,0,'Données projet'!$E$11+1,1))-AVERAGE(OFFSET($H$3,0,0,'Données projet'!$E$11+1,1))</f>
        <v>697.21496579331188</v>
      </c>
      <c r="BJ196" s="59">
        <f t="shared" si="146"/>
        <v>215.64914236948769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269.20779496510971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269.20779496510971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212.00000000000009</v>
      </c>
      <c r="BZ196" s="13">
        <f>BY196*VLOOKUP('Données projet'!$B$12,Paramètres!$A$1:$I$89,3,0)*VLOOKUP('Données projet'!$B$12,Paramètres!$A$1:$I$89,5,0)</f>
        <v>185.20320000000009</v>
      </c>
      <c r="CA196" s="13">
        <f t="shared" si="170"/>
        <v>46.477875402099386</v>
      </c>
      <c r="CB196" s="20">
        <f t="shared" si="171"/>
        <v>403.5112063253232</v>
      </c>
      <c r="CC196" s="59">
        <f t="shared" ref="CC196:CC203" si="195">CB196+(BT196+BU196)*44/12</f>
        <v>693.71571067163177</v>
      </c>
      <c r="CD196" s="59">
        <f ca="1">AVERAGE(OFFSET($CC$3,0,0,'Données projet'!$E$12+1,1))-AVERAGE(OFFSET($H$3,0,0,'Données projet'!$E$12+1,1))</f>
        <v>330.58463337575432</v>
      </c>
      <c r="CE196" s="59">
        <f t="shared" si="148"/>
        <v>285.43250599232192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6.9425359740525625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6.9425359740525625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6">
        <f t="shared" si="192"/>
        <v>183.33333333333334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189.76714074331781</v>
      </c>
      <c r="T197" s="59">
        <f t="shared" ref="T197:T203" si="204">$T$3</f>
        <v>458.38901659119472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266.99999999999983</v>
      </c>
      <c r="AJ197" s="13">
        <f>AI197*VLOOKUP('Données projet'!$B$10,Paramètres!$A$1:$I$89,3,0)*VLOOKUP('Données projet'!$B$10,Paramètres!$A$1:$I$89,5,0)</f>
        <v>195.76439999999985</v>
      </c>
      <c r="AK197" s="13">
        <f t="shared" si="164"/>
        <v>48.812154563023455</v>
      </c>
      <c r="AL197" s="20">
        <f t="shared" si="165"/>
        <v>425.9708325305989</v>
      </c>
      <c r="AM197" s="59">
        <f t="shared" si="193"/>
        <v>716.22961506481863</v>
      </c>
      <c r="AN197" s="59">
        <f ca="1">AVERAGE(OFFSET($AM$3,0,0,'Données projet'!$E$10+1,1))-AVERAGE(OFFSET($H$3,0,0,'Données projet'!$E$10+1,1))</f>
        <v>302.36110224755532</v>
      </c>
      <c r="AO197" s="59">
        <f t="shared" ref="AO197:AO203" si="205">$AO$3</f>
        <v>292.08583531469412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3.3929695045914614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3.3929695045914614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21.709999999999326</v>
      </c>
      <c r="BE197" s="13">
        <f>BD197*VLOOKUP('Données projet'!$B$11,Paramètres!$A$1:$I$89,3,0)*VLOOKUP('Données projet'!$B$11,Paramètres!$A$1:$I$89,5,0)</f>
        <v>20.659235999999357</v>
      </c>
      <c r="BF197" s="13">
        <f t="shared" si="167"/>
        <v>6.6924790783679047</v>
      </c>
      <c r="BG197" s="20">
        <f t="shared" si="168"/>
        <v>47.637570428156316</v>
      </c>
      <c r="BH197" s="59">
        <f t="shared" si="194"/>
        <v>337.89635296237606</v>
      </c>
      <c r="BI197" s="59">
        <f ca="1">AVERAGE(OFFSET($BH$3,0,0,'Données projet'!$E$11+1,1))-AVERAGE(OFFSET($H$3,0,0,'Données projet'!$E$11+1,1))</f>
        <v>697.21496579331188</v>
      </c>
      <c r="BJ197" s="59">
        <f t="shared" ref="BJ197:BJ203" si="206">$BJ$3</f>
        <v>215.64914236948769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263.92879430638538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263.92879430638538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212.00000000000009</v>
      </c>
      <c r="BZ197" s="13">
        <f>BY197*VLOOKUP('Données projet'!$B$12,Paramètres!$A$1:$I$89,3,0)*VLOOKUP('Données projet'!$B$12,Paramètres!$A$1:$I$89,5,0)</f>
        <v>185.20320000000009</v>
      </c>
      <c r="CA197" s="13">
        <f t="shared" si="170"/>
        <v>46.477875402099386</v>
      </c>
      <c r="CB197" s="20">
        <f t="shared" si="171"/>
        <v>403.5112063253232</v>
      </c>
      <c r="CC197" s="59">
        <f t="shared" si="195"/>
        <v>693.76998885954299</v>
      </c>
      <c r="CD197" s="59">
        <f ca="1">AVERAGE(OFFSET($CC$3,0,0,'Données projet'!$E$12+1,1))-AVERAGE(OFFSET($H$3,0,0,'Données projet'!$E$12+1,1))</f>
        <v>330.58463337575432</v>
      </c>
      <c r="CE197" s="59">
        <f t="shared" ref="CE197:CE203" si="207">$CE$3</f>
        <v>285.43250599232192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6.8063970781302112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6.8063970781302112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6">
        <f t="shared" si="192"/>
        <v>183.33333333333334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189.76714074331781</v>
      </c>
      <c r="T198" s="59">
        <f t="shared" si="204"/>
        <v>458.38901659119472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266.99999999999983</v>
      </c>
      <c r="AJ198" s="13">
        <f>AI198*VLOOKUP('Données projet'!$B$10,Paramètres!$A$1:$I$89,3,0)*VLOOKUP('Données projet'!$B$10,Paramètres!$A$1:$I$89,5,0)</f>
        <v>195.76439999999985</v>
      </c>
      <c r="AK198" s="13">
        <f t="shared" si="164"/>
        <v>48.812154563023455</v>
      </c>
      <c r="AL198" s="20">
        <f t="shared" si="165"/>
        <v>425.9708325305989</v>
      </c>
      <c r="AM198" s="59">
        <f t="shared" si="193"/>
        <v>716.28295164751739</v>
      </c>
      <c r="AN198" s="59">
        <f ca="1">AVERAGE(OFFSET($AM$3,0,0,'Données projet'!$E$10+1,1))-AVERAGE(OFFSET($H$3,0,0,'Données projet'!$E$10+1,1))</f>
        <v>302.36110224755532</v>
      </c>
      <c r="AO198" s="59">
        <f t="shared" si="205"/>
        <v>292.08583531469412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3.3264354421134739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3.3264354421134739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21.709999999999326</v>
      </c>
      <c r="BE198" s="13">
        <f>BD198*VLOOKUP('Données projet'!$B$11,Paramètres!$A$1:$I$89,3,0)*VLOOKUP('Données projet'!$B$11,Paramètres!$A$1:$I$89,5,0)</f>
        <v>20.659235999999357</v>
      </c>
      <c r="BF198" s="13">
        <f t="shared" si="167"/>
        <v>6.6924790783679047</v>
      </c>
      <c r="BG198" s="20">
        <f t="shared" si="168"/>
        <v>47.637570428156316</v>
      </c>
      <c r="BH198" s="59">
        <f t="shared" si="194"/>
        <v>337.94968954507482</v>
      </c>
      <c r="BI198" s="59">
        <f ca="1">AVERAGE(OFFSET($BH$3,0,0,'Données projet'!$E$11+1,1))-AVERAGE(OFFSET($H$3,0,0,'Données projet'!$E$11+1,1))</f>
        <v>697.21496579331188</v>
      </c>
      <c r="BJ198" s="59">
        <f t="shared" si="206"/>
        <v>215.64914236948769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258.75331163070615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258.75331163070615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212.00000000000009</v>
      </c>
      <c r="BZ198" s="13">
        <f>BY198*VLOOKUP('Données projet'!$B$12,Paramètres!$A$1:$I$89,3,0)*VLOOKUP('Données projet'!$B$12,Paramètres!$A$1:$I$89,5,0)</f>
        <v>185.20320000000009</v>
      </c>
      <c r="CA198" s="13">
        <f t="shared" si="170"/>
        <v>46.477875402099386</v>
      </c>
      <c r="CB198" s="20">
        <f t="shared" si="171"/>
        <v>403.5112063253232</v>
      </c>
      <c r="CC198" s="59">
        <f t="shared" si="195"/>
        <v>693.82332544224164</v>
      </c>
      <c r="CD198" s="59">
        <f ca="1">AVERAGE(OFFSET($CC$3,0,0,'Données projet'!$E$12+1,1))-AVERAGE(OFFSET($H$3,0,0,'Données projet'!$E$12+1,1))</f>
        <v>330.58463337575432</v>
      </c>
      <c r="CE198" s="59">
        <f t="shared" si="207"/>
        <v>285.43250599232192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6.6729277829203699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6.6729277829203699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6">
        <f t="shared" si="192"/>
        <v>183.33333333333334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189.76714074331781</v>
      </c>
      <c r="T199" s="59">
        <f t="shared" si="204"/>
        <v>458.38901659119472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266.99999999999983</v>
      </c>
      <c r="AJ199" s="13">
        <f>AI199*VLOOKUP('Données projet'!$B$10,Paramètres!$A$1:$I$89,3,0)*VLOOKUP('Données projet'!$B$10,Paramètres!$A$1:$I$89,5,0)</f>
        <v>195.76439999999985</v>
      </c>
      <c r="AK199" s="13">
        <f t="shared" si="164"/>
        <v>48.812154563023455</v>
      </c>
      <c r="AL199" s="20">
        <f t="shared" si="165"/>
        <v>425.9708325305989</v>
      </c>
      <c r="AM199" s="59">
        <f t="shared" si="193"/>
        <v>716.33536295974909</v>
      </c>
      <c r="AN199" s="59">
        <f ca="1">AVERAGE(OFFSET($AM$3,0,0,'Données projet'!$E$10+1,1))-AVERAGE(OFFSET($H$3,0,0,'Données projet'!$E$10+1,1))</f>
        <v>302.36110224755532</v>
      </c>
      <c r="AO199" s="59">
        <f t="shared" si="205"/>
        <v>292.08583531469412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3.2612060720189087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3.2612060720189087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21.709999999999326</v>
      </c>
      <c r="BE199" s="13">
        <f>BD199*VLOOKUP('Données projet'!$B$11,Paramètres!$A$1:$I$89,3,0)*VLOOKUP('Données projet'!$B$11,Paramètres!$A$1:$I$89,5,0)</f>
        <v>20.659235999999357</v>
      </c>
      <c r="BF199" s="13">
        <f t="shared" si="167"/>
        <v>6.6924790783679047</v>
      </c>
      <c r="BG199" s="20">
        <f t="shared" si="168"/>
        <v>47.637570428156316</v>
      </c>
      <c r="BH199" s="59">
        <f t="shared" si="194"/>
        <v>338.00210085730652</v>
      </c>
      <c r="BI199" s="59">
        <f ca="1">AVERAGE(OFFSET($BH$3,0,0,'Données projet'!$E$11+1,1))-AVERAGE(OFFSET($H$3,0,0,'Données projet'!$E$11+1,1))</f>
        <v>697.21496579331188</v>
      </c>
      <c r="BJ199" s="59">
        <f t="shared" si="206"/>
        <v>215.64914236948769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253.67931701356429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253.67931701356429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212.00000000000009</v>
      </c>
      <c r="BZ199" s="13">
        <f>BY199*VLOOKUP('Données projet'!$B$12,Paramètres!$A$1:$I$89,3,0)*VLOOKUP('Données projet'!$B$12,Paramètres!$A$1:$I$89,5,0)</f>
        <v>185.20320000000009</v>
      </c>
      <c r="CA199" s="13">
        <f t="shared" si="170"/>
        <v>46.477875402099386</v>
      </c>
      <c r="CB199" s="20">
        <f t="shared" si="171"/>
        <v>403.5112063253232</v>
      </c>
      <c r="CC199" s="59">
        <f t="shared" si="195"/>
        <v>693.87573675447334</v>
      </c>
      <c r="CD199" s="59">
        <f ca="1">AVERAGE(OFFSET($CC$3,0,0,'Données projet'!$E$12+1,1))-AVERAGE(OFFSET($H$3,0,0,'Données projet'!$E$12+1,1))</f>
        <v>330.58463337575432</v>
      </c>
      <c r="CE199" s="59">
        <f t="shared" si="207"/>
        <v>285.43250599232192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6.542075739181362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6.542075739181362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6">
        <f t="shared" si="192"/>
        <v>183.33333333333334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189.76714074331781</v>
      </c>
      <c r="T200" s="59">
        <f t="shared" si="204"/>
        <v>458.38901659119472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266.99999999999983</v>
      </c>
      <c r="AJ200" s="13">
        <f>AI200*VLOOKUP('Données projet'!$B$10,Paramètres!$A$1:$I$89,3,0)*VLOOKUP('Données projet'!$B$10,Paramètres!$A$1:$I$89,5,0)</f>
        <v>195.76439999999985</v>
      </c>
      <c r="AK200" s="13">
        <f t="shared" si="164"/>
        <v>48.812154563023455</v>
      </c>
      <c r="AL200" s="20">
        <f t="shared" si="165"/>
        <v>425.9708325305989</v>
      </c>
      <c r="AM200" s="59">
        <f t="shared" si="193"/>
        <v>716.38686505288774</v>
      </c>
      <c r="AN200" s="59">
        <f ca="1">AVERAGE(OFFSET($AM$3,0,0,'Données projet'!$E$10+1,1))-AVERAGE(OFFSET($H$3,0,0,'Données projet'!$E$10+1,1))</f>
        <v>302.36110224755532</v>
      </c>
      <c r="AO200" s="59">
        <f t="shared" si="205"/>
        <v>292.08583531469412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3.1972558100859105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3.1972558100859105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21.709999999999326</v>
      </c>
      <c r="BE200" s="13">
        <f>BD200*VLOOKUP('Données projet'!$B$11,Paramètres!$A$1:$I$89,3,0)*VLOOKUP('Données projet'!$B$11,Paramètres!$A$1:$I$89,5,0)</f>
        <v>20.659235999999357</v>
      </c>
      <c r="BF200" s="13">
        <f t="shared" si="167"/>
        <v>6.6924790783679047</v>
      </c>
      <c r="BG200" s="20">
        <f t="shared" si="168"/>
        <v>47.637570428156316</v>
      </c>
      <c r="BH200" s="59">
        <f t="shared" si="194"/>
        <v>338.05360295044511</v>
      </c>
      <c r="BI200" s="59">
        <f ca="1">AVERAGE(OFFSET($BH$3,0,0,'Données projet'!$E$11+1,1))-AVERAGE(OFFSET($H$3,0,0,'Données projet'!$E$11+1,1))</f>
        <v>697.21496579331188</v>
      </c>
      <c r="BJ200" s="59">
        <f t="shared" si="206"/>
        <v>215.64914236948769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248.70482033603344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248.70482033603344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212.00000000000009</v>
      </c>
      <c r="BZ200" s="13">
        <f>BY200*VLOOKUP('Données projet'!$B$12,Paramètres!$A$1:$I$89,3,0)*VLOOKUP('Données projet'!$B$12,Paramètres!$A$1:$I$89,5,0)</f>
        <v>185.20320000000009</v>
      </c>
      <c r="CA200" s="13">
        <f t="shared" si="170"/>
        <v>46.477875402099386</v>
      </c>
      <c r="CB200" s="20">
        <f t="shared" si="171"/>
        <v>403.5112063253232</v>
      </c>
      <c r="CC200" s="59">
        <f t="shared" si="195"/>
        <v>693.92723884761199</v>
      </c>
      <c r="CD200" s="59">
        <f ca="1">AVERAGE(OFFSET($CC$3,0,0,'Données projet'!$E$12+1,1))-AVERAGE(OFFSET($H$3,0,0,'Données projet'!$E$12+1,1))</f>
        <v>330.58463337575432</v>
      </c>
      <c r="CE200" s="59">
        <f t="shared" si="207"/>
        <v>285.43250599232192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6.41378962420821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6.41378962420821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6">
        <f t="shared" si="192"/>
        <v>183.33333333333334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189.76714074331781</v>
      </c>
      <c r="T201" s="59">
        <f t="shared" si="204"/>
        <v>458.38901659119472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266.99999999999983</v>
      </c>
      <c r="AJ201" s="13">
        <f>AI201*VLOOKUP('Données projet'!$B$10,Paramètres!$A$1:$I$89,3,0)*VLOOKUP('Données projet'!$B$10,Paramètres!$A$1:$I$89,5,0)</f>
        <v>195.76439999999985</v>
      </c>
      <c r="AK201" s="13">
        <f t="shared" si="164"/>
        <v>48.812154563023455</v>
      </c>
      <c r="AL201" s="20">
        <f t="shared" si="165"/>
        <v>425.9708325305989</v>
      </c>
      <c r="AM201" s="59">
        <f t="shared" si="193"/>
        <v>716.43747369985181</v>
      </c>
      <c r="AN201" s="59">
        <f ca="1">AVERAGE(OFFSET($AM$3,0,0,'Données projet'!$E$10+1,1))-AVERAGE(OFFSET($H$3,0,0,'Données projet'!$E$10+1,1))</f>
        <v>302.36110224755532</v>
      </c>
      <c r="AO201" s="59">
        <f t="shared" si="205"/>
        <v>292.08583531469412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3.1345595737836103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3.1345595737836103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21.709999999999326</v>
      </c>
      <c r="BE201" s="13">
        <f>BD201*VLOOKUP('Données projet'!$B$11,Paramètres!$A$1:$I$89,3,0)*VLOOKUP('Données projet'!$B$11,Paramètres!$A$1:$I$89,5,0)</f>
        <v>20.659235999999357</v>
      </c>
      <c r="BF201" s="13">
        <f t="shared" si="167"/>
        <v>6.6924790783679047</v>
      </c>
      <c r="BG201" s="20">
        <f t="shared" si="168"/>
        <v>47.637570428156316</v>
      </c>
      <c r="BH201" s="59">
        <f t="shared" si="194"/>
        <v>338.10421159740923</v>
      </c>
      <c r="BI201" s="59">
        <f ca="1">AVERAGE(OFFSET($BH$3,0,0,'Données projet'!$E$11+1,1))-AVERAGE(OFFSET($H$3,0,0,'Données projet'!$E$11+1,1))</f>
        <v>697.21496579331188</v>
      </c>
      <c r="BJ201" s="59">
        <f t="shared" si="206"/>
        <v>215.64914236948769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243.82787050420558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243.82787050420558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212.00000000000009</v>
      </c>
      <c r="BZ201" s="13">
        <f>BY201*VLOOKUP('Données projet'!$B$12,Paramètres!$A$1:$I$89,3,0)*VLOOKUP('Données projet'!$B$12,Paramètres!$A$1:$I$89,5,0)</f>
        <v>185.20320000000009</v>
      </c>
      <c r="CA201" s="13">
        <f t="shared" si="170"/>
        <v>46.477875402099386</v>
      </c>
      <c r="CB201" s="20">
        <f t="shared" si="171"/>
        <v>403.5112063253232</v>
      </c>
      <c r="CC201" s="59">
        <f t="shared" si="195"/>
        <v>693.97784749457605</v>
      </c>
      <c r="CD201" s="59">
        <f ca="1">AVERAGE(OFFSET($CC$3,0,0,'Données projet'!$E$12+1,1))-AVERAGE(OFFSET($H$3,0,0,'Données projet'!$E$12+1,1))</f>
        <v>330.58463337575432</v>
      </c>
      <c r="CE201" s="59">
        <f t="shared" si="207"/>
        <v>285.43250599232192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6.2880191217028774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6.2880191217028774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6">
        <f t="shared" si="192"/>
        <v>183.33333333333334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189.76714074331781</v>
      </c>
      <c r="T202" s="59">
        <f t="shared" si="204"/>
        <v>458.38901659119472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266.99999999999983</v>
      </c>
      <c r="AJ202" s="13">
        <f>AI202*VLOOKUP('Données projet'!$B$10,Paramètres!$A$1:$I$89,3,0)*VLOOKUP('Données projet'!$B$10,Paramètres!$A$1:$I$89,5,0)</f>
        <v>195.76439999999985</v>
      </c>
      <c r="AK202" s="13">
        <f t="shared" si="164"/>
        <v>48.812154563023455</v>
      </c>
      <c r="AL202" s="20">
        <f t="shared" si="165"/>
        <v>425.9708325305989</v>
      </c>
      <c r="AM202" s="59">
        <f t="shared" si="193"/>
        <v>716.48720439993508</v>
      </c>
      <c r="AN202" s="59">
        <f ca="1">AVERAGE(OFFSET($AM$3,0,0,'Données projet'!$E$10+1,1))-AVERAGE(OFFSET($H$3,0,0,'Données projet'!$E$10+1,1))</f>
        <v>302.36110224755532</v>
      </c>
      <c r="AO202" s="59">
        <f t="shared" si="205"/>
        <v>292.08583531469412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3.0730927724342698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3.0730927724342698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21.709999999999326</v>
      </c>
      <c r="BE202" s="13">
        <f>BD202*VLOOKUP('Données projet'!$B$11,Paramètres!$A$1:$I$89,3,0)*VLOOKUP('Données projet'!$B$11,Paramètres!$A$1:$I$89,5,0)</f>
        <v>20.659235999999357</v>
      </c>
      <c r="BF202" s="13">
        <f t="shared" si="167"/>
        <v>6.6924790783679047</v>
      </c>
      <c r="BG202" s="20">
        <f t="shared" si="168"/>
        <v>47.637570428156316</v>
      </c>
      <c r="BH202" s="59">
        <f t="shared" si="194"/>
        <v>338.15394229749245</v>
      </c>
      <c r="BI202" s="59">
        <f ca="1">AVERAGE(OFFSET($BH$3,0,0,'Données projet'!$E$11+1,1))-AVERAGE(OFFSET($H$3,0,0,'Données projet'!$E$11+1,1))</f>
        <v>697.21496579331188</v>
      </c>
      <c r="BJ202" s="59">
        <f t="shared" si="206"/>
        <v>215.64914236948769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239.0465546839342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239.0465546839342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212.00000000000009</v>
      </c>
      <c r="BZ202" s="13">
        <f>BY202*VLOOKUP('Données projet'!$B$12,Paramètres!$A$1:$I$89,3,0)*VLOOKUP('Données projet'!$B$12,Paramètres!$A$1:$I$89,5,0)</f>
        <v>185.20320000000009</v>
      </c>
      <c r="CA202" s="13">
        <f t="shared" si="170"/>
        <v>46.477875402099386</v>
      </c>
      <c r="CB202" s="20">
        <f t="shared" si="171"/>
        <v>403.5112063253232</v>
      </c>
      <c r="CC202" s="59">
        <f t="shared" si="195"/>
        <v>694.02757819465933</v>
      </c>
      <c r="CD202" s="59">
        <f ca="1">AVERAGE(OFFSET($CC$3,0,0,'Données projet'!$E$12+1,1))-AVERAGE(OFFSET($H$3,0,0,'Données projet'!$E$12+1,1))</f>
        <v>330.58463337575432</v>
      </c>
      <c r="CE202" s="59">
        <f t="shared" si="207"/>
        <v>285.43250599232192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6.1647149020392424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6.1647149020392424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6">
        <f t="shared" si="192"/>
        <v>183.33333333333334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189.76714074331781</v>
      </c>
      <c r="T203" s="59">
        <f t="shared" si="204"/>
        <v>458.38901659119472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266.99999999999983</v>
      </c>
      <c r="AJ203" s="13">
        <f>AI203*VLOOKUP('Données projet'!$B$10,Paramètres!$A$1:$I$89,3,0)*VLOOKUP('Données projet'!$B$10,Paramètres!$A$1:$I$89,5,0)</f>
        <v>195.76439999999985</v>
      </c>
      <c r="AK203" s="13">
        <f t="shared" si="164"/>
        <v>48.812154563023455</v>
      </c>
      <c r="AL203" s="20">
        <f t="shared" si="165"/>
        <v>425.9708325305989</v>
      </c>
      <c r="AM203" s="59">
        <f t="shared" si="193"/>
        <v>716.53607238355301</v>
      </c>
      <c r="AN203" s="59">
        <f ca="1">AVERAGE(OFFSET($AM$3,0,0,'Données projet'!$E$10+1,1))-AVERAGE(OFFSET($H$3,0,0,'Données projet'!$E$10+1,1))</f>
        <v>302.36110224755532</v>
      </c>
      <c r="AO203" s="59">
        <f t="shared" si="205"/>
        <v>292.08583531469412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3.0128312975683431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3.0128312975683431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21.709999999999326</v>
      </c>
      <c r="BE203" s="13">
        <f>BD203*VLOOKUP('Données projet'!$B$11,Paramètres!$A$1:$I$89,3,0)*VLOOKUP('Données projet'!$B$11,Paramètres!$A$1:$I$89,5,0)</f>
        <v>20.659235999999357</v>
      </c>
      <c r="BF203" s="13">
        <f t="shared" si="167"/>
        <v>6.6924790783679047</v>
      </c>
      <c r="BG203" s="20">
        <f t="shared" si="168"/>
        <v>47.637570428156316</v>
      </c>
      <c r="BH203" s="59">
        <f t="shared" si="194"/>
        <v>338.20281028111043</v>
      </c>
      <c r="BI203" s="59">
        <f ca="1">AVERAGE(OFFSET($BH$3,0,0,'Données projet'!$E$11+1,1))-AVERAGE(OFFSET($H$3,0,0,'Données projet'!$E$11+1,1))</f>
        <v>697.21496579331188</v>
      </c>
      <c r="BJ203" s="59">
        <f t="shared" si="206"/>
        <v>215.64914236948769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234.35899755058367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234.35899755058367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212.00000000000009</v>
      </c>
      <c r="BZ203" s="13">
        <f>BY203*VLOOKUP('Données projet'!$B$12,Paramètres!$A$1:$I$89,3,0)*VLOOKUP('Données projet'!$B$12,Paramètres!$A$1:$I$89,5,0)</f>
        <v>185.20320000000009</v>
      </c>
      <c r="CA203" s="13">
        <f t="shared" si="170"/>
        <v>46.477875402099386</v>
      </c>
      <c r="CB203" s="20">
        <f t="shared" si="171"/>
        <v>403.5112063253232</v>
      </c>
      <c r="CC203" s="59">
        <f t="shared" si="195"/>
        <v>694.07644617827737</v>
      </c>
      <c r="CD203" s="59">
        <f ca="1">AVERAGE(OFFSET($CC$3,0,0,'Données projet'!$E$12+1,1))-AVERAGE(OFFSET($H$3,0,0,'Données projet'!$E$12+1,1))</f>
        <v>330.58463337575432</v>
      </c>
      <c r="CE203" s="59">
        <f t="shared" si="207"/>
        <v>285.43250599232192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6.0438286029150632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6.0438286029150632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1.2721747796233518</v>
      </c>
      <c r="BA205" s="81">
        <f>EXP(LN('Données projet'!B88)/'Données projet'!A88)</f>
        <v>1.1549646791293957</v>
      </c>
      <c r="BV205" s="81">
        <f>EXP(LN('Données projet'!B114)/'Données projet'!A114)</f>
        <v>1.335141362540313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6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2.0888879999999999</v>
      </c>
      <c r="C6" s="145">
        <f ca="1">IF(OR('Données projet'!B9="",'Données projet'!C9="",'Données projet'!C9=0%),0,Calculateur!S3)</f>
        <v>189.76714074331781</v>
      </c>
      <c r="D6" s="145">
        <f>IF(OR('Données projet'!B9="",'Données projet'!C9="",'Données projet'!C9=0%),0,Calculateur!T3)</f>
        <v>458.38901659119472</v>
      </c>
      <c r="E6" s="145">
        <f ca="1">MIN(C6,D6)</f>
        <v>189.76714074331781</v>
      </c>
      <c r="F6" s="145">
        <f ca="1">E6*B6</f>
        <v>396.40230309302763</v>
      </c>
      <c r="G6" s="145">
        <f ca="1">F6*(100%-'Données projet'!$C$24)*(100%-'Données projet'!$C$25)*(100%-'Données projet'!$C$26)*(100%-'Données projet'!$C$27)</f>
        <v>303.24776186616612</v>
      </c>
      <c r="H6" s="146">
        <f>IF(OR('Données projet'!B9="",'Données projet'!C9="",'Données projet'!C9=0%),0,AVERAGE(Calculateur!$AC$3:$AC$33)*B6)</f>
        <v>36.068269451310478</v>
      </c>
      <c r="I6" s="147">
        <f>H6*(100%-'Données projet'!$C$24)*(100%-'Données projet'!$C$25)*(100%-'Données projet'!$C$26)*(100%-'Données projet'!$C$27)</f>
        <v>27.592226130252516</v>
      </c>
      <c r="J6" s="148">
        <f>IF(OR('Données projet'!B9="",'Données projet'!C9="",'Données projet'!C9=0%),0,SUM(Calculateur!$V$3:$V$33)*VLOOKUP('Données projet'!$B$9,Paramètres!$A$1:$I$89,9,0)*B6)</f>
        <v>544.74021263999987</v>
      </c>
      <c r="K6" s="149">
        <f>J6*(100%-'Données projet'!$C$24)*(100%-'Données projet'!$C$25)*(100%-'Données projet'!$C$26)*(100%-'Données projet'!$C$27)</f>
        <v>416.72626266959986</v>
      </c>
      <c r="L6" s="150">
        <f ca="1">G6+I6+K6</f>
        <v>747.5662506660185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Châtaignier</v>
      </c>
      <c r="B7" s="152">
        <f>'Données projet'!D10</f>
        <v>0.17777699999999999</v>
      </c>
      <c r="C7" s="145">
        <f ca="1">IF(OR('Données projet'!B10="",'Données projet'!C10="",'Données projet'!C10=0%),0,Calculateur!AN3)</f>
        <v>302.36110224755532</v>
      </c>
      <c r="D7" s="145">
        <f>IF(OR('Données projet'!B10="",'Données projet'!C10="",'Données projet'!C10=0%),0,Calculateur!AO3)</f>
        <v>292.08583531469412</v>
      </c>
      <c r="E7" s="145">
        <f t="shared" ref="E7:E15" ca="1" si="0">MIN(C7,D7)</f>
        <v>292.08583531469412</v>
      </c>
      <c r="F7" s="145">
        <f t="shared" ref="F7:F15" ca="1" si="1">E7*B7</f>
        <v>51.926143544740377</v>
      </c>
      <c r="G7" s="145">
        <f ca="1">F7*(100%-'Données projet'!$C$24)*(100%-'Données projet'!$C$25)*(100%-'Données projet'!$C$26)*(100%-'Données projet'!$C$27)</f>
        <v>39.723499811726384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4.3999807500000001</v>
      </c>
      <c r="K7" s="149">
        <f>J7*(100%-'Données projet'!$C$24)*(100%-'Données projet'!$C$25)*(100%-'Données projet'!$C$26)*(100%-'Données projet'!$C$27)</f>
        <v>3.3659852737499998</v>
      </c>
      <c r="L7" s="150">
        <f t="shared" ref="L7:L15" ca="1" si="2">G7+I7+K7</f>
        <v>43.089485085476383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>Charme</v>
      </c>
      <c r="B8" s="152">
        <f>'Données projet'!D11</f>
        <v>0.17777699999999999</v>
      </c>
      <c r="C8" s="145">
        <f ca="1">IF(OR('Données projet'!B11="",'Données projet'!C11="",'Données projet'!C11=0%),0,Calculateur!BI3)</f>
        <v>697.21496579331188</v>
      </c>
      <c r="D8" s="145">
        <f>IF(OR('Données projet'!B11="",'Données projet'!C11="",'Données projet'!C11=0%),0,Calculateur!BJ3)</f>
        <v>215.64914236948769</v>
      </c>
      <c r="E8" s="145">
        <f t="shared" ca="1" si="0"/>
        <v>215.64914236948769</v>
      </c>
      <c r="F8" s="145">
        <f t="shared" ca="1" si="1"/>
        <v>38.337457583020409</v>
      </c>
      <c r="G8" s="145">
        <f ca="1">F8*(100%-'Données projet'!$C$24)*(100%-'Données projet'!$C$25)*(100%-'Données projet'!$C$26)*(100%-'Données projet'!$C$27)</f>
        <v>29.328155051010615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29.328155051010615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>Chêne rouge d'Amérique</v>
      </c>
      <c r="B9" s="152">
        <f>'Données projet'!D12</f>
        <v>0.55555500000000002</v>
      </c>
      <c r="C9" s="145">
        <f ca="1">IF(OR('Données projet'!B12="",'Données projet'!C12="",'Données projet'!C12=0%),0,Calculateur!CD3)</f>
        <v>330.58463337575432</v>
      </c>
      <c r="D9" s="145">
        <f>IF(OR('Données projet'!B12="",'Données projet'!C12="",'Données projet'!C12=0%),0,Calculateur!CE3)</f>
        <v>285.43250599232192</v>
      </c>
      <c r="E9" s="145">
        <f t="shared" ca="1" si="0"/>
        <v>285.43250599232192</v>
      </c>
      <c r="F9" s="145">
        <f t="shared" ca="1" si="1"/>
        <v>158.57345586656442</v>
      </c>
      <c r="G9" s="145">
        <f ca="1">F9*(100%-'Données projet'!$C$24)*(100%-'Données projet'!$C$25)*(100%-'Données projet'!$C$26)*(100%-'Données projet'!$C$27)</f>
        <v>121.30869373792179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9.4444350000000004</v>
      </c>
      <c r="K9" s="149">
        <f>J9*(100%-'Données projet'!$C$24)*(100%-'Données projet'!$C$25)*(100%-'Données projet'!$C$26)*(100%-'Données projet'!$C$27)</f>
        <v>7.2249927749999996</v>
      </c>
      <c r="L9" s="150">
        <f t="shared" ca="1" si="2"/>
        <v>128.53368651292178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645.23936008735291</v>
      </c>
      <c r="G16" s="164">
        <f t="shared" ca="1" si="3"/>
        <v>493.60811046682488</v>
      </c>
      <c r="H16" s="165">
        <f t="shared" si="3"/>
        <v>36.068269451310478</v>
      </c>
      <c r="I16" s="165">
        <f t="shared" si="3"/>
        <v>27.592226130252516</v>
      </c>
      <c r="J16" s="166">
        <f t="shared" si="3"/>
        <v>558.58462838999992</v>
      </c>
      <c r="K16" s="166">
        <f t="shared" si="3"/>
        <v>427.31724071834986</v>
      </c>
      <c r="L16" s="167">
        <f t="shared" ca="1" si="3"/>
        <v>948.51757731542727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Châtaignier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>Chêne rouge d'Amérique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" zoomScale="90" zoomScaleNormal="90" workbookViewId="0">
      <selection activeCell="L26" sqref="L26:P2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4914.775276584016</v>
      </c>
      <c r="U10" s="176">
        <f>'Données projet'!D9</f>
        <v>2.0888879999999999</v>
      </c>
      <c r="V10" s="175">
        <f>U10*T10</f>
        <v>10266.415097953031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Châtaignier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-738.95771960236925</v>
      </c>
      <c r="U11" s="176">
        <f>'Données projet'!D10</f>
        <v>0.17777699999999999</v>
      </c>
      <c r="V11" s="175">
        <f t="shared" ref="V11" si="0">U11*T11</f>
        <v>-131.36968651775038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Charme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-294.45521348534083</v>
      </c>
      <c r="U12" s="176">
        <f>'Données projet'!D11</f>
        <v>0.17777699999999999</v>
      </c>
      <c r="V12" s="175">
        <f t="shared" ref="V12:V19" si="1">U12*T12</f>
        <v>-52.347364487783437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Chêne rouge d'Amérique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-221.74312900604471</v>
      </c>
      <c r="U13" s="176">
        <f>'Données projet'!D12</f>
        <v>0.55555500000000002</v>
      </c>
      <c r="V13" s="175">
        <f t="shared" si="1"/>
        <v>-123.19050403495318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>
        <v>1197.95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2937.5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982.5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1080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>
        <v>1080</v>
      </c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-7479.7326589138993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>
        <v>25</v>
      </c>
      <c r="D24" s="180">
        <f t="shared" ref="D24:D42" si="2">B24*C24</f>
        <v>850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6483.3332041083249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125</v>
      </c>
      <c r="Q25" s="232"/>
      <c r="R25" s="23"/>
      <c r="S25" s="184" t="s">
        <v>266</v>
      </c>
      <c r="T25" s="308">
        <f ca="1">T23-T24</f>
        <v>-13963.065863022224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>
        <v>31.25</v>
      </c>
      <c r="D29" s="180">
        <f t="shared" si="2"/>
        <v>1343.75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2161.1110680361085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125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>
        <v>40</v>
      </c>
      <c r="D34" s="180">
        <f t="shared" si="2"/>
        <v>2240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119.61722488038278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114.46624390467254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109.53707550686367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104.82016794915187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100.30638081258552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95.986967284770856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91.853557210307031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87.898140871107231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>
        <v>50</v>
      </c>
      <c r="D42" s="180">
        <f t="shared" si="2"/>
        <v>15450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84.113053465174389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80.490960253755404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77.024842348091298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Châtaignier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73.707983108221356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70.533955127484546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67.496607777497189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2419.38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64.590055289470996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61.808665348776096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59.147048180646976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56.600046105882285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54.162723546298842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51.830357460573069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15</v>
      </c>
      <c r="B54" s="179">
        <f>'Données projet'!D62</f>
        <v>15</v>
      </c>
      <c r="C54" s="189">
        <v>25</v>
      </c>
      <c r="D54" s="177">
        <f>B54*C54</f>
        <v>375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49.598428191935945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20</v>
      </c>
      <c r="B55" s="179">
        <f>'Données projet'!D63</f>
        <v>28</v>
      </c>
      <c r="C55" s="189">
        <v>25</v>
      </c>
      <c r="D55" s="177">
        <f t="shared" ref="D55:D73" si="4">B55*C55</f>
        <v>700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47.462610709986564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25</v>
      </c>
      <c r="B56" s="179">
        <f>'Données projet'!D64</f>
        <v>28</v>
      </c>
      <c r="C56" s="189">
        <v>25</v>
      </c>
      <c r="D56" s="177">
        <f t="shared" si="4"/>
        <v>700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45.418766229652213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30</v>
      </c>
      <c r="B57" s="179">
        <f>'Données projet'!D65</f>
        <v>28</v>
      </c>
      <c r="C57" s="189">
        <v>25</v>
      </c>
      <c r="D57" s="177">
        <f t="shared" si="4"/>
        <v>700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43.462934191054757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35</v>
      </c>
      <c r="B58" s="179">
        <f>'Données projet'!D66</f>
        <v>28</v>
      </c>
      <c r="C58" s="189">
        <v>55</v>
      </c>
      <c r="D58" s="177">
        <f t="shared" si="4"/>
        <v>1540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41.5913245847414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40</v>
      </c>
      <c r="B59" s="179">
        <f>'Données projet'!D67</f>
        <v>28</v>
      </c>
      <c r="C59" s="189">
        <v>55</v>
      </c>
      <c r="D59" s="177">
        <f t="shared" si="4"/>
        <v>1540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39.800310607408051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45</v>
      </c>
      <c r="B60" s="179">
        <f>'Données projet'!D68</f>
        <v>22</v>
      </c>
      <c r="C60" s="189">
        <v>55</v>
      </c>
      <c r="D60" s="177">
        <f t="shared" si="4"/>
        <v>1210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38.086421633883297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50</v>
      </c>
      <c r="B61" s="179">
        <f>'Données projet'!D69</f>
        <v>17</v>
      </c>
      <c r="C61" s="189">
        <v>55</v>
      </c>
      <c r="D61" s="177">
        <f t="shared" si="4"/>
        <v>935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36.446336491754366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55</v>
      </c>
      <c r="B62" s="179">
        <f>'Données projet'!D70</f>
        <v>13</v>
      </c>
      <c r="C62" s="189">
        <v>55</v>
      </c>
      <c r="D62" s="177">
        <f t="shared" si="4"/>
        <v>715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34.876877025602255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60</v>
      </c>
      <c r="B63" s="179">
        <f>'Données projet'!D71</f>
        <v>12</v>
      </c>
      <c r="C63" s="189">
        <v>55</v>
      </c>
      <c r="D63" s="177">
        <f t="shared" si="4"/>
        <v>660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33.375001938375377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65</v>
      </c>
      <c r="B64" s="179">
        <f>'Données projet'!D72</f>
        <v>11</v>
      </c>
      <c r="C64" s="189">
        <v>55</v>
      </c>
      <c r="D64" s="177">
        <f t="shared" si="4"/>
        <v>605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70</v>
      </c>
      <c r="B65" s="179">
        <f>'Données projet'!D73</f>
        <v>10</v>
      </c>
      <c r="C65" s="189">
        <v>55</v>
      </c>
      <c r="D65" s="177">
        <f t="shared" si="4"/>
        <v>550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75</v>
      </c>
      <c r="B66" s="179">
        <f>'Données projet'!D74</f>
        <v>9</v>
      </c>
      <c r="C66" s="189">
        <v>55</v>
      </c>
      <c r="D66" s="177">
        <f t="shared" si="4"/>
        <v>495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80</v>
      </c>
      <c r="B67" s="179">
        <f>'Données projet'!D75</f>
        <v>8</v>
      </c>
      <c r="C67" s="189">
        <v>55</v>
      </c>
      <c r="D67" s="177">
        <f t="shared" si="4"/>
        <v>440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>Charme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>
        <v>1565.41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42</v>
      </c>
      <c r="B86" s="179">
        <f>'Données projet'!D89</f>
        <v>43.21</v>
      </c>
      <c r="C86" s="189">
        <v>55</v>
      </c>
      <c r="D86" s="177">
        <f t="shared" ref="D86:D104" si="6">B86*C86</f>
        <v>2376.5500000000002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50</v>
      </c>
      <c r="B87" s="179">
        <f>'Données projet'!D90</f>
        <v>35.58</v>
      </c>
      <c r="C87" s="189">
        <v>55</v>
      </c>
      <c r="D87" s="177">
        <f t="shared" si="6"/>
        <v>1956.8999999999999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58</v>
      </c>
      <c r="B88" s="179">
        <f>'Données projet'!D91</f>
        <v>44.93</v>
      </c>
      <c r="C88" s="189">
        <v>55</v>
      </c>
      <c r="D88" s="177">
        <f t="shared" si="6"/>
        <v>2471.15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66</v>
      </c>
      <c r="B89" s="179">
        <f>'Données projet'!D92</f>
        <v>49.91</v>
      </c>
      <c r="C89" s="189">
        <v>55</v>
      </c>
      <c r="D89" s="177">
        <f t="shared" si="6"/>
        <v>2745.0499999999997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74</v>
      </c>
      <c r="B90" s="179">
        <f>'Données projet'!D93</f>
        <v>47.4</v>
      </c>
      <c r="C90" s="189">
        <v>55</v>
      </c>
      <c r="D90" s="177">
        <f t="shared" si="6"/>
        <v>2607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84</v>
      </c>
      <c r="B91" s="179">
        <f>'Données projet'!D94</f>
        <v>61.47</v>
      </c>
      <c r="C91" s="189">
        <v>55</v>
      </c>
      <c r="D91" s="177">
        <f t="shared" si="6"/>
        <v>3380.85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94</v>
      </c>
      <c r="B92" s="179">
        <f>'Données projet'!D95</f>
        <v>61.85</v>
      </c>
      <c r="C92" s="189">
        <v>55</v>
      </c>
      <c r="D92" s="177">
        <f t="shared" si="6"/>
        <v>3401.75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104</v>
      </c>
      <c r="B93" s="179">
        <f>'Données projet'!D96</f>
        <v>60.19</v>
      </c>
      <c r="C93" s="189">
        <v>55</v>
      </c>
      <c r="D93" s="177">
        <f t="shared" si="6"/>
        <v>3310.45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114</v>
      </c>
      <c r="B94" s="179">
        <f>'Données projet'!D97</f>
        <v>56.07</v>
      </c>
      <c r="C94" s="189">
        <v>55</v>
      </c>
      <c r="D94" s="177">
        <f t="shared" si="6"/>
        <v>3083.85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124</v>
      </c>
      <c r="B95" s="179">
        <f>'Données projet'!D98</f>
        <v>52.53</v>
      </c>
      <c r="C95" s="189">
        <v>55</v>
      </c>
      <c r="D95" s="177">
        <f t="shared" si="6"/>
        <v>2889.15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134</v>
      </c>
      <c r="B96" s="179">
        <f>'Données projet'!D99</f>
        <v>54.95</v>
      </c>
      <c r="C96" s="189">
        <v>55</v>
      </c>
      <c r="D96" s="177">
        <f t="shared" si="6"/>
        <v>3022.25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144</v>
      </c>
      <c r="B97" s="179">
        <f>'Données projet'!D100</f>
        <v>56.01</v>
      </c>
      <c r="C97" s="189">
        <v>55</v>
      </c>
      <c r="D97" s="177">
        <f t="shared" si="6"/>
        <v>3080.5499999999997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154</v>
      </c>
      <c r="B98" s="179">
        <f>'Données projet'!D101</f>
        <v>55.13</v>
      </c>
      <c r="C98" s="189">
        <v>55</v>
      </c>
      <c r="D98" s="177">
        <f t="shared" si="6"/>
        <v>3032.15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164</v>
      </c>
      <c r="B99" s="179">
        <f>'Données projet'!D102</f>
        <v>59.58</v>
      </c>
      <c r="C99" s="189">
        <v>55</v>
      </c>
      <c r="D99" s="177">
        <f t="shared" si="6"/>
        <v>3276.9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174</v>
      </c>
      <c r="B100" s="179">
        <f>'Données projet'!D103</f>
        <v>214.77</v>
      </c>
      <c r="C100" s="189">
        <v>55</v>
      </c>
      <c r="D100" s="177">
        <f t="shared" si="6"/>
        <v>11812.35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177</v>
      </c>
      <c r="B101" s="179">
        <f>'Données projet'!D104</f>
        <v>115.19</v>
      </c>
      <c r="C101" s="189">
        <v>55</v>
      </c>
      <c r="D101" s="177">
        <f t="shared" si="6"/>
        <v>6335.45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180</v>
      </c>
      <c r="B102" s="179">
        <f>'Données projet'!D105</f>
        <v>77.72</v>
      </c>
      <c r="C102" s="189">
        <v>55</v>
      </c>
      <c r="D102" s="177">
        <f t="shared" si="6"/>
        <v>4274.6000000000004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183</v>
      </c>
      <c r="B103" s="179">
        <f>'Données projet'!D106</f>
        <v>169.76</v>
      </c>
      <c r="C103" s="189">
        <v>55</v>
      </c>
      <c r="D103" s="177">
        <f t="shared" si="6"/>
        <v>9336.7999999999993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>Chêne rouge d'Amérique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1803.19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10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15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20</v>
      </c>
      <c r="B118" s="179">
        <f>'Données projet'!D116</f>
        <v>29</v>
      </c>
      <c r="C118" s="189">
        <v>25</v>
      </c>
      <c r="D118" s="177">
        <f t="shared" si="8"/>
        <v>725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25</v>
      </c>
      <c r="B119" s="179">
        <f>'Données projet'!D117</f>
        <v>19</v>
      </c>
      <c r="C119" s="189">
        <v>25</v>
      </c>
      <c r="D119" s="177">
        <f t="shared" si="8"/>
        <v>475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30</v>
      </c>
      <c r="B120" s="179">
        <f>'Données projet'!D118</f>
        <v>20</v>
      </c>
      <c r="C120" s="189">
        <v>25</v>
      </c>
      <c r="D120" s="177">
        <f t="shared" si="8"/>
        <v>500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35</v>
      </c>
      <c r="B121" s="179">
        <f>'Données projet'!D119</f>
        <v>20</v>
      </c>
      <c r="C121" s="189">
        <v>55</v>
      </c>
      <c r="D121" s="177">
        <f t="shared" si="8"/>
        <v>1100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40</v>
      </c>
      <c r="B122" s="179">
        <f>'Données projet'!D120</f>
        <v>20</v>
      </c>
      <c r="C122" s="189">
        <v>55</v>
      </c>
      <c r="D122" s="177">
        <f t="shared" si="8"/>
        <v>1100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45</v>
      </c>
      <c r="B123" s="179">
        <f>'Données projet'!D121</f>
        <v>19</v>
      </c>
      <c r="C123" s="189">
        <v>55</v>
      </c>
      <c r="D123" s="177">
        <f t="shared" si="8"/>
        <v>1045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50</v>
      </c>
      <c r="B124" s="179">
        <f>'Données projet'!D122</f>
        <v>18</v>
      </c>
      <c r="C124" s="189">
        <v>55</v>
      </c>
      <c r="D124" s="177">
        <f t="shared" si="8"/>
        <v>990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55</v>
      </c>
      <c r="B125" s="179">
        <f>'Données projet'!D123</f>
        <v>17</v>
      </c>
      <c r="C125" s="189">
        <v>55</v>
      </c>
      <c r="D125" s="177">
        <f t="shared" si="8"/>
        <v>935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60</v>
      </c>
      <c r="B126" s="179">
        <f>'Données projet'!D124</f>
        <v>16</v>
      </c>
      <c r="C126" s="189">
        <v>55</v>
      </c>
      <c r="D126" s="177">
        <f t="shared" si="8"/>
        <v>880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65</v>
      </c>
      <c r="B127" s="179">
        <f>'Données projet'!D125</f>
        <v>15</v>
      </c>
      <c r="C127" s="189">
        <v>55</v>
      </c>
      <c r="D127" s="177">
        <f t="shared" si="8"/>
        <v>825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70</v>
      </c>
      <c r="B128" s="179">
        <f>'Données projet'!D126</f>
        <v>14</v>
      </c>
      <c r="C128" s="189">
        <v>55</v>
      </c>
      <c r="D128" s="177">
        <f t="shared" si="8"/>
        <v>770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75</v>
      </c>
      <c r="B129" s="179">
        <f>'Données projet'!D127</f>
        <v>12</v>
      </c>
      <c r="C129" s="189">
        <v>55</v>
      </c>
      <c r="D129" s="177">
        <f t="shared" si="8"/>
        <v>660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80</v>
      </c>
      <c r="B130" s="179">
        <f>'Données projet'!D128</f>
        <v>11</v>
      </c>
      <c r="C130" s="189">
        <v>55</v>
      </c>
      <c r="D130" s="177">
        <f t="shared" si="8"/>
        <v>605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85</v>
      </c>
      <c r="B131" s="179">
        <f>'Données projet'!D129</f>
        <v>10</v>
      </c>
      <c r="C131" s="189">
        <v>55</v>
      </c>
      <c r="D131" s="177">
        <f t="shared" si="8"/>
        <v>550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90</v>
      </c>
      <c r="B132" s="179">
        <f>'Données projet'!D130</f>
        <v>10</v>
      </c>
      <c r="C132" s="189">
        <v>55</v>
      </c>
      <c r="D132" s="177">
        <f t="shared" si="8"/>
        <v>550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95</v>
      </c>
      <c r="B133" s="179">
        <f>'Données projet'!D131</f>
        <v>11</v>
      </c>
      <c r="C133" s="189">
        <v>55</v>
      </c>
      <c r="D133" s="177">
        <f t="shared" si="8"/>
        <v>605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100</v>
      </c>
      <c r="B134" s="179">
        <f>'Données projet'!D132</f>
        <v>11</v>
      </c>
      <c r="C134" s="189">
        <v>55</v>
      </c>
      <c r="D134" s="177">
        <f t="shared" si="8"/>
        <v>605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2025-12-19T10:34:57Z</dcterms:modified>
</cp:coreProperties>
</file>