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5-2026/BRICHET (Sceaux d'Anjou 1) - 21604295 LE/"/>
    </mc:Choice>
  </mc:AlternateContent>
  <xr:revisionPtr revIDLastSave="45" documentId="14_{B74C86EA-59CC-4C7E-A227-7452826F5235}" xr6:coauthVersionLast="47" xr6:coauthVersionMax="47" xr10:uidLastSave="{95579F07-699F-4B31-AAD9-CA5C50F72950}"/>
  <bookViews>
    <workbookView xWindow="-28920" yWindow="7515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V114" i="2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FS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FS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D155" i="2"/>
  <c r="EB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A161" i="2"/>
  <c r="EB161" i="2"/>
  <c r="FS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DI161" i="2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R164" i="2" l="1"/>
  <c r="HH164" i="2"/>
  <c r="DI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I167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A172" i="2"/>
  <c r="ED171" i="2"/>
  <c r="EB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ED177" i="2"/>
  <c r="HH178" i="2"/>
  <c r="HG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I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W185" i="2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A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HI194" i="2"/>
  <c r="EB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HI195" i="2"/>
  <c r="AA195" i="2"/>
  <c r="ED194" i="2"/>
  <c r="EB195" i="2"/>
  <c r="E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HH197" i="2"/>
  <c r="AA197" i="2"/>
  <c r="EA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DI200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78" i="2" a="1"/>
  <c r="FY78" i="2" s="1"/>
  <c r="FY190" i="2" a="1"/>
  <c r="FY190" i="2" s="1"/>
  <c r="FY104" i="2" a="1"/>
  <c r="FY104" i="2" s="1"/>
  <c r="BC58" i="2" a="1"/>
  <c r="BC58" i="2" s="1"/>
  <c r="GT115" i="2" a="1"/>
  <c r="GT115" i="2" s="1"/>
  <c r="GT184" i="2" a="1"/>
  <c r="GT184" i="2" s="1"/>
  <c r="GT181" i="2" a="1"/>
  <c r="GT181" i="2" s="1"/>
  <c r="EI166" i="2" a="1"/>
  <c r="EI166" i="2" s="1"/>
  <c r="EI106" i="2" a="1"/>
  <c r="EI106" i="2" s="1"/>
  <c r="EI142" i="2" a="1"/>
  <c r="EI142" i="2" s="1"/>
  <c r="DN124" i="2" a="1"/>
  <c r="DN124" i="2" s="1"/>
  <c r="DN137" i="2" a="1"/>
  <c r="DN137" i="2" s="1"/>
  <c r="DN86" i="2" a="1"/>
  <c r="DN86" i="2" s="1"/>
  <c r="DN188" i="2" a="1"/>
  <c r="DN188" i="2" s="1"/>
  <c r="EI195" i="2" a="1"/>
  <c r="EI195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92" i="2" a="1"/>
  <c r="BC192" i="2" s="1"/>
  <c r="BC164" i="2" a="1"/>
  <c r="BC164" i="2" s="1"/>
  <c r="BC32" i="2" a="1"/>
  <c r="BC32" i="2" s="1"/>
  <c r="BC84" i="2" a="1"/>
  <c r="BC84" i="2" s="1"/>
  <c r="BC185" i="2" a="1"/>
  <c r="BC185" i="2" s="1"/>
  <c r="GT178" i="2" a="1"/>
  <c r="GT178" i="2" s="1"/>
  <c r="GT74" i="2" a="1"/>
  <c r="GT74" i="2" s="1"/>
  <c r="GT126" i="2" a="1"/>
  <c r="GT126" i="2" s="1"/>
  <c r="GT38" i="2" a="1"/>
  <c r="GT3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2" i="2" a="1"/>
  <c r="DN162" i="2" s="1"/>
  <c r="DN16" i="2" a="1"/>
  <c r="DN16" i="2" s="1"/>
  <c r="DN6" i="2" a="1"/>
  <c r="DN6" i="2" s="1"/>
  <c r="DO6" i="2" s="1"/>
  <c r="FD82" i="2" a="1"/>
  <c r="FD82" i="2" s="1"/>
  <c r="HJ202" i="2"/>
  <c r="EY202" i="2"/>
  <c r="AX200" i="2"/>
  <c r="CS114" i="2" l="1" a="1"/>
  <c r="CS114" i="2" s="1"/>
  <c r="BC114" i="2" a="1"/>
  <c r="BC114" i="2" s="1"/>
  <c r="BC126" i="2" a="1"/>
  <c r="BC126" i="2" s="1"/>
  <c r="BC47" i="2" a="1"/>
  <c r="BC47" i="2" s="1"/>
  <c r="BX107" i="2" a="1"/>
  <c r="BX107" i="2" s="1"/>
  <c r="BC65" i="2" a="1"/>
  <c r="BC65" i="2" s="1"/>
  <c r="BC143" i="2" a="1"/>
  <c r="BC143" i="2" s="1"/>
  <c r="BC31" i="2" a="1"/>
  <c r="BC31" i="2" s="1"/>
  <c r="DN45" i="2" a="1"/>
  <c r="DN45" i="2" s="1"/>
  <c r="GT189" i="2" a="1"/>
  <c r="GT189" i="2" s="1"/>
  <c r="DN38" i="2" a="1"/>
  <c r="DN38" i="2" s="1"/>
  <c r="DN170" i="2" a="1"/>
  <c r="DN170" i="2" s="1"/>
  <c r="GT21" i="2" a="1"/>
  <c r="GT21" i="2" s="1"/>
  <c r="DN129" i="2" a="1"/>
  <c r="DN129" i="2" s="1"/>
  <c r="GT11" i="2" a="1"/>
  <c r="GT11" i="2" s="1"/>
  <c r="DN56" i="2" a="1"/>
  <c r="DN56" i="2" s="1"/>
  <c r="DN46" i="2" a="1"/>
  <c r="DN46" i="2" s="1"/>
  <c r="DN176" i="2" a="1"/>
  <c r="DN176" i="2" s="1"/>
  <c r="DN80" i="2" a="1"/>
  <c r="DN80" i="2" s="1"/>
  <c r="GT12" i="2" a="1"/>
  <c r="GT12" i="2" s="1"/>
  <c r="DN50" i="2" a="1"/>
  <c r="DN50" i="2" s="1"/>
  <c r="GT102" i="2" a="1"/>
  <c r="GT102" i="2" s="1"/>
  <c r="BC82" i="2" a="1"/>
  <c r="BC82" i="2" s="1"/>
  <c r="DN155" i="2" a="1"/>
  <c r="DN155" i="2" s="1"/>
  <c r="DN115" i="2" a="1"/>
  <c r="DN115" i="2" s="1"/>
  <c r="DN168" i="2" a="1"/>
  <c r="DN168" i="2" s="1"/>
  <c r="DN63" i="2" a="1"/>
  <c r="DN63" i="2" s="1"/>
  <c r="DN113" i="2" a="1"/>
  <c r="DN113" i="2" s="1"/>
  <c r="GT147" i="2" a="1"/>
  <c r="GT147" i="2" s="1"/>
  <c r="DN49" i="2" a="1"/>
  <c r="DN49" i="2" s="1"/>
  <c r="DN132" i="2" a="1"/>
  <c r="DN132" i="2" s="1"/>
  <c r="DN153" i="2" a="1"/>
  <c r="DN153" i="2" s="1"/>
  <c r="DN190" i="2" a="1"/>
  <c r="DN190" i="2" s="1"/>
  <c r="DN133" i="2" a="1"/>
  <c r="DN133" i="2" s="1"/>
  <c r="DN114" i="2" a="1"/>
  <c r="DN114" i="2" s="1"/>
  <c r="DN25" i="2" a="1"/>
  <c r="DN25" i="2" s="1"/>
  <c r="GT152" i="2" a="1"/>
  <c r="GT152" i="2" s="1"/>
  <c r="BC68" i="2" a="1"/>
  <c r="BC68" i="2" s="1"/>
  <c r="FS203" i="2"/>
  <c r="DN164" i="2" a="1"/>
  <c r="DN164" i="2" s="1"/>
  <c r="DN30" i="2" a="1"/>
  <c r="DN30" i="2" s="1"/>
  <c r="GT198" i="2" a="1"/>
  <c r="GT198" i="2" s="1"/>
  <c r="DN65" i="2" a="1"/>
  <c r="DN65" i="2" s="1"/>
  <c r="GT15" i="2" a="1"/>
  <c r="GT15" i="2" s="1"/>
  <c r="DN103" i="2" a="1"/>
  <c r="DN103" i="2" s="1"/>
  <c r="DN184" i="2" a="1"/>
  <c r="DN184" i="2" s="1"/>
  <c r="GT33" i="2" a="1"/>
  <c r="GT33" i="2" s="1"/>
  <c r="DN135" i="2" a="1"/>
  <c r="DN135" i="2" s="1"/>
  <c r="DN70" i="2" a="1"/>
  <c r="DN70" i="2" s="1"/>
  <c r="GT138" i="2" a="1"/>
  <c r="GT138" i="2" s="1"/>
  <c r="DN123" i="2" a="1"/>
  <c r="DN123" i="2" s="1"/>
  <c r="DN152" i="2" a="1"/>
  <c r="DN152" i="2" s="1"/>
  <c r="GT133" i="2" a="1"/>
  <c r="GT133" i="2" s="1"/>
  <c r="DN55" i="2" a="1"/>
  <c r="DN55" i="2" s="1"/>
  <c r="GT107" i="2" a="1"/>
  <c r="GT107" i="2" s="1"/>
  <c r="DN29" i="2" a="1"/>
  <c r="DN29" i="2" s="1"/>
  <c r="GT121" i="2" a="1"/>
  <c r="GT121" i="2" s="1"/>
  <c r="DN110" i="2" a="1"/>
  <c r="DN110" i="2" s="1"/>
  <c r="DN41" i="2" a="1"/>
  <c r="DN41" i="2" s="1"/>
  <c r="GT122" i="2" a="1"/>
  <c r="GT122" i="2" s="1"/>
  <c r="DN177" i="2" a="1"/>
  <c r="DN177" i="2" s="1"/>
  <c r="GT174" i="2" a="1"/>
  <c r="GT174" i="2" s="1"/>
  <c r="DN150" i="2" a="1"/>
  <c r="DN150" i="2" s="1"/>
  <c r="DN31" i="2" a="1"/>
  <c r="DN31" i="2" s="1"/>
  <c r="GT190" i="2" a="1"/>
  <c r="GT190" i="2" s="1"/>
  <c r="DN192" i="2" a="1"/>
  <c r="DN192" i="2" s="1"/>
  <c r="DN43" i="2" a="1"/>
  <c r="DN43" i="2" s="1"/>
  <c r="GT51" i="2" a="1"/>
  <c r="GT51" i="2" s="1"/>
  <c r="FY186" i="2" a="1"/>
  <c r="FY186" i="2" s="1"/>
  <c r="DN187" i="2" a="1"/>
  <c r="DN187" i="2" s="1"/>
  <c r="DN167" i="2" a="1"/>
  <c r="DN167" i="2" s="1"/>
  <c r="GT191" i="2" a="1"/>
  <c r="GT191" i="2" s="1"/>
  <c r="DN66" i="2" a="1"/>
  <c r="DN66" i="2" s="1"/>
  <c r="DN186" i="2" a="1"/>
  <c r="DN186" i="2" s="1"/>
  <c r="GT68" i="2" a="1"/>
  <c r="GT68" i="2" s="1"/>
  <c r="FY69" i="2" a="1"/>
  <c r="FY69" i="2" s="1"/>
  <c r="CS129" i="2" a="1"/>
  <c r="CS129" i="2" s="1"/>
  <c r="CS120" i="2" a="1"/>
  <c r="CS120" i="2" s="1"/>
  <c r="CS137" i="2" a="1"/>
  <c r="CS137" i="2" s="1"/>
  <c r="CS77" i="2" a="1"/>
  <c r="CS77" i="2" s="1"/>
  <c r="CS116" i="2" a="1"/>
  <c r="CS116" i="2" s="1"/>
  <c r="CS66" i="2" a="1"/>
  <c r="CS66" i="2" s="1"/>
  <c r="CS24" i="2" a="1"/>
  <c r="CS24" i="2" s="1"/>
  <c r="CS52" i="2" a="1"/>
  <c r="CS52" i="2" s="1"/>
  <c r="CS38" i="2" a="1"/>
  <c r="CS38" i="2" s="1"/>
  <c r="CS56" i="2" a="1"/>
  <c r="CS56" i="2" s="1"/>
  <c r="CS185" i="2" a="1"/>
  <c r="CS185" i="2" s="1"/>
  <c r="CS105" i="2" a="1"/>
  <c r="CS105" i="2" s="1"/>
  <c r="CS72" i="2" a="1"/>
  <c r="CS72" i="2" s="1"/>
  <c r="CS134" i="2" a="1"/>
  <c r="CS134" i="2" s="1"/>
  <c r="CS161" i="2" a="1"/>
  <c r="CS161" i="2" s="1"/>
  <c r="BC55" i="2" a="1"/>
  <c r="BC55" i="2" s="1"/>
  <c r="BC34" i="2" a="1"/>
  <c r="BC34" i="2" s="1"/>
  <c r="BC38" i="2" a="1"/>
  <c r="BC38" i="2" s="1"/>
  <c r="BC130" i="2" a="1"/>
  <c r="BC130" i="2" s="1"/>
  <c r="BC18" i="2" a="1"/>
  <c r="BC18" i="2" s="1"/>
  <c r="BC83" i="2" a="1"/>
  <c r="BC83" i="2" s="1"/>
  <c r="BC151" i="2" a="1"/>
  <c r="BC151" i="2" s="1"/>
  <c r="BC117" i="2" a="1"/>
  <c r="BC117" i="2" s="1"/>
  <c r="BC7" i="2" a="1"/>
  <c r="BC7" i="2" s="1"/>
  <c r="BD7" i="2" s="1"/>
  <c r="BC181" i="2" a="1"/>
  <c r="BC181" i="2" s="1"/>
  <c r="AH163" i="2" a="1"/>
  <c r="AH163" i="2" s="1"/>
  <c r="AH199" i="2" a="1"/>
  <c r="AH199" i="2" s="1"/>
  <c r="AH62" i="2" a="1"/>
  <c r="AH62" i="2" s="1"/>
  <c r="AH92" i="2" a="1"/>
  <c r="AH92" i="2" s="1"/>
  <c r="AH166" i="2" a="1"/>
  <c r="AH166" i="2" s="1"/>
  <c r="AH90" i="2" a="1"/>
  <c r="AH90" i="2" s="1"/>
  <c r="AH19" i="2" a="1"/>
  <c r="AH19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D87" i="2" l="1"/>
  <c r="CD147" i="2"/>
  <c r="CD68" i="2"/>
  <c r="CD117" i="2"/>
  <c r="CD118" i="2"/>
  <c r="CD191" i="2"/>
  <c r="CD7" i="2"/>
  <c r="CD145" i="2"/>
  <c r="CD105" i="2"/>
  <c r="CD203" i="2"/>
  <c r="CD122" i="2"/>
  <c r="CD86" i="2"/>
  <c r="CD101" i="2"/>
  <c r="CD135" i="2"/>
  <c r="CD189" i="2"/>
  <c r="CD187" i="2"/>
  <c r="CD33" i="2"/>
  <c r="CD82" i="2"/>
  <c r="CD30" i="2"/>
  <c r="CD156" i="2"/>
  <c r="CD48" i="2"/>
  <c r="CD88" i="2"/>
  <c r="CD51" i="2"/>
  <c r="CD193" i="2"/>
  <c r="CD78" i="2"/>
  <c r="CD34" i="2"/>
  <c r="CD32" i="2"/>
  <c r="CD71" i="2"/>
  <c r="CD155" i="2"/>
  <c r="CD129" i="2"/>
  <c r="CD173" i="2"/>
  <c r="CD116" i="2"/>
  <c r="CD186" i="2"/>
  <c r="CD13" i="2"/>
  <c r="CD177" i="2"/>
  <c r="CD24" i="2"/>
  <c r="CD27" i="2"/>
  <c r="CD108" i="2"/>
  <c r="CD178" i="2"/>
  <c r="CD85" i="2"/>
  <c r="CD12" i="2"/>
  <c r="CD19" i="2"/>
  <c r="CD99" i="2"/>
  <c r="CD114" i="2"/>
  <c r="CD10" i="2"/>
  <c r="CD151" i="2"/>
  <c r="CD112" i="2"/>
  <c r="CD131" i="2"/>
  <c r="CD172" i="2"/>
  <c r="CD182" i="2"/>
  <c r="CD26" i="2"/>
  <c r="CD201" i="2"/>
  <c r="CD130" i="2"/>
  <c r="CD25" i="2"/>
  <c r="CD158" i="2"/>
  <c r="CD76" i="2"/>
  <c r="CD47" i="2"/>
  <c r="CD20" i="2"/>
  <c r="CD60" i="2"/>
  <c r="CD40" i="2"/>
  <c r="CD184" i="2"/>
  <c r="CD165" i="2"/>
  <c r="CD44" i="2"/>
  <c r="CD194" i="2"/>
  <c r="CD58" i="2"/>
  <c r="CD57" i="2"/>
  <c r="CD74" i="2"/>
  <c r="CD91" i="2"/>
  <c r="CD43" i="2"/>
  <c r="CD53" i="2"/>
  <c r="CD72" i="2"/>
  <c r="CD167" i="2"/>
  <c r="CD154" i="2"/>
  <c r="CD81" i="2"/>
  <c r="CD139" i="2"/>
  <c r="CD134" i="2"/>
  <c r="CD28" i="2"/>
  <c r="CD39" i="2"/>
  <c r="CD168" i="2"/>
  <c r="CD90" i="2"/>
  <c r="CD136" i="2"/>
  <c r="CD41" i="2"/>
  <c r="CD102" i="2"/>
  <c r="CD138" i="2"/>
  <c r="CD109" i="2"/>
  <c r="CD18" i="2"/>
  <c r="CD188" i="2"/>
  <c r="CD163" i="2"/>
  <c r="CD89" i="2"/>
  <c r="CD176" i="2"/>
  <c r="CD46" i="2"/>
  <c r="CD125" i="2"/>
  <c r="CD36" i="2"/>
  <c r="CD181" i="2"/>
  <c r="CD113" i="2"/>
  <c r="CD93" i="2"/>
  <c r="CD106" i="2"/>
  <c r="CD94" i="2"/>
  <c r="CD9" i="2"/>
  <c r="CD54" i="2"/>
  <c r="CD80" i="2"/>
  <c r="CD42" i="2"/>
  <c r="CD11" i="2"/>
  <c r="CD160" i="2"/>
  <c r="CD152" i="2"/>
  <c r="CD14" i="2"/>
  <c r="CD115" i="2"/>
  <c r="CD141" i="2"/>
  <c r="CD61" i="2"/>
  <c r="CD45" i="2"/>
  <c r="CD98" i="2"/>
  <c r="CD92" i="2"/>
  <c r="CD192" i="2"/>
  <c r="CD197" i="2"/>
  <c r="CD35" i="2"/>
  <c r="CD55" i="2"/>
  <c r="CD126" i="2"/>
  <c r="CD162" i="2"/>
  <c r="CD148" i="2"/>
  <c r="CD119" i="2"/>
  <c r="CD67" i="2"/>
  <c r="CD103" i="2"/>
  <c r="CD128" i="2"/>
  <c r="CD63" i="2"/>
  <c r="CD150" i="2"/>
  <c r="CD52" i="2"/>
  <c r="CD166" i="2"/>
  <c r="CD77" i="2"/>
  <c r="CD21" i="2"/>
  <c r="CD16" i="2"/>
  <c r="CD198" i="2"/>
  <c r="CD84" i="2"/>
  <c r="CD127" i="2"/>
  <c r="CD142" i="2"/>
  <c r="CD110" i="2"/>
  <c r="CD59" i="2"/>
  <c r="CD202" i="2"/>
  <c r="CD69" i="2"/>
  <c r="CD199" i="2"/>
  <c r="CD146" i="2"/>
  <c r="CD140" i="2"/>
  <c r="CD66" i="2"/>
  <c r="CD100" i="2"/>
  <c r="CD174" i="2"/>
  <c r="CD170" i="2"/>
  <c r="CD200" i="2"/>
  <c r="CD133" i="2"/>
  <c r="CD97" i="2"/>
  <c r="CD64" i="2"/>
  <c r="CD96" i="2"/>
  <c r="CD50" i="2"/>
  <c r="CD23" i="2"/>
  <c r="CD37" i="2"/>
  <c r="CD111" i="2"/>
  <c r="CD56" i="2"/>
  <c r="CD75" i="2"/>
  <c r="CD179" i="2"/>
  <c r="CD196" i="2"/>
  <c r="CD185" i="2"/>
  <c r="CD17" i="2"/>
  <c r="CD161" i="2"/>
  <c r="CD195" i="2"/>
  <c r="CD73" i="2"/>
  <c r="CD157" i="2"/>
  <c r="CD120" i="2"/>
  <c r="CD29" i="2"/>
  <c r="CD70" i="2"/>
  <c r="CD180" i="2"/>
  <c r="CD123" i="2"/>
  <c r="CD4" i="2"/>
  <c r="CD8" i="2"/>
  <c r="CD137" i="2"/>
  <c r="CD132" i="2"/>
  <c r="CD22" i="2"/>
  <c r="CD159" i="2"/>
  <c r="CD124" i="2"/>
  <c r="CD95" i="2"/>
  <c r="CD143" i="2"/>
  <c r="CD190" i="2"/>
  <c r="CD169" i="2"/>
  <c r="CD153" i="2"/>
  <c r="CD65" i="2"/>
  <c r="CD83" i="2"/>
  <c r="CD171" i="2"/>
  <c r="CD31" i="2"/>
  <c r="CD38" i="2"/>
  <c r="CD164" i="2"/>
  <c r="CD149" i="2"/>
  <c r="CD121" i="2"/>
  <c r="CD144" i="2"/>
  <c r="CD5" i="2"/>
  <c r="CD183" i="2"/>
  <c r="CD3" i="2"/>
  <c r="C9" i="4" s="1"/>
  <c r="E9" i="4" s="1"/>
  <c r="F9" i="4" s="1"/>
  <c r="G9" i="4" s="1"/>
  <c r="L9" i="4" s="1"/>
  <c r="CD79" i="2"/>
  <c r="CD175" i="2"/>
  <c r="CD6" i="2"/>
  <c r="CD107" i="2"/>
  <c r="CD62" i="2"/>
  <c r="CD49" i="2"/>
  <c r="CD15" i="2"/>
  <c r="CD104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43" i="2" l="1"/>
  <c r="AN129" i="2"/>
  <c r="AN32" i="2"/>
  <c r="AN63" i="2"/>
  <c r="AN51" i="2"/>
  <c r="AN7" i="2"/>
  <c r="AN141" i="2"/>
  <c r="AN25" i="2"/>
  <c r="AN95" i="2"/>
  <c r="AN52" i="2"/>
  <c r="AN64" i="2"/>
  <c r="AN88" i="2"/>
  <c r="AN61" i="2"/>
  <c r="AN161" i="2"/>
  <c r="AN100" i="2"/>
  <c r="AN186" i="2"/>
  <c r="AN10" i="2"/>
  <c r="AN104" i="2"/>
  <c r="AN184" i="2"/>
  <c r="AN166" i="2"/>
  <c r="AN35" i="2"/>
  <c r="AN50" i="2"/>
  <c r="AN42" i="2"/>
  <c r="AN149" i="2"/>
  <c r="AN41" i="2"/>
  <c r="AN177" i="2"/>
  <c r="AN188" i="2"/>
  <c r="AN193" i="2"/>
  <c r="AN8" i="2"/>
  <c r="AN109" i="2"/>
  <c r="AN11" i="2"/>
  <c r="AN113" i="2"/>
  <c r="AN91" i="2"/>
  <c r="AN168" i="2"/>
  <c r="AN97" i="2"/>
  <c r="AN181" i="2"/>
  <c r="AN33" i="2"/>
  <c r="AN190" i="2"/>
  <c r="AN82" i="2"/>
  <c r="AN60" i="2"/>
  <c r="AN111" i="2"/>
  <c r="AN94" i="2"/>
  <c r="AN73" i="2"/>
  <c r="AN187" i="2"/>
  <c r="AN92" i="2"/>
  <c r="AN12" i="2"/>
  <c r="AN191" i="2"/>
  <c r="AN65" i="2"/>
  <c r="AN155" i="2"/>
  <c r="AN110" i="2"/>
  <c r="AN157" i="2"/>
  <c r="AN139" i="2"/>
  <c r="AN130" i="2"/>
  <c r="AN144" i="2"/>
  <c r="AN39" i="2"/>
  <c r="AN56" i="2"/>
  <c r="AN196" i="2"/>
  <c r="AN107" i="2"/>
  <c r="AN98" i="2"/>
  <c r="AN37" i="2"/>
  <c r="AN115" i="2"/>
  <c r="AN78" i="2"/>
  <c r="AN167" i="2"/>
  <c r="AN67" i="2"/>
  <c r="AN17" i="2"/>
  <c r="AN159" i="2"/>
  <c r="AN89" i="2"/>
  <c r="AN114" i="2"/>
  <c r="AN128" i="2"/>
  <c r="AN31" i="2"/>
  <c r="AN202" i="2"/>
  <c r="AN71" i="2"/>
  <c r="AN9" i="2"/>
  <c r="AN19" i="2"/>
  <c r="AN172" i="2"/>
  <c r="AN151" i="2"/>
  <c r="AN124" i="2"/>
  <c r="AN23" i="2"/>
  <c r="AN131" i="2"/>
  <c r="AN66" i="2"/>
  <c r="AN70" i="2"/>
  <c r="AN43" i="2"/>
  <c r="AN122" i="2"/>
  <c r="AN163" i="2"/>
  <c r="AN108" i="2"/>
  <c r="AN48" i="2"/>
  <c r="AN146" i="2"/>
  <c r="AN171" i="2"/>
  <c r="AN185" i="2"/>
  <c r="AN80" i="2"/>
  <c r="AN57" i="2"/>
  <c r="AN101" i="2"/>
  <c r="AN179" i="2"/>
  <c r="AN136" i="2"/>
  <c r="AN127" i="2"/>
  <c r="AN145" i="2"/>
  <c r="AN4" i="2"/>
  <c r="AN74" i="2"/>
  <c r="AN58" i="2"/>
  <c r="AN156" i="2"/>
  <c r="AN132" i="2"/>
  <c r="AN140" i="2"/>
  <c r="AN44" i="2"/>
  <c r="AN199" i="2"/>
  <c r="AN158" i="2"/>
  <c r="AN27" i="2"/>
  <c r="AN116" i="2"/>
  <c r="AN21" i="2"/>
  <c r="AN16" i="2"/>
  <c r="AN126" i="2"/>
  <c r="AN134" i="2"/>
  <c r="AN45" i="2"/>
  <c r="AN99" i="2"/>
  <c r="AN180" i="2"/>
  <c r="AN112" i="2"/>
  <c r="AN148" i="2"/>
  <c r="AN147" i="2"/>
  <c r="AN87" i="2"/>
  <c r="AN79" i="2"/>
  <c r="AN176" i="2"/>
  <c r="AN59" i="2"/>
  <c r="AN153" i="2"/>
  <c r="AN195" i="2"/>
  <c r="AN198" i="2"/>
  <c r="AN53" i="2"/>
  <c r="AN18" i="2"/>
  <c r="AN118" i="2"/>
  <c r="AN62" i="2"/>
  <c r="AN84" i="2"/>
  <c r="AN175" i="2"/>
  <c r="AN76" i="2"/>
  <c r="AN40" i="2"/>
  <c r="AN46" i="2"/>
  <c r="AN183" i="2"/>
  <c r="AN170" i="2"/>
  <c r="AN120" i="2"/>
  <c r="AN164" i="2"/>
  <c r="AN106" i="2"/>
  <c r="AN54" i="2"/>
  <c r="AN123" i="2"/>
  <c r="AN142" i="2"/>
  <c r="AN102" i="2"/>
  <c r="AN169" i="2"/>
  <c r="AN125" i="2"/>
  <c r="AN173" i="2"/>
  <c r="AN38" i="2"/>
  <c r="AN77" i="2"/>
  <c r="AN165" i="2"/>
  <c r="AN194" i="2"/>
  <c r="AN137" i="2"/>
  <c r="AN72" i="2"/>
  <c r="AN203" i="2"/>
  <c r="AN90" i="2"/>
  <c r="AN13" i="2"/>
  <c r="AN192" i="2"/>
  <c r="AN93" i="2"/>
  <c r="AN30" i="2"/>
  <c r="AN201" i="2"/>
  <c r="AN36" i="2"/>
  <c r="AN162" i="2"/>
  <c r="AN69" i="2"/>
  <c r="AN182" i="2"/>
  <c r="AN85" i="2"/>
  <c r="AN119" i="2"/>
  <c r="AN189" i="2"/>
  <c r="AN26" i="2"/>
  <c r="AN200" i="2"/>
  <c r="AN68" i="2"/>
  <c r="AN174" i="2"/>
  <c r="AN154" i="2"/>
  <c r="AN152" i="2"/>
  <c r="AN24" i="2"/>
  <c r="AN34" i="2"/>
  <c r="AN135" i="2"/>
  <c r="AN103" i="2"/>
  <c r="AN49" i="2"/>
  <c r="AN15" i="2"/>
  <c r="AN3" i="2"/>
  <c r="C7" i="4" s="1"/>
  <c r="E7" i="4" s="1"/>
  <c r="F7" i="4" s="1"/>
  <c r="G7" i="4" s="1"/>
  <c r="L7" i="4" s="1"/>
  <c r="AN81" i="2"/>
  <c r="AN160" i="2"/>
  <c r="AN86" i="2"/>
  <c r="AN6" i="2"/>
  <c r="AN133" i="2"/>
  <c r="AN14" i="2"/>
  <c r="AN121" i="2"/>
  <c r="AN55" i="2"/>
  <c r="AN5" i="2"/>
  <c r="AN22" i="2"/>
  <c r="AN28" i="2"/>
  <c r="AN138" i="2"/>
  <c r="AN20" i="2"/>
  <c r="AN83" i="2"/>
  <c r="AN150" i="2"/>
  <c r="AN178" i="2"/>
  <c r="AN117" i="2"/>
  <c r="AN105" i="2"/>
  <c r="AN75" i="2"/>
  <c r="AN96" i="2"/>
  <c r="AN197" i="2"/>
  <c r="AN47" i="2"/>
  <c r="AN29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1" i="2" l="1"/>
  <c r="BI47" i="2"/>
  <c r="BI134" i="2"/>
  <c r="BI18" i="2"/>
  <c r="BI187" i="2"/>
  <c r="BI42" i="2"/>
  <c r="BI109" i="2"/>
  <c r="BI16" i="2"/>
  <c r="BI65" i="2"/>
  <c r="BI35" i="2"/>
  <c r="BI74" i="2"/>
  <c r="BI52" i="2"/>
  <c r="BI29" i="2"/>
  <c r="BI154" i="2"/>
  <c r="BI131" i="2"/>
  <c r="BI142" i="2"/>
  <c r="BI111" i="2"/>
  <c r="BI90" i="2"/>
  <c r="BI129" i="2"/>
  <c r="BI86" i="2"/>
  <c r="BI88" i="2"/>
  <c r="BI53" i="2"/>
  <c r="BI82" i="2"/>
  <c r="BI17" i="2"/>
  <c r="BI102" i="2"/>
  <c r="BI87" i="2"/>
  <c r="BI132" i="2"/>
  <c r="BI50" i="2"/>
  <c r="BI157" i="2"/>
  <c r="BI26" i="2"/>
  <c r="BI148" i="2"/>
  <c r="BI12" i="2"/>
  <c r="BI85" i="2"/>
  <c r="BI66" i="2"/>
  <c r="BI179" i="2"/>
  <c r="BI69" i="2"/>
  <c r="BI30" i="2"/>
  <c r="BI118" i="2"/>
  <c r="BI104" i="2"/>
  <c r="BI89" i="2"/>
  <c r="BI77" i="2"/>
  <c r="BI76" i="2"/>
  <c r="BI105" i="2"/>
  <c r="BI113" i="2"/>
  <c r="BI33" i="2"/>
  <c r="BI122" i="2"/>
  <c r="BI169" i="2"/>
  <c r="BI100" i="2"/>
  <c r="BI15" i="2"/>
  <c r="BI49" i="2"/>
  <c r="BI159" i="2"/>
  <c r="BI96" i="2"/>
  <c r="BI127" i="2"/>
  <c r="BI175" i="2"/>
  <c r="BI161" i="2"/>
  <c r="BI84" i="2"/>
  <c r="BI136" i="2"/>
  <c r="BI194" i="2"/>
  <c r="BI199" i="2"/>
  <c r="BI117" i="2"/>
  <c r="BI167" i="2"/>
  <c r="BI41" i="2"/>
  <c r="BI103" i="2"/>
  <c r="BI11" i="2"/>
  <c r="BI4" i="2"/>
  <c r="BI7" i="2"/>
  <c r="BI99" i="2"/>
  <c r="BI165" i="2"/>
  <c r="BI13" i="2"/>
  <c r="BI191" i="2"/>
  <c r="BI128" i="2"/>
  <c r="BI110" i="2"/>
  <c r="BI203" i="2"/>
  <c r="BI172" i="2"/>
  <c r="BI119" i="2"/>
  <c r="BI188" i="2"/>
  <c r="BI156" i="2"/>
  <c r="BI202" i="2"/>
  <c r="BI151" i="2"/>
  <c r="BI6" i="2"/>
  <c r="BI67" i="2"/>
  <c r="BI185" i="2"/>
  <c r="BI123" i="2"/>
  <c r="BI124" i="2"/>
  <c r="BI14" i="2"/>
  <c r="BI39" i="2"/>
  <c r="BI73" i="2"/>
  <c r="BI200" i="2"/>
  <c r="BI56" i="2"/>
  <c r="BI150" i="2"/>
  <c r="BI101" i="2"/>
  <c r="BI163" i="2"/>
  <c r="BI20" i="2"/>
  <c r="BI186" i="2"/>
  <c r="BI193" i="2"/>
  <c r="BI190" i="2"/>
  <c r="BI94" i="2"/>
  <c r="BI116" i="2"/>
  <c r="BI114" i="2"/>
  <c r="BI78" i="2"/>
  <c r="BI182" i="2"/>
  <c r="BI195" i="2"/>
  <c r="BI70" i="2"/>
  <c r="BI145" i="2"/>
  <c r="BI71" i="2"/>
  <c r="BI108" i="2"/>
  <c r="BI43" i="2"/>
  <c r="BI64" i="2"/>
  <c r="BI177" i="2"/>
  <c r="BI178" i="2"/>
  <c r="BI38" i="2"/>
  <c r="BI162" i="2"/>
  <c r="BI149" i="2"/>
  <c r="BI138" i="2"/>
  <c r="BI92" i="2"/>
  <c r="BI173" i="2"/>
  <c r="BI135" i="2"/>
  <c r="BI189" i="2"/>
  <c r="BI24" i="2"/>
  <c r="BI176" i="2"/>
  <c r="BI48" i="2"/>
  <c r="BI184" i="2"/>
  <c r="BI120" i="2"/>
  <c r="BI166" i="2"/>
  <c r="BI196" i="2"/>
  <c r="BI63" i="2"/>
  <c r="BI152" i="2"/>
  <c r="BI115" i="2"/>
  <c r="BI55" i="2"/>
  <c r="BI8" i="2"/>
  <c r="BI61" i="2"/>
  <c r="BI79" i="2"/>
  <c r="BI75" i="2"/>
  <c r="BI80" i="2"/>
  <c r="BI171" i="2"/>
  <c r="BI97" i="2"/>
  <c r="BI198" i="2"/>
  <c r="BI59" i="2"/>
  <c r="BI34" i="2"/>
  <c r="BI37" i="2"/>
  <c r="BI141" i="2"/>
  <c r="BI51" i="2"/>
  <c r="BI98" i="2"/>
  <c r="BI60" i="2"/>
  <c r="BI144" i="2"/>
  <c r="BI36" i="2"/>
  <c r="BI91" i="2"/>
  <c r="BI32" i="2"/>
  <c r="BI31" i="2"/>
  <c r="BI106" i="2"/>
  <c r="BI130" i="2"/>
  <c r="BI192" i="2"/>
  <c r="BI81" i="2"/>
  <c r="BI54" i="2"/>
  <c r="BI125" i="2"/>
  <c r="BI68" i="2"/>
  <c r="BI95" i="2"/>
  <c r="BI5" i="2"/>
  <c r="BI57" i="2"/>
  <c r="BI146" i="2"/>
  <c r="BI9" i="2"/>
  <c r="BI147" i="2"/>
  <c r="BI25" i="2"/>
  <c r="BI183" i="2"/>
  <c r="BI44" i="2"/>
  <c r="BI112" i="2"/>
  <c r="BI126" i="2"/>
  <c r="BI23" i="2"/>
  <c r="BI28" i="2"/>
  <c r="BI153" i="2"/>
  <c r="BI170" i="2"/>
  <c r="BI143" i="2"/>
  <c r="BI45" i="2"/>
  <c r="BI21" i="2"/>
  <c r="BI140" i="2"/>
  <c r="BI133" i="2"/>
  <c r="BI181" i="2"/>
  <c r="BI83" i="2"/>
  <c r="BI155" i="2"/>
  <c r="BI72" i="2"/>
  <c r="BI58" i="2"/>
  <c r="BI62" i="2"/>
  <c r="BI174" i="2"/>
  <c r="BI168" i="2"/>
  <c r="BI158" i="2"/>
  <c r="BI201" i="2"/>
  <c r="BI93" i="2"/>
  <c r="BI107" i="2"/>
  <c r="BI197" i="2"/>
  <c r="BI180" i="2"/>
  <c r="BI137" i="2"/>
  <c r="BI3" i="2"/>
  <c r="C8" i="4" s="1"/>
  <c r="E8" i="4" s="1"/>
  <c r="F8" i="4" s="1"/>
  <c r="G8" i="4" s="1"/>
  <c r="L8" i="4" s="1"/>
  <c r="BI22" i="2"/>
  <c r="BI46" i="2"/>
  <c r="BI27" i="2"/>
  <c r="BI139" i="2"/>
  <c r="BI10" i="2"/>
  <c r="BI19" i="2"/>
  <c r="BI160" i="2"/>
  <c r="BI164" i="2"/>
  <c r="BI4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<sst xmlns="http://schemas.openxmlformats.org/spreadsheetml/2006/main" count="1177" uniqueCount="327">
  <si>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</si>
  <si>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</si>
  <si>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</si>
  <si>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</si>
  <si>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</si>
  <si>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</si>
  <si>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</si>
  <si>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</si>
  <si>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</si>
  <si>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</si>
  <si>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</si>
  <si>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</si>
  <si>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</si>
  <si>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</si>
  <si>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</si>
  <si>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</si>
  <si>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</si>
  <si>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</si>
  <si>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</si>
  <si>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</si>
  <si>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</si>
  <si>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</si>
  <si>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</si>
  <si>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</si>
  <si>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</si>
  <si>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</si>
  <si>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</si>
  <si>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</si>
  <si>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</si>
  <si>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</si>
  <si>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</si>
  <si>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</si>
  <si>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</si>
  <si>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</si>
  <si>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</si>
  <si>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</si>
  <si>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</si>
  <si>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</si>
  <si>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</si>
  <si>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</si>
  <si>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</si>
  <si>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</si>
  <si>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</si>
  <si>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</si>
  <si>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</si>
  <si>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</si>
  <si>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</si>
  <si>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</si>
  <si>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</si>
  <si>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</si>
  <si>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</si>
  <si>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</si>
  <si>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</si>
  <si>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</si>
  <si>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</si>
  <si>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</si>
  <si>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</si>
  <si>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</si>
  <si>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</si>
  <si>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</si>
  <si>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</si>
  <si>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</si>
  <si>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</si>
  <si>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</si>
  <si>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</si>
  <si>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</si>
  <si>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</si>
  <si>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</si>
  <si>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</si>
  <si>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</si>
  <si>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</si>
  <si>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</si>
  <si>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</si>
  <si>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</si>
  <si>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</si>
  <si>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</si>
  <si>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</si>
  <si>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</si>
  <si>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</si>
  <si>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</si>
  <si>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</si>
  <si>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</si>
  <si>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</si>
  <si>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</si>
  <si>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</si>
  <si>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</si>
  <si>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</si>
  <si>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</si>
  <si>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</si>
  <si>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</si>
  <si>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</si>
  <si>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</si>
  <si>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</si>
  <si>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</si>
  <si>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</si>
  <si>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</si>
  <si>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</si>
  <si>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</si>
  <si>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</si>
  <si>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</si>
  <si>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</si>
  <si>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</si>
  <si>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</si>
  <si>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</si>
  <si>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</si>
  <si>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</si>
  <si>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</si>
  <si>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</si>
  <si>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</si>
  <si>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</si>
  <si>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</si>
  <si>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</si>
  <si>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</si>
  <si>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</si>
  <si>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</si>
  <si>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</si>
  <si>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</si>
  <si>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</si>
  <si>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</si>
  <si>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</si>
  <si>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</si>
  <si>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</si>
  <si>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</si>
  <si>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</si>
  <si>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</si>
  <si>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</si>
  <si>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</si>
  <si>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</si>
  <si>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</si>
  <si>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</si>
  <si>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</si>
  <si>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</si>
  <si>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</si>
  <si>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</si>
  <si>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</si>
  <si>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</si>
  <si>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</si>
  <si>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</si>
  <si>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</si>
  <si>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</si>
  <si>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</si>
  <si>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</si>
  <si>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</si>
  <si>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</si>
  <si>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</si>
  <si>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</si>
  <si>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</si>
  <si>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</si>
  <si>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</si>
  <si>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</si>
  <si>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</si>
  <si>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</si>
  <si>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</si>
  <si>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</si>
  <si>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</si>
  <si>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</si>
  <si>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</si>
  <si>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</si>
  <si>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</si>
  <si>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</si>
  <si>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</si>
  <si>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</si>
  <si>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</si>
  <si>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</si>
  <si>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</si>
  <si>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</si>
  <si>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</si>
  <si>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</si>
  <si>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</si>
  <si>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</si>
  <si>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</si>
  <si>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</si>
  <si>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</si>
  <si>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</si>
  <si>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</si>
  <si>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</si>
  <si>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</si>
  <si>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</si>
  <si>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</si>
  <si>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</si>
  <si>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</si>
  <si>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</si>
  <si>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</si>
  <si>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</si>
  <si>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</si>
  <si>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</si>
  <si>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</si>
  <si>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</si>
  <si>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</si>
  <si>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</si>
  <si>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</si>
  <si>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</si>
  <si>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</si>
  <si>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</si>
  <si>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</si>
  <si>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</si>
  <si>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</si>
  <si>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</si>
  <si>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</si>
  <si>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</si>
  <si>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</si>
  <si>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</si>
  <si>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</si>
  <si>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</si>
  <si>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</si>
  <si>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</si>
  <si>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</si>
  <si>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</si>
  <si>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</si>
  <si>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</si>
  <si>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</si>
  <si>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</si>
  <si>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</si>
  <si>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</si>
  <si>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</si>
  <si>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</si>
  <si>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</si>
  <si>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</si>
  <si>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</si>
  <si>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</si>
  <si>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</si>
  <si>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</si>
  <si>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</si>
  <si>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</si>
  <si>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</si>
  <si>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</si>
  <si>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</si>
  <si>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</si>
  <si>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</si>
  <si>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</si>
  <si>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</si>
  <si>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</si>
  <si>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</si>
  <si>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</si>
  <si>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</si>
  <si>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</si>
  <si>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</si>
  <si>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</si>
  <si>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</si>
  <si>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</si>
  <si>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</si>
  <si>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</si>
  <si>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</si>
  <si>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</si>
  <si>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</si>
  <si>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</si>
  <si>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</si>
  <si>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</si>
  <si>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</si>
  <si>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</si>
  <si>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</si>
  <si>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</si>
  <si>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</si>
  <si>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</si>
  <si>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</si>
  <si>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</si>
  <si>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</si>
  <si>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</si>
  <si>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</si>
  <si>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</si>
  <si>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</si>
  <si>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</si>
  <si>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</si>
  <si>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</si>
  <si>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</si>
  <si>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</si>
  <si>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</si>
  <si>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</si>
  <si>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</si>
  <si>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</si>
  <si>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</si>
  <si>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</si>
  <si>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</si>
  <si>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</si>
  <si>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</si>
  <si>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</si>
  <si>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</si>
  <si>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</si>
  <si>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</si>
  <si>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</si>
  <si>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</si>
  <si>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</si>
  <si>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</si>
  <si>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</si>
  <si>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</si>
  <si>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</si>
  <si>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</si>
  <si>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</si>
  <si>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</si>
  <si>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</si>
  <si>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</si>
  <si>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</si>
  <si>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</si>
  <si>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</si>
  <si>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</si>
  <si>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</si>
  <si>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</si>
  <si>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</si>
  <si>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</si>
  <si>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</si>
  <si>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</si>
  <si>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</si>
  <si>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</si>
  <si>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</si>
  <si>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</si>
  <si>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</si>
  <si>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</si>
  <si>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</si>
  <si>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</si>
  <si>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</si>
  <si>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</si>
  <si>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</si>
  <si>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</si>
  <si>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</si>
  <si>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</si>
  <si>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</si>
  <si>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</si>
  <si>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</si>
  <si>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</si>
  <si>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</si>
  <si>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</si>
  <si>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</si>
  <si>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</si>
  <si>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</si>
  <si>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ONF_F1</t>
  </si>
  <si>
    <t>UK_F6</t>
  </si>
  <si>
    <t>UK_SAB_F6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</si>
</sst>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8.8464909557520901</c:v>
                </c:pt>
                <c:pt idx="2">
                  <c:v>17.303572811012511</c:v>
                </c:pt>
                <c:pt idx="3">
                  <c:v>25.634895073928181</c:v>
                </c:pt>
                <c:pt idx="4">
                  <c:v>33.888696198019623</c:v>
                </c:pt>
                <c:pt idx="5">
                  <c:v>42.086839431783375</c:v>
                </c:pt>
                <c:pt idx="6">
                  <c:v>50.241796484978039</c:v>
                </c:pt>
                <c:pt idx="7">
                  <c:v>58.361607386659266</c:v>
                </c:pt>
                <c:pt idx="8">
                  <c:v>66.451872334484463</c:v>
                </c:pt>
                <c:pt idx="9">
                  <c:v>74.51670754497205</c:v>
                </c:pt>
                <c:pt idx="10">
                  <c:v>82.559260857996719</c:v>
                </c:pt>
                <c:pt idx="11">
                  <c:v>90.582014114042082</c:v>
                </c:pt>
                <c:pt idx="12">
                  <c:v>98.586972028011871</c:v>
                </c:pt>
                <c:pt idx="13">
                  <c:v>106.5757861427755</c:v>
                </c:pt>
                <c:pt idx="14">
                  <c:v>114.54983948410518</c:v>
                </c:pt>
                <c:pt idx="15">
                  <c:v>122.51030630712535</c:v>
                </c:pt>
                <c:pt idx="16">
                  <c:v>130.45819544187259</c:v>
                </c:pt>
                <c:pt idx="17">
                  <c:v>138.39438248722183</c:v>
                </c:pt>
                <c:pt idx="18">
                  <c:v>146.31963421121341</c:v>
                </c:pt>
                <c:pt idx="19">
                  <c:v>154.23462737363312</c:v>
                </c:pt>
                <c:pt idx="20">
                  <c:v>162.13996347289819</c:v>
                </c:pt>
                <c:pt idx="21">
                  <c:v>170.03618045975017</c:v>
                </c:pt>
                <c:pt idx="22">
                  <c:v>177.92376215655057</c:v>
                </c:pt>
                <c:pt idx="23">
                  <c:v>185.80314591556689</c:v>
                </c:pt>
                <c:pt idx="24">
                  <c:v>193.67472890780064</c:v>
                </c:pt>
                <c:pt idx="25">
                  <c:v>201.53887333414332</c:v>
                </c:pt>
                <c:pt idx="26">
                  <c:v>209.39591077927696</c:v>
                </c:pt>
                <c:pt idx="27">
                  <c:v>217.2461458769034</c:v>
                </c:pt>
                <c:pt idx="28">
                  <c:v>225.08985941671213</c:v>
                </c:pt>
                <c:pt idx="29">
                  <c:v>232.92731099502291</c:v>
                </c:pt>
                <c:pt idx="30">
                  <c:v>240.7587412895509</c:v>
                </c:pt>
                <c:pt idx="31">
                  <c:v>248.58437402234924</c:v>
                </c:pt>
                <c:pt idx="32">
                  <c:v>256.40441766235483</c:v>
                </c:pt>
                <c:pt idx="33">
                  <c:v>264.21906690913573</c:v>
                </c:pt>
                <c:pt idx="34">
                  <c:v>272.02850399173889</c:v>
                </c:pt>
                <c:pt idx="35">
                  <c:v>279.83289981043765</c:v>
                </c:pt>
                <c:pt idx="36">
                  <c:v>287.63241494432572</c:v>
                </c:pt>
                <c:pt idx="37">
                  <c:v>295.42720054381022</c:v>
                </c:pt>
                <c:pt idx="38">
                  <c:v>303.21739912390404</c:v>
                </c:pt>
                <c:pt idx="39">
                  <c:v>311.00314527166626</c:v>
                </c:pt>
                <c:pt idx="40">
                  <c:v>318.78456627904137</c:v>
                </c:pt>
                <c:pt idx="41">
                  <c:v>326.56178271063499</c:v>
                </c:pt>
                <c:pt idx="42">
                  <c:v>334.33490891453494</c:v>
                </c:pt>
                <c:pt idx="43">
                  <c:v>342.10405348311491</c:v>
                </c:pt>
                <c:pt idx="44">
                  <c:v>349.86931966976226</c:v>
                </c:pt>
                <c:pt idx="45">
                  <c:v>357.63080576665556</c:v>
                </c:pt>
                <c:pt idx="46">
                  <c:v>365.388605448014</c:v>
                </c:pt>
                <c:pt idx="47">
                  <c:v>373.14280808265738</c:v>
                </c:pt>
                <c:pt idx="48">
                  <c:v>380.89349901921491</c:v>
                </c:pt>
                <c:pt idx="49">
                  <c:v>388.64075984689515</c:v>
                </c:pt>
                <c:pt idx="50">
                  <c:v>396.38466863436787</c:v>
                </c:pt>
                <c:pt idx="51">
                  <c:v>404.12530014899545</c:v>
                </c:pt>
                <c:pt idx="52">
                  <c:v>243.00679329612822</c:v>
                </c:pt>
                <c:pt idx="53">
                  <c:v>256.09037952376985</c:v>
                </c:pt>
                <c:pt idx="54">
                  <c:v>269.15884737867697</c:v>
                </c:pt>
                <c:pt idx="55">
                  <c:v>282.21303454018255</c:v>
                </c:pt>
                <c:pt idx="56">
                  <c:v>295.25369482966408</c:v>
                </c:pt>
                <c:pt idx="57">
                  <c:v>308.28151001738462</c:v>
                </c:pt>
                <c:pt idx="58">
                  <c:v>321.29709952785942</c:v>
                </c:pt>
                <c:pt idx="59">
                  <c:v>334.30102848950258</c:v>
                </c:pt>
                <c:pt idx="60">
                  <c:v>347.2938144657457</c:v>
                </c:pt>
                <c:pt idx="61">
                  <c:v>360.27593312585913</c:v>
                </c:pt>
                <c:pt idx="62">
                  <c:v>270.79703667962025</c:v>
                </c:pt>
                <c:pt idx="63">
                  <c:v>282.84435609647596</c:v>
                </c:pt>
                <c:pt idx="64">
                  <c:v>294.88018287968566</c:v>
                </c:pt>
                <c:pt idx="65">
                  <c:v>306.90505238979614</c:v>
                </c:pt>
                <c:pt idx="66">
                  <c:v>318.91945459246426</c:v>
                </c:pt>
                <c:pt idx="67">
                  <c:v>330.92383950930258</c:v>
                </c:pt>
                <c:pt idx="68">
                  <c:v>342.91862183607765</c:v>
                </c:pt>
                <c:pt idx="69">
                  <c:v>354.90418488072902</c:v>
                </c:pt>
                <c:pt idx="70">
                  <c:v>366.88088394144347</c:v>
                </c:pt>
                <c:pt idx="71">
                  <c:v>378.84904922045786</c:v>
                </c:pt>
                <c:pt idx="72">
                  <c:v>390.80898835034759</c:v>
                </c:pt>
                <c:pt idx="73">
                  <c:v>402.76098859486609</c:v>
                </c:pt>
                <c:pt idx="74">
                  <c:v>310.77912179652327</c:v>
                </c:pt>
                <c:pt idx="75">
                  <c:v>321.90958893090192</c:v>
                </c:pt>
                <c:pt idx="76">
                  <c:v>333.03154610648761</c:v>
                </c:pt>
                <c:pt idx="77">
                  <c:v>344.14531769432386</c:v>
                </c:pt>
                <c:pt idx="78">
                  <c:v>355.25120539665227</c:v>
                </c:pt>
                <c:pt idx="79">
                  <c:v>366.34949050546987</c:v>
                </c:pt>
                <c:pt idx="80">
                  <c:v>377.44043587301621</c:v>
                </c:pt>
                <c:pt idx="81">
                  <c:v>388.52428763849611</c:v>
                </c:pt>
                <c:pt idx="82">
                  <c:v>399.60127674742472</c:v>
                </c:pt>
                <c:pt idx="83">
                  <c:v>410.67162029368404</c:v>
                </c:pt>
                <c:pt idx="84">
                  <c:v>421.73552270929196</c:v>
                </c:pt>
                <c:pt idx="85">
                  <c:v>432.79317682279242</c:v>
                </c:pt>
                <c:pt idx="86">
                  <c:v>347.55507847487706</c:v>
                </c:pt>
                <c:pt idx="87">
                  <c:v>357.73505677049843</c:v>
                </c:pt>
                <c:pt idx="88">
                  <c:v>367.90869587276711</c:v>
                </c:pt>
                <c:pt idx="89">
                  <c:v>378.07619586602806</c:v>
                </c:pt>
                <c:pt idx="90">
                  <c:v>388.23774519032082</c:v>
                </c:pt>
                <c:pt idx="91">
                  <c:v>398.39352161264304</c:v>
                </c:pt>
                <c:pt idx="92">
                  <c:v>408.54369309398299</c:v>
                </c:pt>
                <c:pt idx="93">
                  <c:v>418.68841856567104</c:v>
                </c:pt>
                <c:pt idx="94">
                  <c:v>428.82784862654739</c:v>
                </c:pt>
                <c:pt idx="95">
                  <c:v>438.96212617074298</c:v>
                </c:pt>
                <c:pt idx="96">
                  <c:v>449.09138695445449</c:v>
                </c:pt>
                <c:pt idx="97">
                  <c:v>459.21576010891323</c:v>
                </c:pt>
                <c:pt idx="98">
                  <c:v>378.209162331713</c:v>
                </c:pt>
                <c:pt idx="99">
                  <c:v>387.36480059909928</c:v>
                </c:pt>
                <c:pt idx="100">
                  <c:v>396.51574057777526</c:v>
                </c:pt>
                <c:pt idx="101">
                  <c:v>405.6621060387227</c:v>
                </c:pt>
                <c:pt idx="102">
                  <c:v>414.80401471367298</c:v>
                </c:pt>
                <c:pt idx="103">
                  <c:v>423.94157871927513</c:v>
                </c:pt>
                <c:pt idx="104">
                  <c:v>433.0749049427771</c:v>
                </c:pt>
                <c:pt idx="105">
                  <c:v>442.20409539346821</c:v>
                </c:pt>
                <c:pt idx="106">
                  <c:v>451.32924752357991</c:v>
                </c:pt>
                <c:pt idx="107">
                  <c:v>460.45045452187622</c:v>
                </c:pt>
                <c:pt idx="108">
                  <c:v>469.567805582765</c:v>
                </c:pt>
                <c:pt idx="109">
                  <c:v>478.6813861534161</c:v>
                </c:pt>
                <c:pt idx="110">
                  <c:v>395.20068110200162</c:v>
                </c:pt>
                <c:pt idx="111">
                  <c:v>403.39834364064762</c:v>
                </c:pt>
                <c:pt idx="112">
                  <c:v>411.59240379298285</c:v>
                </c:pt>
                <c:pt idx="113">
                  <c:v>419.78294343103568</c:v>
                </c:pt>
                <c:pt idx="114">
                  <c:v>427.97004096956312</c:v>
                </c:pt>
                <c:pt idx="115">
                  <c:v>436.15377157683184</c:v>
                </c:pt>
                <c:pt idx="116">
                  <c:v>444.33420736875161</c:v>
                </c:pt>
                <c:pt idx="117">
                  <c:v>452.51141758795944</c:v>
                </c:pt>
                <c:pt idx="118">
                  <c:v>460.68546876928417</c:v>
                </c:pt>
                <c:pt idx="119">
                  <c:v>468.85642489285124</c:v>
                </c:pt>
                <c:pt idx="120">
                  <c:v>477.02434752595531</c:v>
                </c:pt>
                <c:pt idx="121">
                  <c:v>485.18929595470814</c:v>
                </c:pt>
                <c:pt idx="122">
                  <c:v>254.46571105530847</c:v>
                </c:pt>
                <c:pt idx="123">
                  <c:v>260.23198096229737</c:v>
                </c:pt>
                <c:pt idx="124">
                  <c:v>265.99536493740356</c:v>
                </c:pt>
                <c:pt idx="125">
                  <c:v>271.75593442925316</c:v>
                </c:pt>
                <c:pt idx="126">
                  <c:v>277.5137576056257</c:v>
                </c:pt>
                <c:pt idx="127">
                  <c:v>283.26889957059507</c:v>
                </c:pt>
                <c:pt idx="128">
                  <c:v>289.02142256308201</c:v>
                </c:pt>
                <c:pt idx="129">
                  <c:v>294.77138613875337</c:v>
                </c:pt>
                <c:pt idx="130">
                  <c:v>300.51884733697273</c:v>
                </c:pt>
                <c:pt idx="131">
                  <c:v>306.26386083429691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2.8570438485924678</c:v>
                </c:pt>
                <c:pt idx="2">
                  <c:v>3.3655409320230496</c:v>
                </c:pt>
                <c:pt idx="3">
                  <c:v>3.9648711712921583</c:v>
                </c:pt>
                <c:pt idx="4">
                  <c:v>4.6713159255511032</c:v>
                </c:pt>
                <c:pt idx="5">
                  <c:v>5.5040842714494636</c:v>
                </c:pt>
                <c:pt idx="6">
                  <c:v>6.4858410348683284</c:v>
                </c:pt>
                <c:pt idx="7">
                  <c:v>7.6433303182525583</c:v>
                </c:pt>
                <c:pt idx="8">
                  <c:v>9.008111837685016</c:v>
                </c:pt>
                <c:pt idx="9">
                  <c:v>10.617430530273511</c:v>
                </c:pt>
                <c:pt idx="10">
                  <c:v>12.51524361183359</c:v>
                </c:pt>
                <c:pt idx="11">
                  <c:v>14.753433661788458</c:v>
                </c:pt>
                <c:pt idx="12">
                  <c:v>17.393241510319466</c:v>
                </c:pt>
                <c:pt idx="13">
                  <c:v>20.506958848338215</c:v>
                </c:pt>
                <c:pt idx="14">
                  <c:v>24.179927746808428</c:v>
                </c:pt>
                <c:pt idx="15">
                  <c:v>28.512902862953961</c:v>
                </c:pt>
                <c:pt idx="16">
                  <c:v>33.624842269016021</c:v>
                </c:pt>
                <c:pt idx="17">
                  <c:v>39.656204850824899</c:v>
                </c:pt>
                <c:pt idx="18">
                  <c:v>46.772846427294837</c:v>
                </c:pt>
                <c:pt idx="19">
                  <c:v>55.170623538812009</c:v>
                </c:pt>
                <c:pt idx="20">
                  <c:v>65.080833716519777</c:v>
                </c:pt>
                <c:pt idx="21">
                  <c:v>76.776644536700402</c:v>
                </c:pt>
                <c:pt idx="22">
                  <c:v>90.5806915485487</c:v>
                </c:pt>
                <c:pt idx="23">
                  <c:v>106.87405802497348</c:v>
                </c:pt>
                <c:pt idx="24">
                  <c:v>126.10688835389209</c:v>
                </c:pt>
                <c:pt idx="25">
                  <c:v>148.81093286135922</c:v>
                </c:pt>
                <c:pt idx="26">
                  <c:v>146.73924981884886</c:v>
                </c:pt>
                <c:pt idx="27">
                  <c:v>161.22694253209136</c:v>
                </c:pt>
                <c:pt idx="28">
                  <c:v>175.68381249632054</c:v>
                </c:pt>
                <c:pt idx="29">
                  <c:v>190.1127547666068</c:v>
                </c:pt>
                <c:pt idx="30">
                  <c:v>204.51618846220967</c:v>
                </c:pt>
                <c:pt idx="31">
                  <c:v>177.74673882318049</c:v>
                </c:pt>
                <c:pt idx="32">
                  <c:v>194.23052863625435</c:v>
                </c:pt>
                <c:pt idx="33">
                  <c:v>210.68179897079304</c:v>
                </c:pt>
                <c:pt idx="34">
                  <c:v>227.10344715858119</c:v>
                </c:pt>
                <c:pt idx="35">
                  <c:v>243.49791694752579</c:v>
                </c:pt>
                <c:pt idx="36">
                  <c:v>217.66446793584763</c:v>
                </c:pt>
                <c:pt idx="37">
                  <c:v>234.89407374203219</c:v>
                </c:pt>
                <c:pt idx="38">
                  <c:v>252.09484919970498</c:v>
                </c:pt>
                <c:pt idx="39">
                  <c:v>269.26903825113033</c:v>
                </c:pt>
                <c:pt idx="40">
                  <c:v>286.4185751166749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329.19511576502646</c:v>
                </c:pt>
                <c:pt idx="46">
                  <c:v>303.13762323931286</c:v>
                </c:pt>
                <c:pt idx="47">
                  <c:v>319.83616118961032</c:v>
                </c:pt>
                <c:pt idx="48">
                  <c:v>336.51541035034978</c:v>
                </c:pt>
                <c:pt idx="49">
                  <c:v>353.17646115055004</c:v>
                </c:pt>
                <c:pt idx="50">
                  <c:v>369.82029275047876</c:v>
                </c:pt>
                <c:pt idx="51">
                  <c:v>343.42580104652302</c:v>
                </c:pt>
                <c:pt idx="52">
                  <c:v>359.67361293503609</c:v>
                </c:pt>
                <c:pt idx="53">
                  <c:v>375.9053740333265</c:v>
                </c:pt>
                <c:pt idx="54">
                  <c:v>392.12187483767121</c:v>
                </c:pt>
                <c:pt idx="55">
                  <c:v>408.32383513861078</c:v>
                </c:pt>
                <c:pt idx="56">
                  <c:v>381.17737444442338</c:v>
                </c:pt>
                <c:pt idx="57">
                  <c:v>396.57883448700221</c:v>
                </c:pt>
                <c:pt idx="58">
                  <c:v>411.96734072289183</c:v>
                </c:pt>
                <c:pt idx="59">
                  <c:v>427.34344505663171</c:v>
                </c:pt>
                <c:pt idx="60">
                  <c:v>442.70765644555928</c:v>
                </c:pt>
                <c:pt idx="61">
                  <c:v>414.80069721135334</c:v>
                </c:pt>
                <c:pt idx="62">
                  <c:v>429.36572078685384</c:v>
                </c:pt>
                <c:pt idx="63">
                  <c:v>443.9201281174773</c:v>
                </c:pt>
                <c:pt idx="64">
                  <c:v>458.46431622225504</c:v>
                </c:pt>
                <c:pt idx="65">
                  <c:v>472.99865488119258</c:v>
                </c:pt>
                <c:pt idx="66">
                  <c:v>444.32426956358057</c:v>
                </c:pt>
                <c:pt idx="67">
                  <c:v>458.06044564731332</c:v>
                </c:pt>
                <c:pt idx="68">
                  <c:v>471.78782761031488</c:v>
                </c:pt>
                <c:pt idx="69">
                  <c:v>485.50670733159899</c:v>
                </c:pt>
                <c:pt idx="70">
                  <c:v>499.2173588530552</c:v>
                </c:pt>
                <c:pt idx="71">
                  <c:v>469.36597432654622</c:v>
                </c:pt>
                <c:pt idx="72">
                  <c:v>481.87605086617651</c:v>
                </c:pt>
                <c:pt idx="73">
                  <c:v>494.37922843874412</c:v>
                </c:pt>
                <c:pt idx="74">
                  <c:v>506.87570609003552</c:v>
                </c:pt>
                <c:pt idx="75">
                  <c:v>519.36567225225349</c:v>
                </c:pt>
                <c:pt idx="76">
                  <c:v>489.13678734186618</c:v>
                </c:pt>
                <c:pt idx="77">
                  <c:v>501.23295290548805</c:v>
                </c:pt>
                <c:pt idx="78">
                  <c:v>513.32294183422573</c:v>
                </c:pt>
                <c:pt idx="79">
                  <c:v>525.40692008667054</c:v>
                </c:pt>
                <c:pt idx="80">
                  <c:v>537.48504536607982</c:v>
                </c:pt>
                <c:pt idx="81">
                  <c:v>506.87570609003546</c:v>
                </c:pt>
                <c:pt idx="82">
                  <c:v>518.56006095402688</c:v>
                </c:pt>
                <c:pt idx="83">
                  <c:v>530.23886398734817</c:v>
                </c:pt>
                <c:pt idx="84">
                  <c:v>541.91225469196922</c:v>
                </c:pt>
                <c:pt idx="85">
                  <c:v>553.58036607052361</c:v>
                </c:pt>
                <c:pt idx="86">
                  <c:v>522.18510454563477</c:v>
                </c:pt>
                <c:pt idx="87">
                  <c:v>533.05706938142669</c:v>
                </c:pt>
                <c:pt idx="88">
                  <c:v>543.92437106523562</c:v>
                </c:pt>
                <c:pt idx="89">
                  <c:v>554.78711589011334</c:v>
                </c:pt>
                <c:pt idx="90">
                  <c:v>565.64540564760955</c:v>
                </c:pt>
                <c:pt idx="91">
                  <c:v>533.45964452335909</c:v>
                </c:pt>
                <c:pt idx="92">
                  <c:v>543.52196031239725</c:v>
                </c:pt>
                <c:pt idx="93">
                  <c:v>553.58036607052338</c:v>
                </c:pt>
                <c:pt idx="94">
                  <c:v>563.63494285621744</c:v>
                </c:pt>
                <c:pt idx="95">
                  <c:v>573.68576860024802</c:v>
                </c:pt>
                <c:pt idx="96">
                  <c:v>541.10736424197137</c:v>
                </c:pt>
                <c:pt idx="97">
                  <c:v>550.76440184545663</c:v>
                </c:pt>
                <c:pt idx="98">
                  <c:v>560.41789006787951</c:v>
                </c:pt>
                <c:pt idx="99">
                  <c:v>570.06789866925885</c:v>
                </c:pt>
                <c:pt idx="100">
                  <c:v>579.71449485526716</c:v>
                </c:pt>
                <c:pt idx="101">
                  <c:v>546.74107162107293</c:v>
                </c:pt>
                <c:pt idx="102">
                  <c:v>555.99381071316304</c:v>
                </c:pt>
                <c:pt idx="103">
                  <c:v>565.24332506261192</c:v>
                </c:pt>
                <c:pt idx="104">
                  <c:v>574.48967488014102</c:v>
                </c:pt>
                <c:pt idx="105">
                  <c:v>583.73291828020922</c:v>
                </c:pt>
                <c:pt idx="106">
                  <c:v>551.97128052407254</c:v>
                </c:pt>
                <c:pt idx="107">
                  <c:v>560.41789006787985</c:v>
                </c:pt>
                <c:pt idx="108">
                  <c:v>568.86183556500578</c:v>
                </c:pt>
                <c:pt idx="109">
                  <c:v>577.30316213955939</c:v>
                </c:pt>
                <c:pt idx="110">
                  <c:v>585.74191348830459</c:v>
                </c:pt>
                <c:pt idx="111">
                  <c:v>555.18935360177829</c:v>
                </c:pt>
                <c:pt idx="112">
                  <c:v>562.83071576489817</c:v>
                </c:pt>
                <c:pt idx="113">
                  <c:v>570.46990784967431</c:v>
                </c:pt>
                <c:pt idx="114">
                  <c:v>578.1069630190849</c:v>
                </c:pt>
                <c:pt idx="115">
                  <c:v>585.7419134883047</c:v>
                </c:pt>
                <c:pt idx="116">
                  <c:v>556.79824344224187</c:v>
                </c:pt>
                <c:pt idx="117">
                  <c:v>564.03704739752004</c:v>
                </c:pt>
                <c:pt idx="118">
                  <c:v>571.27390845762102</c:v>
                </c:pt>
                <c:pt idx="119">
                  <c:v>578.508854711553</c:v>
                </c:pt>
                <c:pt idx="120">
                  <c:v>585.74191348830493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124.45922680191636</c:v>
                </c:pt>
                <c:pt idx="24">
                  <c:v>145.05150046666205</c:v>
                </c:pt>
                <c:pt idx="25">
                  <c:v>165.57375879185801</c:v>
                </c:pt>
                <c:pt idx="26">
                  <c:v>186.0359113344837</c:v>
                </c:pt>
                <c:pt idx="27">
                  <c:v>206.44550326470099</c:v>
                </c:pt>
                <c:pt idx="28">
                  <c:v>178.8770701672199</c:v>
                </c:pt>
                <c:pt idx="29">
                  <c:v>200.38972394653459</c:v>
                </c:pt>
                <c:pt idx="30">
                  <c:v>221.84883849790182</c:v>
                </c:pt>
                <c:pt idx="31">
                  <c:v>243.26032139995104</c:v>
                </c:pt>
                <c:pt idx="32">
                  <c:v>264.62895421811407</c:v>
                </c:pt>
                <c:pt idx="33">
                  <c:v>285.95868273742298</c:v>
                </c:pt>
                <c:pt idx="34">
                  <c:v>242.58739286352048</c:v>
                </c:pt>
                <c:pt idx="35">
                  <c:v>264.04989736803674</c:v>
                </c:pt>
                <c:pt idx="36">
                  <c:v>285.47306022064532</c:v>
                </c:pt>
                <c:pt idx="37">
                  <c:v>306.860247871995</c:v>
                </c:pt>
                <c:pt idx="38">
                  <c:v>328.21431914917827</c:v>
                </c:pt>
                <c:pt idx="39">
                  <c:v>349.5377305435054</c:v>
                </c:pt>
                <c:pt idx="40">
                  <c:v>370.83261443628663</c:v>
                </c:pt>
                <c:pt idx="41">
                  <c:v>392.10083840438301</c:v>
                </c:pt>
                <c:pt idx="42">
                  <c:v>320.07706003496543</c:v>
                </c:pt>
                <c:pt idx="43">
                  <c:v>340.16115673745094</c:v>
                </c:pt>
                <c:pt idx="44">
                  <c:v>360.2191776827687</c:v>
                </c:pt>
                <c:pt idx="45">
                  <c:v>380.25277835910487</c:v>
                </c:pt>
                <c:pt idx="46">
                  <c:v>400.2634256424567</c:v>
                </c:pt>
                <c:pt idx="47">
                  <c:v>420.25242783490597</c:v>
                </c:pt>
                <c:pt idx="48">
                  <c:v>440.22095868894326</c:v>
                </c:pt>
                <c:pt idx="49">
                  <c:v>460.17007684546002</c:v>
                </c:pt>
                <c:pt idx="50">
                  <c:v>480.10074172574264</c:v>
                </c:pt>
                <c:pt idx="51">
                  <c:v>408.86708705663085</c:v>
                </c:pt>
                <c:pt idx="52">
                  <c:v>426.81319907682013</c:v>
                </c:pt>
                <c:pt idx="53">
                  <c:v>444.74308871435665</c:v>
                </c:pt>
                <c:pt idx="54">
                  <c:v>462.65750170877988</c:v>
                </c:pt>
                <c:pt idx="55">
                  <c:v>480.55712136582889</c:v>
                </c:pt>
                <c:pt idx="56">
                  <c:v>498.44257596300025</c:v>
                </c:pt>
                <c:pt idx="57">
                  <c:v>516.31444503713794</c:v>
                </c:pt>
                <c:pt idx="58">
                  <c:v>534.17326475645041</c:v>
                </c:pt>
                <c:pt idx="59">
                  <c:v>552.01953253702732</c:v>
                </c:pt>
                <c:pt idx="60">
                  <c:v>569.85371103158184</c:v>
                </c:pt>
                <c:pt idx="61">
                  <c:v>496.55887909600943</c:v>
                </c:pt>
                <c:pt idx="62">
                  <c:v>511.6255347374472</c:v>
                </c:pt>
                <c:pt idx="63">
                  <c:v>526.68282208192829</c:v>
                </c:pt>
                <c:pt idx="64">
                  <c:v>541.73104657451711</c:v>
                </c:pt>
                <c:pt idx="65">
                  <c:v>556.77049531447858</c:v>
                </c:pt>
                <c:pt idx="66">
                  <c:v>571.80143863323156</c:v>
                </c:pt>
                <c:pt idx="67">
                  <c:v>586.82413149782394</c:v>
                </c:pt>
                <c:pt idx="68">
                  <c:v>601.83881476328258</c:v>
                </c:pt>
                <c:pt idx="69">
                  <c:v>616.84571629355526</c:v>
                </c:pt>
                <c:pt idx="70">
                  <c:v>631.84505196775149</c:v>
                </c:pt>
                <c:pt idx="71">
                  <c:v>558.52582336493231</c:v>
                </c:pt>
                <c:pt idx="72">
                  <c:v>570.88695865906334</c:v>
                </c:pt>
                <c:pt idx="73">
                  <c:v>583.24250397763637</c:v>
                </c:pt>
                <c:pt idx="74">
                  <c:v>595.59259439382743</c:v>
                </c:pt>
                <c:pt idx="75">
                  <c:v>607.93735892409688</c:v>
                </c:pt>
                <c:pt idx="76">
                  <c:v>620.27692091982669</c:v>
                </c:pt>
                <c:pt idx="77">
                  <c:v>632.61139842618638</c:v>
                </c:pt>
                <c:pt idx="78">
                  <c:v>644.94090451156796</c:v>
                </c:pt>
                <c:pt idx="79">
                  <c:v>657.26554757053043</c:v>
                </c:pt>
                <c:pt idx="80">
                  <c:v>669.58543160285092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2.713993017085917</c:v>
                </c:pt>
                <c:pt idx="2">
                  <c:v>3.297780094167829</c:v>
                </c:pt>
                <c:pt idx="3">
                  <c:v>4.0076148495630122</c:v>
                </c:pt>
                <c:pt idx="4">
                  <c:v>4.8708091687241364</c:v>
                </c:pt>
                <c:pt idx="5">
                  <c:v>5.9206124221209437</c:v>
                </c:pt>
                <c:pt idx="6">
                  <c:v>7.1975062064258246</c:v>
                </c:pt>
                <c:pt idx="7">
                  <c:v>8.7507822174987044</c:v>
                </c:pt>
                <c:pt idx="8">
                  <c:v>10.640465330220749</c:v>
                </c:pt>
                <c:pt idx="9">
                  <c:v>12.939657601942194</c:v>
                </c:pt>
                <c:pt idx="10">
                  <c:v>15.737395562368858</c:v>
                </c:pt>
                <c:pt idx="11">
                  <c:v>19.142133466046261</c:v>
                </c:pt>
                <c:pt idx="12">
                  <c:v>23.285989973678308</c:v>
                </c:pt>
                <c:pt idx="13">
                  <c:v>28.329925983783568</c:v>
                </c:pt>
                <c:pt idx="14">
                  <c:v>34.470058263700928</c:v>
                </c:pt>
                <c:pt idx="15">
                  <c:v>41.945358602794364</c:v>
                </c:pt>
                <c:pt idx="16">
                  <c:v>51.047043231153054</c:v>
                </c:pt>
                <c:pt idx="17">
                  <c:v>62.130024412894237</c:v>
                </c:pt>
                <c:pt idx="18">
                  <c:v>75.626878119916697</c:v>
                </c:pt>
                <c:pt idx="19">
                  <c:v>92.064881799910609</c:v>
                </c:pt>
                <c:pt idx="20">
                  <c:v>112.08679847851977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146.05306344957884</c:v>
                </c:pt>
                <c:pt idx="27">
                  <c:v>164.6694744129513</c:v>
                </c:pt>
                <c:pt idx="28">
                  <c:v>183.23613938898782</c:v>
                </c:pt>
                <c:pt idx="29">
                  <c:v>201.75881092692782</c:v>
                </c:pt>
                <c:pt idx="30">
                  <c:v>220.24209728386407</c:v>
                </c:pt>
                <c:pt idx="31">
                  <c:v>196.84864368888995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245.45815924548182</c:v>
                </c:pt>
                <c:pt idx="35">
                  <c:v>261.61017170872896</c:v>
                </c:pt>
                <c:pt idx="36">
                  <c:v>236.43267338641553</c:v>
                </c:pt>
                <c:pt idx="37">
                  <c:v>250.71952474895636</c:v>
                </c:pt>
                <c:pt idx="38">
                  <c:v>264.98792439409277</c:v>
                </c:pt>
                <c:pt idx="39">
                  <c:v>279.23900597474045</c:v>
                </c:pt>
                <c:pt idx="40">
                  <c:v>293.47377793906486</c:v>
                </c:pt>
                <c:pt idx="41">
                  <c:v>266.11362550427401</c:v>
                </c:pt>
                <c:pt idx="42">
                  <c:v>278.11452603753787</c:v>
                </c:pt>
                <c:pt idx="43">
                  <c:v>290.10380901652701</c:v>
                </c:pt>
                <c:pt idx="44">
                  <c:v>302.08202241270902</c:v>
                </c:pt>
                <c:pt idx="45">
                  <c:v>314.04966717357325</c:v>
                </c:pt>
                <c:pt idx="46">
                  <c:v>290.85276623666175</c:v>
                </c:pt>
                <c:pt idx="47">
                  <c:v>301.33369868276128</c:v>
                </c:pt>
                <c:pt idx="48">
                  <c:v>311.8065171359209</c:v>
                </c:pt>
                <c:pt idx="49">
                  <c:v>322.27153269112586</c:v>
                </c:pt>
                <c:pt idx="50">
                  <c:v>332.72903457884451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340.19422861744891</c:v>
                </c:pt>
                <c:pt idx="57">
                  <c:v>347.65581965898076</c:v>
                </c:pt>
                <c:pt idx="58">
                  <c:v>355.11389600890442</c:v>
                </c:pt>
                <c:pt idx="59">
                  <c:v>362.56854195764794</c:v>
                </c:pt>
                <c:pt idx="60">
                  <c:v>370.01983804377869</c:v>
                </c:pt>
                <c:pt idx="61">
                  <c:v>359.58708999068591</c:v>
                </c:pt>
                <c:pt idx="62">
                  <c:v>365.92203505591783</c:v>
                </c:pt>
                <c:pt idx="63">
                  <c:v>372.25458524998089</c:v>
                </c:pt>
                <c:pt idx="64">
                  <c:v>378.58478709988793</c:v>
                </c:pt>
                <c:pt idx="65">
                  <c:v>384.91268544829819</c:v>
                </c:pt>
                <c:pt idx="66">
                  <c:v>375.60615822359978</c:v>
                </c:pt>
                <c:pt idx="67">
                  <c:v>381.19066877305704</c:v>
                </c:pt>
                <c:pt idx="68">
                  <c:v>386.77339997206712</c:v>
                </c:pt>
                <c:pt idx="69">
                  <c:v>392.3543811541972</c:v>
                </c:pt>
                <c:pt idx="70">
                  <c:v>397.93364074958504</c:v>
                </c:pt>
                <c:pt idx="71">
                  <c:v>387.88973528733283</c:v>
                </c:pt>
                <c:pt idx="72">
                  <c:v>392.72638504489879</c:v>
                </c:pt>
                <c:pt idx="73">
                  <c:v>397.56174311317318</c:v>
                </c:pt>
                <c:pt idx="74">
                  <c:v>402.39582743654279</c:v>
                </c:pt>
                <c:pt idx="75">
                  <c:v>407.22865549260911</c:v>
                </c:pt>
                <c:pt idx="76">
                  <c:v>398.67741344442726</c:v>
                </c:pt>
                <c:pt idx="77">
                  <c:v>403.13942078264904</c:v>
                </c:pt>
                <c:pt idx="78">
                  <c:v>407.60035995338376</c:v>
                </c:pt>
                <c:pt idx="79">
                  <c:v>412.06024430985258</c:v>
                </c:pt>
                <c:pt idx="80">
                  <c:v>416.51908689232141</c:v>
                </c:pt>
                <c:pt idx="81">
                  <c:v>8.0726688341261168E-13</c:v>
                </c:pt>
                <c:pt idx="82">
                  <c:v>8.0726688341261168E-13</c:v>
                </c:pt>
                <c:pt idx="83">
                  <c:v>8.0726688341261168E-13</c:v>
                </c:pt>
                <c:pt idx="84">
                  <c:v>8.0726688341261168E-13</c:v>
                </c:pt>
                <c:pt idx="85">
                  <c:v>8.0726688341261168E-13</c:v>
                </c:pt>
                <c:pt idx="86">
                  <c:v>8.0726688341261168E-13</c:v>
                </c:pt>
                <c:pt idx="87">
                  <c:v>8.0726688341261168E-13</c:v>
                </c:pt>
                <c:pt idx="88">
                  <c:v>8.0726688341261168E-13</c:v>
                </c:pt>
                <c:pt idx="89">
                  <c:v>8.0726688341261168E-13</c:v>
                </c:pt>
                <c:pt idx="90">
                  <c:v>8.0726688341261168E-13</c:v>
                </c:pt>
                <c:pt idx="91">
                  <c:v>8.0726688341261168E-13</c:v>
                </c:pt>
                <c:pt idx="92">
                  <c:v>8.0726688341261168E-13</c:v>
                </c:pt>
                <c:pt idx="93">
                  <c:v>8.0726688341261168E-13</c:v>
                </c:pt>
                <c:pt idx="94">
                  <c:v>8.0726688341261168E-13</c:v>
                </c:pt>
                <c:pt idx="95">
                  <c:v>8.0726688341261168E-13</c:v>
                </c:pt>
                <c:pt idx="96">
                  <c:v>8.0726688341261168E-13</c:v>
                </c:pt>
                <c:pt idx="97">
                  <c:v>8.0726688341261168E-13</c:v>
                </c:pt>
                <c:pt idx="98">
                  <c:v>8.0726688341261168E-13</c:v>
                </c:pt>
                <c:pt idx="99">
                  <c:v>8.0726688341261168E-13</c:v>
                </c:pt>
                <c:pt idx="100">
                  <c:v>8.0726688341261168E-13</c:v>
                </c:pt>
                <c:pt idx="101">
                  <c:v>8.0726688341261168E-13</c:v>
                </c:pt>
                <c:pt idx="102">
                  <c:v>8.0726688341261168E-13</c:v>
                </c:pt>
                <c:pt idx="103">
                  <c:v>8.0726688341261168E-13</c:v>
                </c:pt>
                <c:pt idx="104">
                  <c:v>8.0726688341261168E-13</c:v>
                </c:pt>
                <c:pt idx="105">
                  <c:v>8.0726688341261168E-13</c:v>
                </c:pt>
                <c:pt idx="106">
                  <c:v>8.0726688341261168E-13</c:v>
                </c:pt>
                <c:pt idx="107">
                  <c:v>8.0726688341261168E-13</c:v>
                </c:pt>
                <c:pt idx="108">
                  <c:v>8.0726688341261168E-13</c:v>
                </c:pt>
                <c:pt idx="109">
                  <c:v>8.0726688341261168E-13</c:v>
                </c:pt>
                <c:pt idx="110">
                  <c:v>8.0726688341261168E-13</c:v>
                </c:pt>
                <c:pt idx="111">
                  <c:v>8.0726688341261168E-13</c:v>
                </c:pt>
                <c:pt idx="112">
                  <c:v>8.0726688341261168E-13</c:v>
                </c:pt>
                <c:pt idx="113">
                  <c:v>8.0726688341261168E-13</c:v>
                </c:pt>
                <c:pt idx="114">
                  <c:v>8.0726688341261168E-13</c:v>
                </c:pt>
                <c:pt idx="115">
                  <c:v>8.0726688341261168E-13</c:v>
                </c:pt>
                <c:pt idx="116">
                  <c:v>8.0726688341261168E-13</c:v>
                </c:pt>
                <c:pt idx="117">
                  <c:v>8.0726688341261168E-13</c:v>
                </c:pt>
                <c:pt idx="118">
                  <c:v>8.0726688341261168E-13</c:v>
                </c:pt>
                <c:pt idx="119">
                  <c:v>8.0726688341261168E-13</c:v>
                </c:pt>
                <c:pt idx="120">
                  <c:v>8.0726688341261168E-13</c:v>
                </c:pt>
                <c:pt idx="121">
                  <c:v>8.0726688341261168E-13</c:v>
                </c:pt>
                <c:pt idx="122">
                  <c:v>8.0726688341261168E-13</c:v>
                </c:pt>
                <c:pt idx="123">
                  <c:v>8.0726688341261168E-13</c:v>
                </c:pt>
                <c:pt idx="124">
                  <c:v>8.0726688341261168E-13</c:v>
                </c:pt>
                <c:pt idx="125">
                  <c:v>8.0726688341261168E-13</c:v>
                </c:pt>
                <c:pt idx="126">
                  <c:v>8.0726688341261168E-13</c:v>
                </c:pt>
                <c:pt idx="127">
                  <c:v>8.0726688341261168E-13</c:v>
                </c:pt>
                <c:pt idx="128">
                  <c:v>8.0726688341261168E-13</c:v>
                </c:pt>
                <c:pt idx="129">
                  <c:v>8.0726688341261168E-13</c:v>
                </c:pt>
                <c:pt idx="130">
                  <c:v>8.0726688341261168E-13</c:v>
                </c:pt>
                <c:pt idx="131">
                  <c:v>8.0726688341261168E-13</c:v>
                </c:pt>
                <c:pt idx="132">
                  <c:v>8.0726688341261168E-13</c:v>
                </c:pt>
                <c:pt idx="133">
                  <c:v>8.0726688341261168E-13</c:v>
                </c:pt>
                <c:pt idx="134">
                  <c:v>8.0726688341261168E-13</c:v>
                </c:pt>
                <c:pt idx="135">
                  <c:v>8.0726688341261168E-13</c:v>
                </c:pt>
                <c:pt idx="136">
                  <c:v>8.0726688341261168E-13</c:v>
                </c:pt>
                <c:pt idx="137">
                  <c:v>8.0726688341261168E-13</c:v>
                </c:pt>
                <c:pt idx="138">
                  <c:v>8.0726688341261168E-13</c:v>
                </c:pt>
                <c:pt idx="139">
                  <c:v>8.0726688341261168E-13</c:v>
                </c:pt>
                <c:pt idx="140">
                  <c:v>8.0726688341261168E-13</c:v>
                </c:pt>
                <c:pt idx="141">
                  <c:v>8.0726688341261168E-13</c:v>
                </c:pt>
                <c:pt idx="142">
                  <c:v>8.0726688341261168E-13</c:v>
                </c:pt>
                <c:pt idx="143">
                  <c:v>8.0726688341261168E-13</c:v>
                </c:pt>
                <c:pt idx="144">
                  <c:v>8.0726688341261168E-13</c:v>
                </c:pt>
                <c:pt idx="145">
                  <c:v>8.0726688341261168E-13</c:v>
                </c:pt>
                <c:pt idx="146">
                  <c:v>8.0726688341261168E-13</c:v>
                </c:pt>
                <c:pt idx="147">
                  <c:v>8.0726688341261168E-13</c:v>
                </c:pt>
                <c:pt idx="148">
                  <c:v>8.0726688341261168E-13</c:v>
                </c:pt>
                <c:pt idx="149">
                  <c:v>8.0726688341261168E-13</c:v>
                </c:pt>
                <c:pt idx="150">
                  <c:v>8.0726688341261168E-13</c:v>
                </c:pt>
                <c:pt idx="151">
                  <c:v>8.0726688341261168E-13</c:v>
                </c:pt>
                <c:pt idx="152">
                  <c:v>8.0726688341261168E-13</c:v>
                </c:pt>
                <c:pt idx="153">
                  <c:v>8.0726688341261168E-13</c:v>
                </c:pt>
                <c:pt idx="154">
                  <c:v>8.0726688341261168E-13</c:v>
                </c:pt>
                <c:pt idx="155">
                  <c:v>8.0726688341261168E-13</c:v>
                </c:pt>
                <c:pt idx="156">
                  <c:v>8.0726688341261168E-13</c:v>
                </c:pt>
                <c:pt idx="157">
                  <c:v>8.0726688341261168E-13</c:v>
                </c:pt>
                <c:pt idx="158">
                  <c:v>8.0726688341261168E-13</c:v>
                </c:pt>
                <c:pt idx="159">
                  <c:v>8.0726688341261168E-13</c:v>
                </c:pt>
                <c:pt idx="160">
                  <c:v>8.0726688341261168E-13</c:v>
                </c:pt>
                <c:pt idx="161">
                  <c:v>8.0726688341261168E-13</c:v>
                </c:pt>
                <c:pt idx="162">
                  <c:v>8.0726688341261168E-13</c:v>
                </c:pt>
                <c:pt idx="163">
                  <c:v>8.0726688341261168E-13</c:v>
                </c:pt>
                <c:pt idx="164">
                  <c:v>8.0726688341261168E-13</c:v>
                </c:pt>
                <c:pt idx="165">
                  <c:v>8.0726688341261168E-13</c:v>
                </c:pt>
                <c:pt idx="166">
                  <c:v>8.0726688341261168E-13</c:v>
                </c:pt>
                <c:pt idx="167">
                  <c:v>8.0726688341261168E-13</c:v>
                </c:pt>
                <c:pt idx="168">
                  <c:v>8.0726688341261168E-13</c:v>
                </c:pt>
                <c:pt idx="169">
                  <c:v>8.0726688341261168E-13</c:v>
                </c:pt>
                <c:pt idx="170">
                  <c:v>8.0726688341261168E-13</c:v>
                </c:pt>
                <c:pt idx="171">
                  <c:v>8.0726688341261168E-13</c:v>
                </c:pt>
                <c:pt idx="172">
                  <c:v>8.0726688341261168E-13</c:v>
                </c:pt>
                <c:pt idx="173">
                  <c:v>8.0726688341261168E-13</c:v>
                </c:pt>
                <c:pt idx="174">
                  <c:v>8.0726688341261168E-13</c:v>
                </c:pt>
                <c:pt idx="175">
                  <c:v>8.0726688341261168E-13</c:v>
                </c:pt>
                <c:pt idx="176">
                  <c:v>8.0726688341261168E-13</c:v>
                </c:pt>
                <c:pt idx="177">
                  <c:v>8.0726688341261168E-13</c:v>
                </c:pt>
                <c:pt idx="178">
                  <c:v>8.0726688341261168E-13</c:v>
                </c:pt>
                <c:pt idx="179">
                  <c:v>8.0726688341261168E-13</c:v>
                </c:pt>
                <c:pt idx="180">
                  <c:v>8.0726688341261168E-13</c:v>
                </c:pt>
                <c:pt idx="181">
                  <c:v>8.0726688341261168E-13</c:v>
                </c:pt>
                <c:pt idx="182">
                  <c:v>8.0726688341261168E-13</c:v>
                </c:pt>
                <c:pt idx="183">
                  <c:v>8.0726688341261168E-13</c:v>
                </c:pt>
                <c:pt idx="184">
                  <c:v>8.0726688341261168E-13</c:v>
                </c:pt>
                <c:pt idx="185">
                  <c:v>8.0726688341261168E-13</c:v>
                </c:pt>
                <c:pt idx="186">
                  <c:v>8.0726688341261168E-13</c:v>
                </c:pt>
                <c:pt idx="187">
                  <c:v>8.0726688341261168E-13</c:v>
                </c:pt>
                <c:pt idx="188">
                  <c:v>8.0726688341261168E-13</c:v>
                </c:pt>
                <c:pt idx="189">
                  <c:v>8.0726688341261168E-13</c:v>
                </c:pt>
                <c:pt idx="190">
                  <c:v>8.0726688341261168E-13</c:v>
                </c:pt>
                <c:pt idx="191">
                  <c:v>8.0726688341261168E-13</c:v>
                </c:pt>
                <c:pt idx="192">
                  <c:v>8.0726688341261168E-13</c:v>
                </c:pt>
                <c:pt idx="193">
                  <c:v>8.0726688341261168E-13</c:v>
                </c:pt>
                <c:pt idx="194">
                  <c:v>8.0726688341261168E-13</c:v>
                </c:pt>
                <c:pt idx="195">
                  <c:v>8.0726688341261168E-13</c:v>
                </c:pt>
                <c:pt idx="196">
                  <c:v>8.0726688341261168E-13</c:v>
                </c:pt>
                <c:pt idx="197">
                  <c:v>8.0726688341261168E-13</c:v>
                </c:pt>
                <c:pt idx="198">
                  <c:v>8.0726688341261168E-13</c:v>
                </c:pt>
                <c:pt idx="199">
                  <c:v>8.0726688341261168E-13</c:v>
                </c:pt>
                <c:pt idx="200">
                  <c:v>8.0726688341261168E-13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11.07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14</v>
      </c>
      <c r="C9" s="32">
        <v>0.43598225090762405</v>
      </c>
      <c r="D9" s="33">
        <f t="shared" ref="D9:D18" si="0">C9*$C$5</f>
        <v>4.8263235175473982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164</v>
      </c>
      <c r="C10" s="32">
        <v>0.27946752722872126</v>
      </c>
      <c r="D10" s="33">
        <f t="shared" si="0"/>
        <v>3.0937055264219442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6</v>
      </c>
      <c r="C11" s="32">
        <v>0.10899556272690601</v>
      </c>
      <c r="D11" s="33">
        <f t="shared" si="0"/>
        <v>1.2065808793868495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35</v>
      </c>
      <c r="C12" s="32">
        <v>0.10584913271480435</v>
      </c>
      <c r="D12" s="33">
        <f t="shared" si="0"/>
        <v>1.1717498991528843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21</v>
      </c>
      <c r="C13" s="32">
        <v>6.970552642194433E-2</v>
      </c>
      <c r="D13" s="33">
        <f t="shared" si="0"/>
        <v>0.77164017749092373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11.069999999999999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42</v>
      </c>
      <c r="B36" s="60">
        <v>171.96</v>
      </c>
      <c r="C36" s="60">
        <v>1</v>
      </c>
      <c r="D36" s="60">
        <v>44.510000000000005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50</v>
      </c>
      <c r="B37" s="60">
        <v>208.33</v>
      </c>
      <c r="C37" s="60">
        <v>2</v>
      </c>
      <c r="D37" s="60">
        <v>37.54000000000002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58</v>
      </c>
      <c r="B38" s="60">
        <v>253.7</v>
      </c>
      <c r="C38" s="60">
        <v>3</v>
      </c>
      <c r="D38" s="60">
        <v>47.789999999999992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66</v>
      </c>
      <c r="B39" s="60">
        <v>286.77</v>
      </c>
      <c r="C39" s="60">
        <v>4</v>
      </c>
      <c r="D39" s="60">
        <v>53.679999999999978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74</v>
      </c>
      <c r="B40" s="60">
        <v>310.95999999999998</v>
      </c>
      <c r="C40" s="60">
        <v>5</v>
      </c>
      <c r="D40" s="60">
        <v>51.339999999999975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84</v>
      </c>
      <c r="B41" s="60">
        <v>355.09</v>
      </c>
      <c r="C41" s="60">
        <v>6</v>
      </c>
      <c r="D41" s="60">
        <v>66.69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94</v>
      </c>
      <c r="B42" s="60">
        <v>380.13</v>
      </c>
      <c r="C42" s="60">
        <v>7</v>
      </c>
      <c r="D42" s="60">
        <v>67.350000000000023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104</v>
      </c>
      <c r="B43" s="60">
        <v>402.2</v>
      </c>
      <c r="C43" s="60">
        <v>8</v>
      </c>
      <c r="D43" s="60">
        <v>66.089999999999975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114</v>
      </c>
      <c r="B44" s="60">
        <v>424.56</v>
      </c>
      <c r="C44" s="60">
        <v>9</v>
      </c>
      <c r="D44" s="60">
        <v>61.860000000000014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124</v>
      </c>
      <c r="B45" s="60">
        <v>451.86</v>
      </c>
      <c r="C45" s="60">
        <v>10</v>
      </c>
      <c r="D45" s="60">
        <v>57.81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134</v>
      </c>
      <c r="B46" s="60">
        <v>484.28</v>
      </c>
      <c r="C46" s="60">
        <v>11</v>
      </c>
      <c r="D46" s="60">
        <v>60.779999999999973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144</v>
      </c>
      <c r="B47" s="60">
        <v>514.94000000000005</v>
      </c>
      <c r="C47" s="60">
        <v>12</v>
      </c>
      <c r="D47" s="60">
        <v>61.800000000000068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154</v>
      </c>
      <c r="B48" s="60">
        <v>546.49</v>
      </c>
      <c r="C48" s="60">
        <v>13</v>
      </c>
      <c r="D48" s="60">
        <v>61.050000000000011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164</v>
      </c>
      <c r="B49" s="60">
        <v>580.32000000000005</v>
      </c>
      <c r="C49" s="60">
        <v>14</v>
      </c>
      <c r="D49" s="60">
        <v>66.020000000000095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174</v>
      </c>
      <c r="B50" s="50">
        <v>610.52</v>
      </c>
      <c r="C50" s="50">
        <v>15</v>
      </c>
      <c r="D50" s="50">
        <v>240</v>
      </c>
      <c r="E50" s="51">
        <v>0.45</v>
      </c>
      <c r="F50" s="51">
        <v>0.05</v>
      </c>
      <c r="G50" s="51">
        <v>0.05</v>
      </c>
      <c r="H50" s="51">
        <v>0.45</v>
      </c>
      <c r="I50" s="49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177</v>
      </c>
      <c r="B51" s="50">
        <v>388.94</v>
      </c>
      <c r="C51" s="50">
        <v>16</v>
      </c>
      <c r="D51" s="50">
        <v>128.66000000000003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180</v>
      </c>
      <c r="B52" s="50">
        <v>271.56</v>
      </c>
      <c r="C52" s="50">
        <v>17</v>
      </c>
      <c r="D52" s="50">
        <v>86.97</v>
      </c>
      <c r="E52" s="51">
        <v>0.45</v>
      </c>
      <c r="F52" s="51">
        <v>0.05</v>
      </c>
      <c r="G52" s="51">
        <v>0.05</v>
      </c>
      <c r="H52" s="51">
        <v>0.45</v>
      </c>
      <c r="I52" s="49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>
        <v>183</v>
      </c>
      <c r="B53" s="50">
        <v>191.47</v>
      </c>
      <c r="C53" s="50">
        <v>18</v>
      </c>
      <c r="D53" s="50">
        <v>191.47</v>
      </c>
      <c r="E53" s="51">
        <v>0.45</v>
      </c>
      <c r="F53" s="51">
        <v>0.05</v>
      </c>
      <c r="G53" s="51">
        <v>0.05</v>
      </c>
      <c r="H53" s="51">
        <v>0.45</v>
      </c>
      <c r="I53" s="49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51</v>
      </c>
      <c r="B62" s="60">
        <v>396.35</v>
      </c>
      <c r="C62" s="60">
        <v>1</v>
      </c>
      <c r="D62" s="60">
        <v>173.97000000000003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7.7715686274509812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61</v>
      </c>
      <c r="B63" s="60">
        <v>352.37</v>
      </c>
      <c r="C63" s="60">
        <v>2</v>
      </c>
      <c r="D63" s="60">
        <v>101.36000000000001</v>
      </c>
      <c r="E63" s="51">
        <v>0.6</v>
      </c>
      <c r="F63" s="51">
        <v>0.2</v>
      </c>
      <c r="G63" s="51">
        <v>0.2</v>
      </c>
      <c r="H63" s="51">
        <v>0</v>
      </c>
      <c r="I63" s="49">
        <f>IF(A63&lt;&gt;0,(B63-(B62-D62))/(A63-A62),"")</f>
        <v>12.999000000000001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73</v>
      </c>
      <c r="B64" s="60">
        <v>394.98</v>
      </c>
      <c r="C64" s="60">
        <v>3</v>
      </c>
      <c r="D64" s="60">
        <v>103.23000000000002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11.997500000000002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85</v>
      </c>
      <c r="B65" s="60">
        <v>425.16</v>
      </c>
      <c r="C65" s="60">
        <v>4</v>
      </c>
      <c r="D65" s="60">
        <v>95.720000000000027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11.117500000000001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97</v>
      </c>
      <c r="B66" s="60">
        <v>451.75</v>
      </c>
      <c r="C66" s="60">
        <v>5</v>
      </c>
      <c r="D66" s="60">
        <v>90.589999999999975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10.192500000000001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109</v>
      </c>
      <c r="B67" s="60">
        <v>471.36</v>
      </c>
      <c r="C67" s="60">
        <v>6</v>
      </c>
      <c r="D67" s="60">
        <v>92.199999999999989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9.1833333333333318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121</v>
      </c>
      <c r="B68" s="60">
        <v>477.92</v>
      </c>
      <c r="C68" s="60">
        <v>7</v>
      </c>
      <c r="D68" s="60">
        <v>236.89000000000001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8.2299999999999986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131</v>
      </c>
      <c r="B69" s="50">
        <v>298.36</v>
      </c>
      <c r="C69" s="50">
        <v>8</v>
      </c>
      <c r="D69" s="50">
        <v>298.36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5.7330000000000014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Charme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25</v>
      </c>
      <c r="B88" s="60">
        <v>70</v>
      </c>
      <c r="C88" s="60">
        <v>1</v>
      </c>
      <c r="D88" s="60">
        <v>8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2.8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30</v>
      </c>
      <c r="B89" s="60">
        <v>97</v>
      </c>
      <c r="C89" s="60">
        <v>2</v>
      </c>
      <c r="D89" s="60">
        <v>21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35</v>
      </c>
      <c r="B90" s="60">
        <v>116</v>
      </c>
      <c r="C90" s="60">
        <v>3</v>
      </c>
      <c r="D90" s="60">
        <v>21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40</v>
      </c>
      <c r="B91" s="60">
        <v>137</v>
      </c>
      <c r="C91" s="60">
        <v>4</v>
      </c>
      <c r="D91" s="60">
        <v>21</v>
      </c>
      <c r="E91" s="87">
        <v>0</v>
      </c>
      <c r="F91" s="87">
        <v>0.25</v>
      </c>
      <c r="G91" s="87">
        <v>0.25</v>
      </c>
      <c r="H91" s="87">
        <v>0.5</v>
      </c>
      <c r="I91" s="53">
        <f t="shared" si="3"/>
        <v>8.4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45</v>
      </c>
      <c r="B92" s="60">
        <v>158</v>
      </c>
      <c r="C92" s="60">
        <v>5</v>
      </c>
      <c r="D92" s="60">
        <v>21</v>
      </c>
      <c r="E92" s="87">
        <v>0</v>
      </c>
      <c r="F92" s="87">
        <v>0.25</v>
      </c>
      <c r="G92" s="87">
        <v>0.25</v>
      </c>
      <c r="H92" s="87">
        <v>0.5</v>
      </c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50</v>
      </c>
      <c r="B93" s="60">
        <v>178</v>
      </c>
      <c r="C93" s="60">
        <v>6</v>
      </c>
      <c r="D93" s="60">
        <v>21</v>
      </c>
      <c r="E93" s="87">
        <v>0</v>
      </c>
      <c r="F93" s="87">
        <v>0.25</v>
      </c>
      <c r="G93" s="87">
        <v>0.25</v>
      </c>
      <c r="H93" s="87">
        <v>0.5</v>
      </c>
      <c r="I93" s="53">
        <f t="shared" si="3"/>
        <v>8.1999999999999993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55</v>
      </c>
      <c r="B94" s="60">
        <v>197</v>
      </c>
      <c r="C94" s="60">
        <v>7</v>
      </c>
      <c r="D94" s="60">
        <v>21</v>
      </c>
      <c r="E94" s="87">
        <v>0</v>
      </c>
      <c r="F94" s="87">
        <v>0.25</v>
      </c>
      <c r="G94" s="87">
        <v>0.25</v>
      </c>
      <c r="H94" s="87">
        <v>0.5</v>
      </c>
      <c r="I94" s="53">
        <f t="shared" si="3"/>
        <v>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60</v>
      </c>
      <c r="B95" s="60">
        <v>214</v>
      </c>
      <c r="C95" s="60">
        <v>8</v>
      </c>
      <c r="D95" s="60">
        <v>21</v>
      </c>
      <c r="E95" s="87">
        <v>0</v>
      </c>
      <c r="F95" s="87">
        <v>0.25</v>
      </c>
      <c r="G95" s="87">
        <v>0.25</v>
      </c>
      <c r="H95" s="87">
        <v>0.5</v>
      </c>
      <c r="I95" s="53">
        <f t="shared" si="3"/>
        <v>7.6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65</v>
      </c>
      <c r="B96" s="60">
        <v>229</v>
      </c>
      <c r="C96" s="60">
        <v>9</v>
      </c>
      <c r="D96" s="60">
        <v>21</v>
      </c>
      <c r="E96" s="87">
        <v>0</v>
      </c>
      <c r="F96" s="87">
        <v>0.25</v>
      </c>
      <c r="G96" s="87">
        <v>0.25</v>
      </c>
      <c r="H96" s="87">
        <v>0.5</v>
      </c>
      <c r="I96" s="53">
        <f t="shared" si="3"/>
        <v>7.2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70</v>
      </c>
      <c r="B97" s="60">
        <v>242</v>
      </c>
      <c r="C97" s="60">
        <v>10</v>
      </c>
      <c r="D97" s="60">
        <v>21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6.8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75</v>
      </c>
      <c r="B98" s="60">
        <v>252</v>
      </c>
      <c r="C98" s="60">
        <v>11</v>
      </c>
      <c r="D98" s="60">
        <v>21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80</v>
      </c>
      <c r="B99" s="60">
        <v>261</v>
      </c>
      <c r="C99" s="60">
        <v>12</v>
      </c>
      <c r="D99" s="60">
        <v>21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85</v>
      </c>
      <c r="B100" s="60">
        <v>269</v>
      </c>
      <c r="C100" s="60">
        <v>13</v>
      </c>
      <c r="D100" s="60">
        <v>21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5.8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90</v>
      </c>
      <c r="B101" s="60">
        <v>275</v>
      </c>
      <c r="C101" s="60">
        <v>14</v>
      </c>
      <c r="D101" s="60">
        <v>21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5.4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95</v>
      </c>
      <c r="B102" s="50">
        <v>279</v>
      </c>
      <c r="C102" s="60">
        <v>15</v>
      </c>
      <c r="D102" s="50">
        <v>21</v>
      </c>
      <c r="E102" s="54">
        <v>0.25</v>
      </c>
      <c r="F102" s="54">
        <v>0.25</v>
      </c>
      <c r="G102" s="54">
        <v>0.25</v>
      </c>
      <c r="H102" s="54">
        <v>0.25</v>
      </c>
      <c r="I102" s="53">
        <f t="shared" si="3"/>
        <v>5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100</v>
      </c>
      <c r="B103" s="50">
        <v>282</v>
      </c>
      <c r="C103" s="60">
        <v>16</v>
      </c>
      <c r="D103" s="50">
        <v>21</v>
      </c>
      <c r="E103" s="54">
        <v>0.25</v>
      </c>
      <c r="F103" s="54">
        <v>0.25</v>
      </c>
      <c r="G103" s="54">
        <v>0.25</v>
      </c>
      <c r="H103" s="54">
        <v>0.25</v>
      </c>
      <c r="I103" s="53">
        <f t="shared" si="3"/>
        <v>4.8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>
        <v>105</v>
      </c>
      <c r="B104" s="50">
        <v>284</v>
      </c>
      <c r="C104" s="60">
        <v>17</v>
      </c>
      <c r="D104" s="50">
        <v>20</v>
      </c>
      <c r="E104" s="54">
        <v>0.25</v>
      </c>
      <c r="F104" s="54">
        <v>0.25</v>
      </c>
      <c r="G104" s="54">
        <v>0.25</v>
      </c>
      <c r="H104" s="54">
        <v>0.25</v>
      </c>
      <c r="I104" s="53">
        <f t="shared" si="3"/>
        <v>4.5999999999999996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>
        <v>110</v>
      </c>
      <c r="B105" s="50">
        <v>285</v>
      </c>
      <c r="C105" s="50">
        <v>18</v>
      </c>
      <c r="D105" s="50">
        <v>19</v>
      </c>
      <c r="E105" s="54">
        <v>0.25</v>
      </c>
      <c r="F105" s="54">
        <v>0.25</v>
      </c>
      <c r="G105" s="54">
        <v>0.25</v>
      </c>
      <c r="H105" s="54">
        <v>0.25</v>
      </c>
      <c r="I105" s="53">
        <f t="shared" si="3"/>
        <v>4.2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>
        <v>115</v>
      </c>
      <c r="B106" s="50">
        <v>285</v>
      </c>
      <c r="C106" s="50">
        <v>19</v>
      </c>
      <c r="D106" s="50">
        <v>18</v>
      </c>
      <c r="E106" s="54">
        <v>0.25</v>
      </c>
      <c r="F106" s="54">
        <v>0.25</v>
      </c>
      <c r="G106" s="54">
        <v>0.25</v>
      </c>
      <c r="H106" s="54">
        <v>0.25</v>
      </c>
      <c r="I106" s="53">
        <f t="shared" si="3"/>
        <v>3.8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>
        <v>120</v>
      </c>
      <c r="B107" s="50">
        <v>285</v>
      </c>
      <c r="C107" s="50">
        <v>20</v>
      </c>
      <c r="D107" s="50">
        <v>285</v>
      </c>
      <c r="E107" s="54">
        <v>0.25</v>
      </c>
      <c r="F107" s="54">
        <v>0.25</v>
      </c>
      <c r="G107" s="54">
        <v>0.25</v>
      </c>
      <c r="H107" s="54">
        <v>0.25</v>
      </c>
      <c r="I107" s="53">
        <f t="shared" si="3"/>
        <v>3.6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Pin laricio</v>
      </c>
      <c r="C110" s="23" t="s">
        <v>324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22</v>
      </c>
      <c r="B114" s="60">
        <v>129.56</v>
      </c>
      <c r="C114" s="50">
        <v>1</v>
      </c>
      <c r="D114" s="60">
        <v>52.620000000000005</v>
      </c>
      <c r="E114" s="51">
        <v>0.25</v>
      </c>
      <c r="F114" s="51">
        <v>0.37</v>
      </c>
      <c r="G114" s="51">
        <v>0.38</v>
      </c>
      <c r="H114" s="51">
        <v>0</v>
      </c>
      <c r="I114" s="53">
        <f>IFERROR(B114/A114,"")</f>
        <v>5.8890909090909096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27</v>
      </c>
      <c r="B115" s="60">
        <v>155.85</v>
      </c>
      <c r="C115" s="50">
        <v>2</v>
      </c>
      <c r="D115" s="60">
        <v>37.929999999999993</v>
      </c>
      <c r="E115" s="51">
        <v>0.25</v>
      </c>
      <c r="F115" s="51">
        <v>0.37</v>
      </c>
      <c r="G115" s="51">
        <v>0.38</v>
      </c>
      <c r="H115" s="51">
        <v>0</v>
      </c>
      <c r="I115" s="53">
        <f t="shared" ref="I115:I133" si="4">IF(A115&lt;&gt;0,(B115-(B114-D114))/(A115-A114),"")</f>
        <v>15.782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33</v>
      </c>
      <c r="B116" s="60">
        <v>217.65</v>
      </c>
      <c r="C116" s="50">
        <v>3</v>
      </c>
      <c r="D116" s="60">
        <v>50.460000000000008</v>
      </c>
      <c r="E116" s="51">
        <v>0.25</v>
      </c>
      <c r="F116" s="51">
        <v>0.37</v>
      </c>
      <c r="G116" s="51">
        <v>0.38</v>
      </c>
      <c r="H116" s="51">
        <v>0</v>
      </c>
      <c r="I116" s="53">
        <f t="shared" si="4"/>
        <v>16.621666666666666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41</v>
      </c>
      <c r="B117" s="60">
        <v>300.74</v>
      </c>
      <c r="C117" s="50">
        <v>4</v>
      </c>
      <c r="D117" s="60">
        <v>72.16</v>
      </c>
      <c r="E117" s="51">
        <v>0.6</v>
      </c>
      <c r="F117" s="51">
        <v>0.2</v>
      </c>
      <c r="G117" s="51">
        <v>0.2</v>
      </c>
      <c r="H117" s="51">
        <v>0</v>
      </c>
      <c r="I117" s="53">
        <f t="shared" si="4"/>
        <v>16.693750000000001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50</v>
      </c>
      <c r="B118" s="60">
        <v>370.01</v>
      </c>
      <c r="C118" s="50">
        <v>5</v>
      </c>
      <c r="D118" s="60">
        <v>70.20999999999998</v>
      </c>
      <c r="E118" s="51">
        <v>0.6</v>
      </c>
      <c r="F118" s="51">
        <v>0.2</v>
      </c>
      <c r="G118" s="51">
        <v>0.2</v>
      </c>
      <c r="H118" s="51">
        <v>0</v>
      </c>
      <c r="I118" s="53">
        <f t="shared" si="4"/>
        <v>15.714444444444442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60</v>
      </c>
      <c r="B119" s="60">
        <v>440.94</v>
      </c>
      <c r="C119" s="50">
        <v>6</v>
      </c>
      <c r="D119" s="60">
        <v>69.839999999999975</v>
      </c>
      <c r="E119" s="51">
        <v>0.6</v>
      </c>
      <c r="F119" s="51">
        <v>0.2</v>
      </c>
      <c r="G119" s="51">
        <v>0.2</v>
      </c>
      <c r="H119" s="51">
        <v>0</v>
      </c>
      <c r="I119" s="53">
        <f t="shared" si="4"/>
        <v>14.113999999999999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70</v>
      </c>
      <c r="B120" s="60">
        <v>490.07</v>
      </c>
      <c r="C120" s="60">
        <v>7</v>
      </c>
      <c r="D120" s="60">
        <v>67.88</v>
      </c>
      <c r="E120" s="87">
        <v>0.6</v>
      </c>
      <c r="F120" s="87">
        <v>0.2</v>
      </c>
      <c r="G120" s="87">
        <v>0.2</v>
      </c>
      <c r="H120" s="87">
        <v>0</v>
      </c>
      <c r="I120" s="53">
        <f t="shared" si="4"/>
        <v>11.896999999999997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80</v>
      </c>
      <c r="B121" s="60">
        <v>520.03</v>
      </c>
      <c r="C121" s="60">
        <v>8</v>
      </c>
      <c r="D121" s="60">
        <v>520.03</v>
      </c>
      <c r="E121" s="87">
        <v>0.6</v>
      </c>
      <c r="F121" s="87">
        <v>0.2</v>
      </c>
      <c r="G121" s="87">
        <v>0.2</v>
      </c>
      <c r="H121" s="87">
        <v>0</v>
      </c>
      <c r="I121" s="53">
        <f t="shared" si="4"/>
        <v>9.7839999999999971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Erable champêtre</v>
      </c>
      <c r="C136" s="23" t="s">
        <v>326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20</v>
      </c>
      <c r="B140" s="60">
        <v>57</v>
      </c>
      <c r="C140" s="50">
        <v>2</v>
      </c>
      <c r="D140" s="60">
        <v>21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2.85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25</v>
      </c>
      <c r="B141" s="60">
        <v>86</v>
      </c>
      <c r="C141" s="50">
        <v>3</v>
      </c>
      <c r="D141" s="60">
        <v>21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10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30</v>
      </c>
      <c r="B142" s="60">
        <v>114</v>
      </c>
      <c r="C142" s="50">
        <v>4</v>
      </c>
      <c r="D142" s="60">
        <v>21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9.8000000000000007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35</v>
      </c>
      <c r="B143" s="60">
        <v>136</v>
      </c>
      <c r="C143" s="50">
        <v>5</v>
      </c>
      <c r="D143" s="60">
        <v>21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8.6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40</v>
      </c>
      <c r="B144" s="60">
        <v>153</v>
      </c>
      <c r="C144" s="50">
        <v>6</v>
      </c>
      <c r="D144" s="60">
        <v>21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7.6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45</v>
      </c>
      <c r="B145" s="60">
        <v>164</v>
      </c>
      <c r="C145" s="50">
        <v>7</v>
      </c>
      <c r="D145" s="60">
        <v>18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6.4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50</v>
      </c>
      <c r="B146" s="60">
        <v>174</v>
      </c>
      <c r="C146" s="50">
        <v>8</v>
      </c>
      <c r="D146" s="60">
        <v>13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55</v>
      </c>
      <c r="B147" s="60">
        <v>185</v>
      </c>
      <c r="C147" s="50">
        <v>9</v>
      </c>
      <c r="D147" s="60">
        <v>11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4.8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60</v>
      </c>
      <c r="B148" s="60">
        <v>194</v>
      </c>
      <c r="C148" s="50">
        <v>10</v>
      </c>
      <c r="D148" s="60">
        <v>9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65</v>
      </c>
      <c r="B149" s="60">
        <v>202</v>
      </c>
      <c r="C149" s="50">
        <v>11</v>
      </c>
      <c r="D149" s="60">
        <v>8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3.4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70</v>
      </c>
      <c r="B150" s="60">
        <v>209</v>
      </c>
      <c r="C150" s="50">
        <v>12</v>
      </c>
      <c r="D150" s="60">
        <v>8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75</v>
      </c>
      <c r="B151" s="60">
        <v>214</v>
      </c>
      <c r="C151" s="50">
        <v>13</v>
      </c>
      <c r="D151" s="60">
        <v>7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2.6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80</v>
      </c>
      <c r="B152" s="60">
        <v>219</v>
      </c>
      <c r="C152" s="50">
        <v>14</v>
      </c>
      <c r="D152" s="60">
        <v>219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2.4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B16" sqref="B16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champêtre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681.47578137804555</v>
      </c>
      <c r="T3" s="59">
        <f>IF('Données projet'!E9&gt;30,$R$33-$H$33,LOOKUP('Données projet'!$E$9,$A$3:$A$203,R3:R203)-LOOKUP('Données projet'!$E$9,$A$3:$A$203,$H$3:$H$203))</f>
        <v>300.88511065995885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374.38106339726073</v>
      </c>
      <c r="AO3" s="59">
        <f>IF('Données projet'!E10&gt;30,$AM$33-$H$33,LOOKUP('Données projet'!$E$10,$A$3:$A$203,AM3:AM203)-LOOKUP('Données projet'!$E$10,$A$3:$A$203,$H$3:$H$203))</f>
        <v>296.53283288925957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423.80243030843661</v>
      </c>
      <c r="BJ3" s="59">
        <f>IF('Données projet'!E11&gt;30,$BH$33-$H$33,LOOKUP('Données projet'!$E$11,$A$3:$A$203,BH3:BH203)-LOOKUP('Données projet'!$E$11,$A$3:$A$203,$H$3:$H$203))</f>
        <v>260.29028006191834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373.61861223558259</v>
      </c>
      <c r="CE3" s="59">
        <f>IF('Données projet'!E12&gt;30,$CC$33-$H$33,LOOKUP('Données projet'!$E$12,$A$3:$A$203,CC3:CC203)-LOOKUP('Données projet'!$E$12,$A$3:$A$203,$H$3:$H$203))</f>
        <v>277.62293009761049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287.28439432670405</v>
      </c>
      <c r="CZ3" s="59">
        <f>IF('Données projet'!E13&gt;30,$CX$33-$H$33,LOOKUP('Données projet'!$E$13,$A$3:$A$203,CX3:CX203)-LOOKUP('Données projet'!$E$13,$A$3:$A$203,$H$3:$H$203))</f>
        <v>276.01618888357268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9">
        <f t="shared" si="0"/>
        <v>176.81743605229576</v>
      </c>
      <c r="S4" s="59">
        <f ca="1">AVERAGE(OFFSET($R$3,0,0,'Données projet'!$E$9+1,1))-AVERAGE(OFFSET($H$3,0,0,'Données projet'!$E$9+1,1))</f>
        <v>681.47578137804555</v>
      </c>
      <c r="T4" s="59">
        <f>$T$3</f>
        <v>300.88511065995885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7.7715686274509812</v>
      </c>
      <c r="AI4" s="13">
        <f>IF('Données projet'!$A$62&gt;35,AI3+AH4-AQ3,IF(A4&lt;'Données projet'!$A$62,$AF$205^A4,IF(A4='Données projet'!$A$62,'Données projet'!$B$62,AI3+AH4-AQ3)))</f>
        <v>7.7715686274509812</v>
      </c>
      <c r="AJ4" s="13">
        <f>AI4*VLOOKUP('Données projet'!$B$10,Paramètres!$A$1:$I$89,3,0)*VLOOKUP('Données projet'!$B$10,Paramètres!$A$1:$I$89,5,0)</f>
        <v>3.637094117647059</v>
      </c>
      <c r="AK4" s="13">
        <f>EXP(-1.0587+0.8836*LN(AJ4)+0.284)</f>
        <v>1.4422308330239975</v>
      </c>
      <c r="AL4" s="20">
        <f t="shared" ref="AL4:AL67" si="4">(AJ4+AK4)*0.475*44/12</f>
        <v>8.8464909557520901</v>
      </c>
      <c r="AM4" s="59">
        <f t="shared" ref="AM4:AM67" si="5">AL4+(AD4+AE4)*44/12</f>
        <v>176.65892490867594</v>
      </c>
      <c r="AN4" s="59">
        <f ca="1">AVERAGE(OFFSET($AM$3,0,0,'Données projet'!$E$10+1,1))-AVERAGE(OFFSET($H$3,0,0,'Données projet'!$E$10+1,1))</f>
        <v>374.38106339726073</v>
      </c>
      <c r="AO4" s="59">
        <f>$AO$3</f>
        <v>296.53283288925957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</v>
      </c>
      <c r="BD4" s="12">
        <f>IF('Données projet'!$A$88&gt;35,BD3+BC4-BL3,IF(A4&lt;'Données projet'!$A$88,$BA$205^A4,IF(A4='Données projet'!$A$88,'Données projet'!$B$88,BD3+BC4-BL3)))</f>
        <v>1.1852335095914694</v>
      </c>
      <c r="BE4" s="13">
        <f>BD4*VLOOKUP('Données projet'!$B$11,Paramètres!$A$1:$I$89,3,0)*VLOOKUP('Données projet'!$B$11,Paramètres!$A$1:$I$89,5,0)</f>
        <v>1.1278682077272424</v>
      </c>
      <c r="BF4" s="13">
        <f>EXP(-1.0587+0.8836*LN(BE4)+0.284)</f>
        <v>0.51253974361771537</v>
      </c>
      <c r="BG4" s="20">
        <f t="shared" ref="BG4:BG67" si="7">(BE4+BF4)*0.475*44/12</f>
        <v>2.8570438485924678</v>
      </c>
      <c r="BH4" s="59">
        <f t="shared" ref="BH4:BH67" si="8">BG4+(AY4+AZ4)*44/12</f>
        <v>170.66947780151631</v>
      </c>
      <c r="BI4" s="59">
        <f ca="1">AVERAGE(OFFSET($BH$3,0,0,'Données projet'!$E$11+1,1))-AVERAGE(OFFSET($H$3,0,0,'Données projet'!$E$11+1,1))</f>
        <v>423.80243030843661</v>
      </c>
      <c r="BJ4" s="59">
        <f>$BJ$3</f>
        <v>260.29028006191834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5.8890909090909096</v>
      </c>
      <c r="BY4" s="12">
        <f>IF('Données projet'!$A$114&gt;35,BY3+BX4-CG3,IF(A4&lt;'Données projet'!$A$114,$BV$205^A4,IF(A4='Données projet'!$A$114,'Données projet'!$B$114,BY3+BX4-CG3)))</f>
        <v>1.2474449991725556</v>
      </c>
      <c r="BZ4" s="13">
        <f>BY4*VLOOKUP('Données projet'!$B$12,Paramètres!$A$1:$I$89,3,0)*VLOOKUP('Données projet'!$B$12,Paramètres!$A$1:$I$89,5,0)</f>
        <v>0.74597210950518822</v>
      </c>
      <c r="CA4" s="13">
        <f>EXP(-1.0587+0.8836*LN(BZ4)+0.284)</f>
        <v>0.35570481632934337</v>
      </c>
      <c r="CB4" s="20">
        <f t="shared" ref="CB4:CB67" si="10">(BZ4+CA4)*0.475*44/12</f>
        <v>1.9187539791618089</v>
      </c>
      <c r="CC4" s="59">
        <f t="shared" ref="CC4:CC67" si="11">CB4+(BT4+BU4)*44/12</f>
        <v>169.73118793208565</v>
      </c>
      <c r="CD4" s="59">
        <f ca="1">AVERAGE(OFFSET($CC$3,0,0,'Données projet'!$E$12+1,1))-AVERAGE(OFFSET($H$3,0,0,'Données projet'!$E$12+1,1))</f>
        <v>373.61861223558259</v>
      </c>
      <c r="CE4" s="59">
        <f>$CE$3</f>
        <v>277.62293009761049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2.85</v>
      </c>
      <c r="CT4" s="12">
        <f>IF('Données projet'!$A$140&gt;35,CT3+CS4-DB3,IF(A4&lt;'Données projet'!$A$140,$CQ$205^A4,IF(A4='Données projet'!$A$140,'Données projet'!$B$140,CT3+CS4-DB3)))</f>
        <v>1.2240347367580502</v>
      </c>
      <c r="CU4" s="17">
        <f>CT4*VLOOKUP('Données projet'!$B$13,Paramètres!$A$1:$I$89,3,0)*VLOOKUP('Données projet'!$B$13,Paramètres!$A$1:$I$89,5,0)</f>
        <v>1.0693167460318327</v>
      </c>
      <c r="CV4" s="13">
        <f>EXP(-1.0587+0.8836*LN(CU4)+0.284)</f>
        <v>0.48895675660122978</v>
      </c>
      <c r="CW4" s="20">
        <f t="shared" ref="CW4:CW67" si="13">(CU4+CV4)*0.475*44/12</f>
        <v>2.713993017085917</v>
      </c>
      <c r="CX4" s="59">
        <f t="shared" ref="CX4:CX67" si="14">CW4+(CO4+CP4)*44/12</f>
        <v>170.52642697000977</v>
      </c>
      <c r="CY4" s="59">
        <f ca="1">AVERAGE(OFFSET($CX$3,0,0,'Données projet'!$E$13+1,1))-AVERAGE(OFFSET($H$3,0,0,'Données projet'!$E$13+1,1))</f>
        <v>287.28439432670405</v>
      </c>
      <c r="CZ4" s="59">
        <f>$CZ$3</f>
        <v>276.01618888357268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9">
        <f t="shared" si="0"/>
        <v>188.2115054666001</v>
      </c>
      <c r="S5" s="59">
        <f ca="1">AVERAGE(OFFSET($R$3,0,0,'Données projet'!$E$9+1,1))-AVERAGE(OFFSET($H$3,0,0,'Données projet'!$E$9+1,1))</f>
        <v>681.47578137804555</v>
      </c>
      <c r="T5" s="59">
        <f t="shared" ref="T5:T68" si="34">$T$3</f>
        <v>300.88511065995885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7.7715686274509812</v>
      </c>
      <c r="AI5" s="13">
        <f>IF('Données projet'!$A$62&gt;35,AI4+AH5-AQ4,IF(A5&lt;'Données projet'!$A$62,$AF$205^A5,IF(A5='Données projet'!$A$62,'Données projet'!$B$62,AI4+AH5-AQ4)))</f>
        <v>15.543137254901962</v>
      </c>
      <c r="AJ5" s="13">
        <f>AI5*VLOOKUP('Données projet'!$B$10,Paramètres!$A$1:$I$89,3,0)*VLOOKUP('Données projet'!$B$10,Paramètres!$A$1:$I$89,5,0)</f>
        <v>7.2741882352941181</v>
      </c>
      <c r="AK5" s="13">
        <f t="shared" ref="AK5:AK68" si="35">EXP(-1.0587+0.8836*LN(AJ5)+0.284)</f>
        <v>2.6608774935168951</v>
      </c>
      <c r="AL5" s="20">
        <f t="shared" si="4"/>
        <v>17.303572811012511</v>
      </c>
      <c r="AM5" s="59">
        <f t="shared" si="5"/>
        <v>187.90085409851335</v>
      </c>
      <c r="AN5" s="59">
        <f ca="1">AVERAGE(OFFSET($AM$3,0,0,'Données projet'!$E$10+1,1))-AVERAGE(OFFSET($H$3,0,0,'Données projet'!$E$10+1,1))</f>
        <v>374.38106339726073</v>
      </c>
      <c r="AO5" s="59">
        <f t="shared" ref="AO5:AO68" si="36">$AO$3</f>
        <v>296.53283288925957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</v>
      </c>
      <c r="BD5" s="12">
        <f>IF('Données projet'!$A$88&gt;35,BD4+BC5-BL4,IF(A5&lt;'Données projet'!$A$88,$BA$205^A5,IF(A5='Données projet'!$A$88,'Données projet'!$B$88,BD4+BC5-BL4)))</f>
        <v>1.4047784722585119</v>
      </c>
      <c r="BE5" s="13">
        <f>BD5*VLOOKUP('Données projet'!$B$11,Paramètres!$A$1:$I$89,3,0)*VLOOKUP('Données projet'!$B$11,Paramètres!$A$1:$I$89,5,0)</f>
        <v>1.3367871942012</v>
      </c>
      <c r="BF5" s="13">
        <f t="shared" ref="BF5:BF68" si="37">EXP(-1.0587+0.8836*LN(BE5)+0.284)</f>
        <v>0.59558080504648392</v>
      </c>
      <c r="BG5" s="20">
        <f t="shared" si="7"/>
        <v>3.3655409320230496</v>
      </c>
      <c r="BH5" s="59">
        <f t="shared" si="8"/>
        <v>173.96282221952387</v>
      </c>
      <c r="BI5" s="59">
        <f ca="1">AVERAGE(OFFSET($BH$3,0,0,'Données projet'!$E$11+1,1))-AVERAGE(OFFSET($H$3,0,0,'Données projet'!$E$11+1,1))</f>
        <v>423.80243030843661</v>
      </c>
      <c r="BJ5" s="59">
        <f t="shared" ref="BJ5:BJ68" si="38">$BJ$3</f>
        <v>260.29028006191834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5.8890909090909096</v>
      </c>
      <c r="BY5" s="12">
        <f>IF('Données projet'!$A$114&gt;35,BY4+BX5-CG4,IF(A5&lt;'Données projet'!$A$114,$BV$205^A5,IF(A5='Données projet'!$A$114,'Données projet'!$B$114,BY4+BX5-CG4)))</f>
        <v>1.5561190259606172</v>
      </c>
      <c r="BZ5" s="13">
        <f>BY5*VLOOKUP('Données projet'!$B$12,Paramètres!$A$1:$I$89,3,0)*VLOOKUP('Données projet'!$B$12,Paramètres!$A$1:$I$89,5,0)</f>
        <v>0.93055917752444917</v>
      </c>
      <c r="CA5" s="13">
        <f t="shared" ref="CA5:CA68" si="39">EXP(-1.0587+0.8836*LN(BZ5)+0.284)</f>
        <v>0.43244836584356472</v>
      </c>
      <c r="CB5" s="20">
        <f t="shared" si="10"/>
        <v>2.3739048046992908</v>
      </c>
      <c r="CC5" s="59">
        <f t="shared" si="11"/>
        <v>172.97118609220013</v>
      </c>
      <c r="CD5" s="59">
        <f ca="1">AVERAGE(OFFSET($CC$3,0,0,'Données projet'!$E$12+1,1))-AVERAGE(OFFSET($H$3,0,0,'Données projet'!$E$12+1,1))</f>
        <v>373.61861223558259</v>
      </c>
      <c r="CE5" s="59">
        <f t="shared" ref="CE5:CE68" si="40">$CE$3</f>
        <v>277.62293009761049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2.85</v>
      </c>
      <c r="CT5" s="12">
        <f>IF('Données projet'!$A$140&gt;35,CT4+CS5-DB4,IF(A5&lt;'Données projet'!$A$140,$CQ$205^A5,IF(A5='Données projet'!$A$140,'Données projet'!$B$140,CT4+CS5-DB4)))</f>
        <v>1.4982610367903493</v>
      </c>
      <c r="CU5" s="17">
        <f>CT5*VLOOKUP('Données projet'!$B$13,Paramètres!$A$1:$I$89,3,0)*VLOOKUP('Données projet'!$B$13,Paramètres!$A$1:$I$89,5,0)</f>
        <v>1.3088808417400493</v>
      </c>
      <c r="CV5" s="13">
        <f t="shared" ref="CV5:CV68" si="41">EXP(-1.0587+0.8836*LN(CU5)+0.284)</f>
        <v>0.58458141328454194</v>
      </c>
      <c r="CW5" s="20">
        <f t="shared" si="13"/>
        <v>3.297780094167829</v>
      </c>
      <c r="CX5" s="59">
        <f t="shared" si="14"/>
        <v>173.89506138166865</v>
      </c>
      <c r="CY5" s="59">
        <f ca="1">AVERAGE(OFFSET($CX$3,0,0,'Données projet'!$E$13+1,1))-AVERAGE(OFFSET($H$3,0,0,'Données projet'!$E$13+1,1))</f>
        <v>287.28439432670405</v>
      </c>
      <c r="CZ5" s="59">
        <f t="shared" ref="CZ5:CZ68" si="42">$CZ$3</f>
        <v>276.01618888357268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9">
        <f t="shared" si="0"/>
        <v>199.4506497492805</v>
      </c>
      <c r="S6" s="59">
        <f ca="1">AVERAGE(OFFSET($R$3,0,0,'Données projet'!$E$9+1,1))-AVERAGE(OFFSET($H$3,0,0,'Données projet'!$E$9+1,1))</f>
        <v>681.47578137804555</v>
      </c>
      <c r="T6" s="59">
        <f t="shared" si="34"/>
        <v>300.88511065995885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7.7715686274509812</v>
      </c>
      <c r="AI6" s="13">
        <f>IF('Données projet'!$A$62&gt;35,AI5+AH6-AQ5,IF(A6&lt;'Données projet'!$A$62,$AF$205^A6,IF(A6='Données projet'!$A$62,'Données projet'!$B$62,AI5+AH6-AQ5)))</f>
        <v>23.314705882352943</v>
      </c>
      <c r="AJ6" s="13">
        <f>AI6*VLOOKUP('Données projet'!$B$10,Paramètres!$A$1:$I$89,3,0)*VLOOKUP('Données projet'!$B$10,Paramètres!$A$1:$I$89,5,0)</f>
        <v>10.911282352941177</v>
      </c>
      <c r="AK6" s="13">
        <f t="shared" si="35"/>
        <v>3.8073176895056275</v>
      </c>
      <c r="AL6" s="20">
        <f t="shared" si="4"/>
        <v>25.634895073928181</v>
      </c>
      <c r="AM6" s="59">
        <f t="shared" si="5"/>
        <v>198.98991564381308</v>
      </c>
      <c r="AN6" s="59">
        <f ca="1">AVERAGE(OFFSET($AM$3,0,0,'Données projet'!$E$10+1,1))-AVERAGE(OFFSET($H$3,0,0,'Données projet'!$E$10+1,1))</f>
        <v>374.38106339726073</v>
      </c>
      <c r="AO6" s="59">
        <f t="shared" si="36"/>
        <v>296.53283288925957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</v>
      </c>
      <c r="BD6" s="12">
        <f>IF('Données projet'!$A$88&gt;35,BD5+BC6-BL5,IF(A6&lt;'Données projet'!$A$88,$BA$205^A6,IF(A6='Données projet'!$A$88,'Données projet'!$B$88,BD5+BC6-BL5)))</f>
        <v>1.6649905188734988</v>
      </c>
      <c r="BE6" s="13">
        <f>BD6*VLOOKUP('Données projet'!$B$11,Paramètres!$A$1:$I$89,3,0)*VLOOKUP('Données projet'!$B$11,Paramètres!$A$1:$I$89,5,0)</f>
        <v>1.5844049777600215</v>
      </c>
      <c r="BF6" s="13">
        <f t="shared" si="37"/>
        <v>0.69207607752734202</v>
      </c>
      <c r="BG6" s="20">
        <f t="shared" si="7"/>
        <v>3.9648711712921583</v>
      </c>
      <c r="BH6" s="59">
        <f t="shared" si="8"/>
        <v>177.31989174117703</v>
      </c>
      <c r="BI6" s="59">
        <f ca="1">AVERAGE(OFFSET($BH$3,0,0,'Données projet'!$E$11+1,1))-AVERAGE(OFFSET($H$3,0,0,'Données projet'!$E$11+1,1))</f>
        <v>423.80243030843661</v>
      </c>
      <c r="BJ6" s="59">
        <f t="shared" si="38"/>
        <v>260.29028006191834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5.8890909090909096</v>
      </c>
      <c r="BY6" s="12">
        <f>IF('Données projet'!$A$114&gt;35,BY5+BX6-CG5,IF(A6&lt;'Données projet'!$A$114,$BV$205^A6,IF(A6='Données projet'!$A$114,'Données projet'!$B$114,BY5+BX6-CG5)))</f>
        <v>1.9411728970518403</v>
      </c>
      <c r="BZ6" s="13">
        <f>BY6*VLOOKUP('Données projet'!$B$12,Paramètres!$A$1:$I$89,3,0)*VLOOKUP('Données projet'!$B$12,Paramètres!$A$1:$I$89,5,0)</f>
        <v>1.1608213924370006</v>
      </c>
      <c r="CA6" s="13">
        <f t="shared" si="39"/>
        <v>0.52574938695127893</v>
      </c>
      <c r="CB6" s="20">
        <f t="shared" si="10"/>
        <v>2.9374441074345867</v>
      </c>
      <c r="CC6" s="59">
        <f t="shared" si="11"/>
        <v>176.29246467731946</v>
      </c>
      <c r="CD6" s="59">
        <f ca="1">AVERAGE(OFFSET($CC$3,0,0,'Données projet'!$E$12+1,1))-AVERAGE(OFFSET($H$3,0,0,'Données projet'!$E$12+1,1))</f>
        <v>373.61861223558259</v>
      </c>
      <c r="CE6" s="59">
        <f t="shared" si="40"/>
        <v>277.62293009761049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2.85</v>
      </c>
      <c r="CT6" s="12">
        <f>IF('Données projet'!$A$140&gt;35,CT5+CS6-DB5,IF(A6&lt;'Données projet'!$A$140,$CQ$205^A6,IF(A6='Données projet'!$A$140,'Données projet'!$B$140,CT5+CS6-DB5)))</f>
        <v>1.8339235537625185</v>
      </c>
      <c r="CU6" s="17">
        <f>CT6*VLOOKUP('Données projet'!$B$13,Paramètres!$A$1:$I$89,3,0)*VLOOKUP('Données projet'!$B$13,Paramètres!$A$1:$I$89,5,0)</f>
        <v>1.6021156165669364</v>
      </c>
      <c r="CV6" s="13">
        <f t="shared" si="41"/>
        <v>0.69890726356493671</v>
      </c>
      <c r="CW6" s="20">
        <f t="shared" si="13"/>
        <v>4.0076148495630122</v>
      </c>
      <c r="CX6" s="59">
        <f t="shared" si="14"/>
        <v>177.36263541944788</v>
      </c>
      <c r="CY6" s="59">
        <f ca="1">AVERAGE(OFFSET($CX$3,0,0,'Données projet'!$E$13+1,1))-AVERAGE(OFFSET($H$3,0,0,'Données projet'!$E$13+1,1))</f>
        <v>287.28439432670405</v>
      </c>
      <c r="CZ6" s="59">
        <f t="shared" si="42"/>
        <v>276.01618888357268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9">
        <f t="shared" si="0"/>
        <v>210.58436682213227</v>
      </c>
      <c r="S7" s="59">
        <f ca="1">AVERAGE(OFFSET($R$3,0,0,'Données projet'!$E$9+1,1))-AVERAGE(OFFSET($H$3,0,0,'Données projet'!$E$9+1,1))</f>
        <v>681.47578137804555</v>
      </c>
      <c r="T7" s="59">
        <f t="shared" si="34"/>
        <v>300.88511065995885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7.7715686274509812</v>
      </c>
      <c r="AI7" s="13">
        <f>IF('Données projet'!$A$62&gt;35,AI6+AH7-AQ6,IF(A7&lt;'Données projet'!$A$62,$AF$205^A7,IF(A7='Données projet'!$A$62,'Données projet'!$B$62,AI6+AH7-AQ6)))</f>
        <v>31.086274509803925</v>
      </c>
      <c r="AJ7" s="13">
        <f>AI7*VLOOKUP('Données projet'!$B$10,Paramètres!$A$1:$I$89,3,0)*VLOOKUP('Données projet'!$B$10,Paramètres!$A$1:$I$89,5,0)</f>
        <v>14.548376470588236</v>
      </c>
      <c r="AK7" s="13">
        <f t="shared" si="35"/>
        <v>4.9092481407148947</v>
      </c>
      <c r="AL7" s="20">
        <f t="shared" si="4"/>
        <v>33.888696198019623</v>
      </c>
      <c r="AM7" s="59">
        <f t="shared" si="5"/>
        <v>209.97481826219658</v>
      </c>
      <c r="AN7" s="59">
        <f ca="1">AVERAGE(OFFSET($AM$3,0,0,'Données projet'!$E$10+1,1))-AVERAGE(OFFSET($H$3,0,0,'Données projet'!$E$10+1,1))</f>
        <v>374.38106339726073</v>
      </c>
      <c r="AO7" s="59">
        <f t="shared" si="36"/>
        <v>296.53283288925957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</v>
      </c>
      <c r="BD7" s="12">
        <f>IF('Données projet'!$A$88&gt;35,BD6+BC7-BL6,IF(A7&lt;'Données projet'!$A$88,$BA$205^A7,IF(A7='Données projet'!$A$88,'Données projet'!$B$88,BD6+BC7-BL6)))</f>
        <v>1.9734025561209587</v>
      </c>
      <c r="BE7" s="13">
        <f>BD7*VLOOKUP('Données projet'!$B$11,Paramètres!$A$1:$I$89,3,0)*VLOOKUP('Données projet'!$B$11,Paramètres!$A$1:$I$89,5,0)</f>
        <v>1.8778898724047044</v>
      </c>
      <c r="BF7" s="13">
        <f t="shared" si="37"/>
        <v>0.80420539585430195</v>
      </c>
      <c r="BG7" s="20">
        <f t="shared" si="7"/>
        <v>4.6713159255511032</v>
      </c>
      <c r="BH7" s="59">
        <f t="shared" si="8"/>
        <v>180.75743798972806</v>
      </c>
      <c r="BI7" s="59">
        <f ca="1">AVERAGE(OFFSET($BH$3,0,0,'Données projet'!$E$11+1,1))-AVERAGE(OFFSET($H$3,0,0,'Données projet'!$E$11+1,1))</f>
        <v>423.80243030843661</v>
      </c>
      <c r="BJ7" s="59">
        <f t="shared" si="38"/>
        <v>260.29028006191834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5.8890909090909096</v>
      </c>
      <c r="BY7" s="12">
        <f>IF('Données projet'!$A$114&gt;35,BY6+BX7-CG6,IF(A7&lt;'Données projet'!$A$114,$BV$205^A7,IF(A7='Données projet'!$A$114,'Données projet'!$B$114,BY6+BX7-CG6)))</f>
        <v>2.4215064229566203</v>
      </c>
      <c r="BZ7" s="13">
        <f>BY7*VLOOKUP('Données projet'!$B$12,Paramètres!$A$1:$I$89,3,0)*VLOOKUP('Données projet'!$B$12,Paramètres!$A$1:$I$89,5,0)</f>
        <v>1.4480608409280591</v>
      </c>
      <c r="CA7" s="13">
        <f t="shared" si="39"/>
        <v>0.63918016510585218</v>
      </c>
      <c r="CB7" s="20">
        <f t="shared" si="10"/>
        <v>3.6352780855090621</v>
      </c>
      <c r="CC7" s="59">
        <f t="shared" si="11"/>
        <v>179.72140014968602</v>
      </c>
      <c r="CD7" s="59">
        <f ca="1">AVERAGE(OFFSET($CC$3,0,0,'Données projet'!$E$12+1,1))-AVERAGE(OFFSET($H$3,0,0,'Données projet'!$E$12+1,1))</f>
        <v>373.61861223558259</v>
      </c>
      <c r="CE7" s="59">
        <f t="shared" si="40"/>
        <v>277.62293009761049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2.85</v>
      </c>
      <c r="CT7" s="12">
        <f>IF('Données projet'!$A$140&gt;35,CT6+CS7-DB6,IF(A7&lt;'Données projet'!$A$140,$CQ$205^A7,IF(A7='Données projet'!$A$140,'Données projet'!$B$140,CT6+CS7-DB6)))</f>
        <v>2.2447861343640922</v>
      </c>
      <c r="CU7" s="17">
        <f>CT7*VLOOKUP('Données projet'!$B$13,Paramètres!$A$1:$I$89,3,0)*VLOOKUP('Données projet'!$B$13,Paramètres!$A$1:$I$89,5,0)</f>
        <v>1.9610451669804712</v>
      </c>
      <c r="CV7" s="13">
        <f t="shared" si="41"/>
        <v>0.83559167630611453</v>
      </c>
      <c r="CW7" s="20">
        <f t="shared" si="13"/>
        <v>4.8708091687241364</v>
      </c>
      <c r="CX7" s="59">
        <f t="shared" si="14"/>
        <v>180.95693123290107</v>
      </c>
      <c r="CY7" s="59">
        <f ca="1">AVERAGE(OFFSET($CX$3,0,0,'Données projet'!$E$13+1,1))-AVERAGE(OFFSET($H$3,0,0,'Données projet'!$E$13+1,1))</f>
        <v>287.28439432670405</v>
      </c>
      <c r="CZ7" s="59">
        <f t="shared" si="42"/>
        <v>276.01618888357268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9">
        <f t="shared" si="0"/>
        <v>221.6353397329257</v>
      </c>
      <c r="S8" s="59">
        <f ca="1">AVERAGE(OFFSET($R$3,0,0,'Données projet'!$E$9+1,1))-AVERAGE(OFFSET($H$3,0,0,'Données projet'!$E$9+1,1))</f>
        <v>681.47578137804555</v>
      </c>
      <c r="T8" s="59">
        <f t="shared" si="34"/>
        <v>300.88511065995885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7.7715686274509812</v>
      </c>
      <c r="AI8" s="13">
        <f>IF('Données projet'!$A$62&gt;35,AI7+AH8-AQ7,IF(A8&lt;'Données projet'!$A$62,$AF$205^A8,IF(A8='Données projet'!$A$62,'Données projet'!$B$62,AI7+AH8-AQ7)))</f>
        <v>38.857843137254903</v>
      </c>
      <c r="AJ8" s="13">
        <f>AI8*VLOOKUP('Données projet'!$B$10,Paramètres!$A$1:$I$89,3,0)*VLOOKUP('Données projet'!$B$10,Paramètres!$A$1:$I$89,5,0)</f>
        <v>18.185470588235294</v>
      </c>
      <c r="AK8" s="13">
        <f t="shared" si="35"/>
        <v>5.9792219084824367</v>
      </c>
      <c r="AL8" s="20">
        <f t="shared" si="4"/>
        <v>42.086839431783375</v>
      </c>
      <c r="AM8" s="59">
        <f t="shared" si="5"/>
        <v>220.87788730823073</v>
      </c>
      <c r="AN8" s="59">
        <f ca="1">AVERAGE(OFFSET($AM$3,0,0,'Données projet'!$E$10+1,1))-AVERAGE(OFFSET($H$3,0,0,'Données projet'!$E$10+1,1))</f>
        <v>374.38106339726073</v>
      </c>
      <c r="AO8" s="59">
        <f t="shared" si="36"/>
        <v>296.53283288925957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</v>
      </c>
      <c r="BD8" s="12">
        <f>IF('Données projet'!$A$88&gt;35,BD7+BC8-BL7,IF(A8&lt;'Données projet'!$A$88,$BA$205^A8,IF(A8='Données projet'!$A$88,'Données projet'!$B$88,BD7+BC8-BL7)))</f>
        <v>2.3389428374280206</v>
      </c>
      <c r="BE8" s="13">
        <f>BD8*VLOOKUP('Données projet'!$B$11,Paramètres!$A$1:$I$89,3,0)*VLOOKUP('Données projet'!$B$11,Paramètres!$A$1:$I$89,5,0)</f>
        <v>2.2257380040965042</v>
      </c>
      <c r="BF8" s="13">
        <f t="shared" si="37"/>
        <v>0.93450176898452786</v>
      </c>
      <c r="BG8" s="20">
        <f t="shared" si="7"/>
        <v>5.5040842714494636</v>
      </c>
      <c r="BH8" s="59">
        <f t="shared" si="8"/>
        <v>184.29513214789682</v>
      </c>
      <c r="BI8" s="59">
        <f ca="1">AVERAGE(OFFSET($BH$3,0,0,'Données projet'!$E$11+1,1))-AVERAGE(OFFSET($H$3,0,0,'Données projet'!$E$11+1,1))</f>
        <v>423.80243030843661</v>
      </c>
      <c r="BJ8" s="59">
        <f t="shared" si="38"/>
        <v>260.29028006191834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5.8890909090909096</v>
      </c>
      <c r="BY8" s="12">
        <f>IF('Données projet'!$A$114&gt;35,BY7+BX8-CG7,IF(A8&lt;'Données projet'!$A$114,$BV$205^A8,IF(A8='Données projet'!$A$114,'Données projet'!$B$114,BY7+BX8-CG7)))</f>
        <v>3.0206960777814591</v>
      </c>
      <c r="BZ8" s="13">
        <f>BY8*VLOOKUP('Données projet'!$B$12,Paramètres!$A$1:$I$89,3,0)*VLOOKUP('Données projet'!$B$12,Paramètres!$A$1:$I$89,5,0)</f>
        <v>1.8063762545133126</v>
      </c>
      <c r="CA8" s="13">
        <f t="shared" si="39"/>
        <v>0.77708370871120902</v>
      </c>
      <c r="CB8" s="20">
        <f t="shared" si="10"/>
        <v>4.4995261026160422</v>
      </c>
      <c r="CC8" s="59">
        <f t="shared" si="11"/>
        <v>183.2905739790634</v>
      </c>
      <c r="CD8" s="59">
        <f ca="1">AVERAGE(OFFSET($CC$3,0,0,'Données projet'!$E$12+1,1))-AVERAGE(OFFSET($H$3,0,0,'Données projet'!$E$12+1,1))</f>
        <v>373.61861223558259</v>
      </c>
      <c r="CE8" s="59">
        <f t="shared" si="40"/>
        <v>277.62293009761049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2.85</v>
      </c>
      <c r="CT8" s="12">
        <f>IF('Données projet'!$A$140&gt;35,CT7+CS8-DB7,IF(A8&lt;'Données projet'!$A$140,$CQ$205^A8,IF(A8='Données projet'!$A$140,'Données projet'!$B$140,CT7+CS8-DB7)))</f>
        <v>2.7476962050544729</v>
      </c>
      <c r="CU8" s="17">
        <f>CT8*VLOOKUP('Données projet'!$B$13,Paramètres!$A$1:$I$89,3,0)*VLOOKUP('Données projet'!$B$13,Paramètres!$A$1:$I$89,5,0)</f>
        <v>2.400387404735588</v>
      </c>
      <c r="CV8" s="13">
        <f t="shared" si="41"/>
        <v>0.99900728739126998</v>
      </c>
      <c r="CW8" s="20">
        <f t="shared" si="13"/>
        <v>5.9206124221209437</v>
      </c>
      <c r="CX8" s="59">
        <f t="shared" si="14"/>
        <v>184.71166029856829</v>
      </c>
      <c r="CY8" s="59">
        <f ca="1">AVERAGE(OFFSET($CX$3,0,0,'Données projet'!$E$13+1,1))-AVERAGE(OFFSET($H$3,0,0,'Données projet'!$E$13+1,1))</f>
        <v>287.28439432670405</v>
      </c>
      <c r="CZ8" s="59">
        <f t="shared" si="42"/>
        <v>276.01618888357268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9">
        <f t="shared" si="0"/>
        <v>232.61669832411957</v>
      </c>
      <c r="S9" s="59">
        <f ca="1">AVERAGE(OFFSET($R$3,0,0,'Données projet'!$E$9+1,1))-AVERAGE(OFFSET($H$3,0,0,'Données projet'!$E$9+1,1))</f>
        <v>681.47578137804555</v>
      </c>
      <c r="T9" s="59">
        <f t="shared" si="34"/>
        <v>300.88511065995885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7.7715686274509812</v>
      </c>
      <c r="AI9" s="13">
        <f>IF('Données projet'!$A$62&gt;35,AI8+AH9-AQ8,IF(A9&lt;'Données projet'!$A$62,$AF$205^A9,IF(A9='Données projet'!$A$62,'Données projet'!$B$62,AI8+AH9-AQ8)))</f>
        <v>46.629411764705885</v>
      </c>
      <c r="AJ9" s="13">
        <f>AI9*VLOOKUP('Données projet'!$B$10,Paramètres!$A$1:$I$89,3,0)*VLOOKUP('Données projet'!$B$10,Paramètres!$A$1:$I$89,5,0)</f>
        <v>21.822564705882353</v>
      </c>
      <c r="AK9" s="13">
        <f t="shared" si="35"/>
        <v>7.0243997831002556</v>
      </c>
      <c r="AL9" s="20">
        <f t="shared" si="4"/>
        <v>50.241796484978039</v>
      </c>
      <c r="AM9" s="59">
        <f t="shared" si="5"/>
        <v>231.71204858123701</v>
      </c>
      <c r="AN9" s="59">
        <f ca="1">AVERAGE(OFFSET($AM$3,0,0,'Données projet'!$E$10+1,1))-AVERAGE(OFFSET($H$3,0,0,'Données projet'!$E$10+1,1))</f>
        <v>374.38106339726073</v>
      </c>
      <c r="AO9" s="59">
        <f t="shared" si="36"/>
        <v>296.53283288925957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</v>
      </c>
      <c r="BD9" s="12">
        <f>IF('Données projet'!$A$88&gt;35,BD8+BC9-BL8,IF(A9&lt;'Données projet'!$A$88,$BA$205^A9,IF(A9='Données projet'!$A$88,'Données projet'!$B$88,BD8+BC9-BL8)))</f>
        <v>2.7721934279386429</v>
      </c>
      <c r="BE9" s="13">
        <f>BD9*VLOOKUP('Données projet'!$B$11,Paramètres!$A$1:$I$89,3,0)*VLOOKUP('Données projet'!$B$11,Paramètres!$A$1:$I$89,5,0)</f>
        <v>2.6380192660264128</v>
      </c>
      <c r="BF9" s="13">
        <f t="shared" si="37"/>
        <v>1.0859086008836318</v>
      </c>
      <c r="BG9" s="20">
        <f t="shared" si="7"/>
        <v>6.4858410348683284</v>
      </c>
      <c r="BH9" s="59">
        <f t="shared" si="8"/>
        <v>187.95609313112729</v>
      </c>
      <c r="BI9" s="59">
        <f ca="1">AVERAGE(OFFSET($BH$3,0,0,'Données projet'!$E$11+1,1))-AVERAGE(OFFSET($H$3,0,0,'Données projet'!$E$11+1,1))</f>
        <v>423.80243030843661</v>
      </c>
      <c r="BJ9" s="59">
        <f t="shared" si="38"/>
        <v>260.29028006191834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5.8890909090909096</v>
      </c>
      <c r="BY9" s="12">
        <f>IF('Données projet'!$A$114&gt;35,BY8+BX9-CG8,IF(A9&lt;'Données projet'!$A$114,$BV$205^A9,IF(A9='Données projet'!$A$114,'Données projet'!$B$114,BY8+BX9-CG8)))</f>
        <v>3.7681522162486343</v>
      </c>
      <c r="BZ9" s="13">
        <f>BY9*VLOOKUP('Données projet'!$B$12,Paramètres!$A$1:$I$89,3,0)*VLOOKUP('Données projet'!$B$12,Paramètres!$A$1:$I$89,5,0)</f>
        <v>2.2533550253166834</v>
      </c>
      <c r="CA9" s="13">
        <f t="shared" si="39"/>
        <v>0.94474003310844989</v>
      </c>
      <c r="CB9" s="20">
        <f t="shared" si="10"/>
        <v>5.5700155600904404</v>
      </c>
      <c r="CC9" s="59">
        <f t="shared" si="11"/>
        <v>187.04026765634941</v>
      </c>
      <c r="CD9" s="59">
        <f ca="1">AVERAGE(OFFSET($CC$3,0,0,'Données projet'!$E$12+1,1))-AVERAGE(OFFSET($H$3,0,0,'Données projet'!$E$12+1,1))</f>
        <v>373.61861223558259</v>
      </c>
      <c r="CE9" s="59">
        <f t="shared" si="40"/>
        <v>277.62293009761049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2.85</v>
      </c>
      <c r="CT9" s="12">
        <f>IF('Données projet'!$A$140&gt;35,CT8+CS9-DB8,IF(A9&lt;'Données projet'!$A$140,$CQ$205^A9,IF(A9='Données projet'!$A$140,'Données projet'!$B$140,CT8+CS9-DB8)))</f>
        <v>3.3632756010449452</v>
      </c>
      <c r="CU9" s="17">
        <f>CT9*VLOOKUP('Données projet'!$B$13,Paramètres!$A$1:$I$89,3,0)*VLOOKUP('Données projet'!$B$13,Paramètres!$A$1:$I$89,5,0)</f>
        <v>2.9381575650728644</v>
      </c>
      <c r="CV9" s="13">
        <f t="shared" si="41"/>
        <v>1.1943818835926812</v>
      </c>
      <c r="CW9" s="20">
        <f t="shared" si="13"/>
        <v>7.1975062064258246</v>
      </c>
      <c r="CX9" s="59">
        <f t="shared" si="14"/>
        <v>188.6677583026848</v>
      </c>
      <c r="CY9" s="59">
        <f ca="1">AVERAGE(OFFSET($CX$3,0,0,'Données projet'!$E$13+1,1))-AVERAGE(OFFSET($H$3,0,0,'Données projet'!$E$13+1,1))</f>
        <v>287.28439432670405</v>
      </c>
      <c r="CZ9" s="59">
        <f t="shared" si="42"/>
        <v>276.01618888357268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9">
        <f t="shared" si="0"/>
        <v>243.53706037561517</v>
      </c>
      <c r="S10" s="59">
        <f ca="1">AVERAGE(OFFSET($R$3,0,0,'Données projet'!$E$9+1,1))-AVERAGE(OFFSET($H$3,0,0,'Données projet'!$E$9+1,1))</f>
        <v>681.47578137804555</v>
      </c>
      <c r="T10" s="59">
        <f t="shared" si="34"/>
        <v>300.88511065995885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7.7715686274509812</v>
      </c>
      <c r="AI10" s="13">
        <f>IF('Données projet'!$A$62&gt;35,AI9+AH10-AQ9,IF(A10&lt;'Données projet'!$A$62,$AF$205^A10,IF(A10='Données projet'!$A$62,'Données projet'!$B$62,AI9+AH10-AQ9)))</f>
        <v>54.400980392156868</v>
      </c>
      <c r="AJ10" s="13">
        <f>AI10*VLOOKUP('Données projet'!$B$10,Paramètres!$A$1:$I$89,3,0)*VLOOKUP('Données projet'!$B$10,Paramètres!$A$1:$I$89,5,0)</f>
        <v>25.459658823529416</v>
      </c>
      <c r="AK10" s="13">
        <f t="shared" si="35"/>
        <v>8.0493980491936057</v>
      </c>
      <c r="AL10" s="20">
        <f t="shared" si="4"/>
        <v>58.361607386659266</v>
      </c>
      <c r="AM10" s="59">
        <f t="shared" si="5"/>
        <v>242.48578832239551</v>
      </c>
      <c r="AN10" s="59">
        <f ca="1">AVERAGE(OFFSET($AM$3,0,0,'Données projet'!$E$10+1,1))-AVERAGE(OFFSET($H$3,0,0,'Données projet'!$E$10+1,1))</f>
        <v>374.38106339726073</v>
      </c>
      <c r="AO10" s="59">
        <f t="shared" si="36"/>
        <v>296.53283288925957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</v>
      </c>
      <c r="BD10" s="12">
        <f>IF('Données projet'!$A$88&gt;35,BD9+BC10-BL9,IF(A10&lt;'Données projet'!$A$88,$BA$205^A10,IF(A10='Données projet'!$A$88,'Données projet'!$B$88,BD9+BC10-BL9)))</f>
        <v>3.2856965458621241</v>
      </c>
      <c r="BE10" s="13">
        <f>BD10*VLOOKUP('Données projet'!$B$11,Paramètres!$A$1:$I$89,3,0)*VLOOKUP('Données projet'!$B$11,Paramètres!$A$1:$I$89,5,0)</f>
        <v>3.1266688330423973</v>
      </c>
      <c r="BF10" s="13">
        <f t="shared" si="37"/>
        <v>1.2618461822222296</v>
      </c>
      <c r="BG10" s="20">
        <f t="shared" si="7"/>
        <v>7.6433303182525583</v>
      </c>
      <c r="BH10" s="59">
        <f t="shared" si="8"/>
        <v>191.7675112539888</v>
      </c>
      <c r="BI10" s="59">
        <f ca="1">AVERAGE(OFFSET($BH$3,0,0,'Données projet'!$E$11+1,1))-AVERAGE(OFFSET($H$3,0,0,'Données projet'!$E$11+1,1))</f>
        <v>423.80243030843661</v>
      </c>
      <c r="BJ10" s="59">
        <f t="shared" si="38"/>
        <v>260.29028006191834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5.8890909090909096</v>
      </c>
      <c r="BY10" s="12">
        <f>IF('Données projet'!$A$114&gt;35,BY9+BX10-CG9,IF(A10&lt;'Données projet'!$A$114,$BV$205^A10,IF(A10='Données projet'!$A$114,'Données projet'!$B$114,BY9+BX10-CG9)))</f>
        <v>4.7005626382803412</v>
      </c>
      <c r="BZ10" s="13">
        <f>BY10*VLOOKUP('Données projet'!$B$12,Paramètres!$A$1:$I$89,3,0)*VLOOKUP('Données projet'!$B$12,Paramètres!$A$1:$I$89,5,0)</f>
        <v>2.8109364576916445</v>
      </c>
      <c r="CA10" s="13">
        <f t="shared" si="39"/>
        <v>1.1485683204426194</v>
      </c>
      <c r="CB10" s="20">
        <f t="shared" si="10"/>
        <v>6.8961374885838422</v>
      </c>
      <c r="CC10" s="59">
        <f t="shared" si="11"/>
        <v>191.02031842432007</v>
      </c>
      <c r="CD10" s="59">
        <f ca="1">AVERAGE(OFFSET($CC$3,0,0,'Données projet'!$E$12+1,1))-AVERAGE(OFFSET($H$3,0,0,'Données projet'!$E$12+1,1))</f>
        <v>373.61861223558259</v>
      </c>
      <c r="CE10" s="59">
        <f t="shared" si="40"/>
        <v>277.62293009761049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2.85</v>
      </c>
      <c r="CT10" s="12">
        <f>IF('Données projet'!$A$140&gt;35,CT9+CS10-DB9,IF(A10&lt;'Données projet'!$A$140,$CQ$205^A10,IF(A10='Données projet'!$A$140,'Données projet'!$B$140,CT9+CS10-DB9)))</f>
        <v>4.116766164969822</v>
      </c>
      <c r="CU10" s="17">
        <f>CT10*VLOOKUP('Données projet'!$B$13,Paramètres!$A$1:$I$89,3,0)*VLOOKUP('Données projet'!$B$13,Paramètres!$A$1:$I$89,5,0)</f>
        <v>3.5964069217176369</v>
      </c>
      <c r="CV10" s="13">
        <f t="shared" si="41"/>
        <v>1.4279656433533914</v>
      </c>
      <c r="CW10" s="20">
        <f t="shared" si="13"/>
        <v>8.7507822174987044</v>
      </c>
      <c r="CX10" s="59">
        <f t="shared" si="14"/>
        <v>192.87496315323494</v>
      </c>
      <c r="CY10" s="59">
        <f ca="1">AVERAGE(OFFSET($CX$3,0,0,'Données projet'!$E$13+1,1))-AVERAGE(OFFSET($H$3,0,0,'Données projet'!$E$13+1,1))</f>
        <v>287.28439432670405</v>
      </c>
      <c r="CZ10" s="59">
        <f t="shared" si="42"/>
        <v>276.01618888357268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9">
        <f t="shared" si="0"/>
        <v>254.40255617832378</v>
      </c>
      <c r="S11" s="59">
        <f ca="1">AVERAGE(OFFSET($R$3,0,0,'Données projet'!$E$9+1,1))-AVERAGE(OFFSET($H$3,0,0,'Données projet'!$E$9+1,1))</f>
        <v>681.47578137804555</v>
      </c>
      <c r="T11" s="59">
        <f t="shared" si="34"/>
        <v>300.88511065995885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7.7715686274509812</v>
      </c>
      <c r="AI11" s="13">
        <f>IF('Données projet'!$A$62&gt;35,AI10+AH11-AQ10,IF(A11&lt;'Données projet'!$A$62,$AF$205^A11,IF(A11='Données projet'!$A$62,'Données projet'!$B$62,AI10+AH11-AQ10)))</f>
        <v>62.17254901960785</v>
      </c>
      <c r="AJ11" s="13">
        <f>AI11*VLOOKUP('Données projet'!$B$10,Paramètres!$A$1:$I$89,3,0)*VLOOKUP('Données projet'!$B$10,Paramètres!$A$1:$I$89,5,0)</f>
        <v>29.096752941176472</v>
      </c>
      <c r="AK11" s="13">
        <f t="shared" si="35"/>
        <v>9.0574321312547941</v>
      </c>
      <c r="AL11" s="20">
        <f t="shared" si="4"/>
        <v>66.451872334484463</v>
      </c>
      <c r="AM11" s="59">
        <f t="shared" si="5"/>
        <v>253.20514520070503</v>
      </c>
      <c r="AN11" s="59">
        <f ca="1">AVERAGE(OFFSET($AM$3,0,0,'Données projet'!$E$10+1,1))-AVERAGE(OFFSET($H$3,0,0,'Données projet'!$E$10+1,1))</f>
        <v>374.38106339726073</v>
      </c>
      <c r="AO11" s="59">
        <f t="shared" si="36"/>
        <v>296.53283288925957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</v>
      </c>
      <c r="BD11" s="12">
        <f>IF('Données projet'!$A$88&gt;35,BD10+BC11-BL10,IF(A11&lt;'Données projet'!$A$88,$BA$205^A11,IF(A11='Données projet'!$A$88,'Données projet'!$B$88,BD10+BC11-BL10)))</f>
        <v>3.8943176485047335</v>
      </c>
      <c r="BE11" s="13">
        <f>BD11*VLOOKUP('Données projet'!$B$11,Paramètres!$A$1:$I$89,3,0)*VLOOKUP('Données projet'!$B$11,Paramètres!$A$1:$I$89,5,0)</f>
        <v>3.7058326743171039</v>
      </c>
      <c r="BF11" s="13">
        <f t="shared" si="37"/>
        <v>1.4662889549757283</v>
      </c>
      <c r="BG11" s="20">
        <f t="shared" si="7"/>
        <v>9.008111837685016</v>
      </c>
      <c r="BH11" s="59">
        <f t="shared" si="8"/>
        <v>195.76138470390558</v>
      </c>
      <c r="BI11" s="59">
        <f ca="1">AVERAGE(OFFSET($BH$3,0,0,'Données projet'!$E$11+1,1))-AVERAGE(OFFSET($H$3,0,0,'Données projet'!$E$11+1,1))</f>
        <v>423.80243030843661</v>
      </c>
      <c r="BJ11" s="59">
        <f t="shared" si="38"/>
        <v>260.29028006191834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5.8890909090909096</v>
      </c>
      <c r="BY11" s="12">
        <f>IF('Données projet'!$A$114&gt;35,BY10+BX11-CG10,IF(A11&lt;'Données projet'!$A$114,$BV$205^A11,IF(A11='Données projet'!$A$114,'Données projet'!$B$114,BY10+BX11-CG10)))</f>
        <v>5.8636933564201668</v>
      </c>
      <c r="BZ11" s="13">
        <f>BY11*VLOOKUP('Données projet'!$B$12,Paramètres!$A$1:$I$89,3,0)*VLOOKUP('Données projet'!$B$12,Paramètres!$A$1:$I$89,5,0)</f>
        <v>3.5064886271392601</v>
      </c>
      <c r="CA11" s="13">
        <f t="shared" si="39"/>
        <v>1.3963726956545126</v>
      </c>
      <c r="CB11" s="20">
        <f t="shared" si="10"/>
        <v>8.5391501371991527</v>
      </c>
      <c r="CC11" s="59">
        <f t="shared" si="11"/>
        <v>195.29242300341971</v>
      </c>
      <c r="CD11" s="59">
        <f ca="1">AVERAGE(OFFSET($CC$3,0,0,'Données projet'!$E$12+1,1))-AVERAGE(OFFSET($H$3,0,0,'Données projet'!$E$12+1,1))</f>
        <v>373.61861223558259</v>
      </c>
      <c r="CE11" s="59">
        <f t="shared" si="40"/>
        <v>277.62293009761049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2.85</v>
      </c>
      <c r="CT11" s="12">
        <f>IF('Données projet'!$A$140&gt;35,CT10+CS11-DB10,IF(A11&lt;'Données projet'!$A$140,$CQ$205^A11,IF(A11='Données projet'!$A$140,'Données projet'!$B$140,CT10+CS11-DB10)))</f>
        <v>5.0390647890332847</v>
      </c>
      <c r="CU11" s="17">
        <f>CT11*VLOOKUP('Données projet'!$B$13,Paramètres!$A$1:$I$89,3,0)*VLOOKUP('Données projet'!$B$13,Paramètres!$A$1:$I$89,5,0)</f>
        <v>4.4021269996994778</v>
      </c>
      <c r="CV11" s="13">
        <f t="shared" si="41"/>
        <v>1.7072310846377947</v>
      </c>
      <c r="CW11" s="20">
        <f t="shared" si="13"/>
        <v>10.640465330220749</v>
      </c>
      <c r="CX11" s="59">
        <f t="shared" si="14"/>
        <v>197.39373819644129</v>
      </c>
      <c r="CY11" s="59">
        <f ca="1">AVERAGE(OFFSET($CX$3,0,0,'Données projet'!$E$13+1,1))-AVERAGE(OFFSET($H$3,0,0,'Données projet'!$E$13+1,1))</f>
        <v>287.28439432670405</v>
      </c>
      <c r="CZ11" s="59">
        <f t="shared" si="42"/>
        <v>276.01618888357268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9">
        <f t="shared" si="0"/>
        <v>265.21780015687921</v>
      </c>
      <c r="S12" s="59">
        <f ca="1">AVERAGE(OFFSET($R$3,0,0,'Données projet'!$E$9+1,1))-AVERAGE(OFFSET($H$3,0,0,'Données projet'!$E$9+1,1))</f>
        <v>681.47578137804555</v>
      </c>
      <c r="T12" s="59">
        <f t="shared" si="34"/>
        <v>300.88511065995885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7.7715686274509812</v>
      </c>
      <c r="AI12" s="13">
        <f>IF('Données projet'!$A$62&gt;35,AI11+AH12-AQ11,IF(A12&lt;'Données projet'!$A$62,$AF$205^A12,IF(A12='Données projet'!$A$62,'Données projet'!$B$62,AI11+AH12-AQ11)))</f>
        <v>69.944117647058832</v>
      </c>
      <c r="AJ12" s="13">
        <f>AI12*VLOOKUP('Données projet'!$B$10,Paramètres!$A$1:$I$89,3,0)*VLOOKUP('Données projet'!$B$10,Paramètres!$A$1:$I$89,5,0)</f>
        <v>32.733847058823535</v>
      </c>
      <c r="AK12" s="13">
        <f t="shared" si="35"/>
        <v>10.050865407189132</v>
      </c>
      <c r="AL12" s="20">
        <f t="shared" si="4"/>
        <v>74.51670754497205</v>
      </c>
      <c r="AM12" s="59">
        <f t="shared" si="5"/>
        <v>263.87466629752811</v>
      </c>
      <c r="AN12" s="59">
        <f ca="1">AVERAGE(OFFSET($AM$3,0,0,'Données projet'!$E$10+1,1))-AVERAGE(OFFSET($H$3,0,0,'Données projet'!$E$10+1,1))</f>
        <v>374.38106339726073</v>
      </c>
      <c r="AO12" s="59">
        <f t="shared" si="36"/>
        <v>296.53283288925957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</v>
      </c>
      <c r="BD12" s="12">
        <f>IF('Données projet'!$A$88&gt;35,BD11+BC12-BL11,IF(A12&lt;'Données projet'!$A$88,$BA$205^A12,IF(A12='Données projet'!$A$88,'Données projet'!$B$88,BD11+BC12-BL11)))</f>
        <v>4.6156757740012635</v>
      </c>
      <c r="BE12" s="13">
        <f>BD12*VLOOKUP('Données projet'!$B$11,Paramètres!$A$1:$I$89,3,0)*VLOOKUP('Données projet'!$B$11,Paramètres!$A$1:$I$89,5,0)</f>
        <v>4.3922770665396023</v>
      </c>
      <c r="BF12" s="13">
        <f t="shared" si="37"/>
        <v>1.7038552953399257</v>
      </c>
      <c r="BG12" s="20">
        <f t="shared" si="7"/>
        <v>10.617430530273511</v>
      </c>
      <c r="BH12" s="59">
        <f t="shared" si="8"/>
        <v>199.97538928282958</v>
      </c>
      <c r="BI12" s="59">
        <f ca="1">AVERAGE(OFFSET($BH$3,0,0,'Données projet'!$E$11+1,1))-AVERAGE(OFFSET($H$3,0,0,'Données projet'!$E$11+1,1))</f>
        <v>423.80243030843661</v>
      </c>
      <c r="BJ12" s="59">
        <f t="shared" si="38"/>
        <v>260.29028006191834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5.8890909090909096</v>
      </c>
      <c r="BY12" s="12">
        <f>IF('Données projet'!$A$114&gt;35,BY11+BX12-CG11,IF(A12&lt;'Données projet'!$A$114,$BV$205^A12,IF(A12='Données projet'!$A$114,'Données projet'!$B$114,BY11+BX12-CG11)))</f>
        <v>7.3146349541476745</v>
      </c>
      <c r="BZ12" s="13">
        <f>BY12*VLOOKUP('Données projet'!$B$12,Paramètres!$A$1:$I$89,3,0)*VLOOKUP('Données projet'!$B$12,Paramètres!$A$1:$I$89,5,0)</f>
        <v>4.3741517025803098</v>
      </c>
      <c r="CA12" s="13">
        <f t="shared" si="39"/>
        <v>1.6976410288053578</v>
      </c>
      <c r="CB12" s="20">
        <f t="shared" si="10"/>
        <v>10.575039007163371</v>
      </c>
      <c r="CC12" s="59">
        <f t="shared" si="11"/>
        <v>199.93299775971946</v>
      </c>
      <c r="CD12" s="59">
        <f ca="1">AVERAGE(OFFSET($CC$3,0,0,'Données projet'!$E$12+1,1))-AVERAGE(OFFSET($H$3,0,0,'Données projet'!$E$12+1,1))</f>
        <v>373.61861223558259</v>
      </c>
      <c r="CE12" s="59">
        <f t="shared" si="40"/>
        <v>277.62293009761049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2.85</v>
      </c>
      <c r="CT12" s="12">
        <f>IF('Données projet'!$A$140&gt;35,CT11+CS12-DB11,IF(A12&lt;'Données projet'!$A$140,$CQ$205^A12,IF(A12='Données projet'!$A$140,'Données projet'!$B$140,CT11+CS12-DB11)))</f>
        <v>6.167990342551116</v>
      </c>
      <c r="CU12" s="17">
        <f>CT12*VLOOKUP('Données projet'!$B$13,Paramètres!$A$1:$I$89,3,0)*VLOOKUP('Données projet'!$B$13,Paramètres!$A$1:$I$89,5,0)</f>
        <v>5.3883563632526554</v>
      </c>
      <c r="CV12" s="13">
        <f t="shared" si="41"/>
        <v>2.0411121163313792</v>
      </c>
      <c r="CW12" s="20">
        <f t="shared" si="13"/>
        <v>12.939657601942194</v>
      </c>
      <c r="CX12" s="59">
        <f t="shared" si="14"/>
        <v>202.29761635449827</v>
      </c>
      <c r="CY12" s="59">
        <f ca="1">AVERAGE(OFFSET($CX$3,0,0,'Données projet'!$E$13+1,1))-AVERAGE(OFFSET($H$3,0,0,'Données projet'!$E$13+1,1))</f>
        <v>287.28439432670405</v>
      </c>
      <c r="CZ12" s="59">
        <f t="shared" si="42"/>
        <v>276.01618888357268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9">
        <f t="shared" si="0"/>
        <v>275.98641504162418</v>
      </c>
      <c r="S13" s="59">
        <f ca="1">AVERAGE(OFFSET($R$3,0,0,'Données projet'!$E$9+1,1))-AVERAGE(OFFSET($H$3,0,0,'Données projet'!$E$9+1,1))</f>
        <v>681.47578137804555</v>
      </c>
      <c r="T13" s="59">
        <f t="shared" si="34"/>
        <v>300.88511065995885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7.7715686274509812</v>
      </c>
      <c r="AI13" s="13">
        <f>IF('Données projet'!$A$62&gt;35,AI12+AH13-AQ12,IF(A13&lt;'Données projet'!$A$62,$AF$205^A13,IF(A13='Données projet'!$A$62,'Données projet'!$B$62,AI12+AH13-AQ12)))</f>
        <v>77.715686274509807</v>
      </c>
      <c r="AJ13" s="13">
        <f>AI13*VLOOKUP('Données projet'!$B$10,Paramètres!$A$1:$I$89,3,0)*VLOOKUP('Données projet'!$B$10,Paramètres!$A$1:$I$89,5,0)</f>
        <v>36.370941176470588</v>
      </c>
      <c r="AK13" s="13">
        <f t="shared" si="35"/>
        <v>11.031505249173463</v>
      </c>
      <c r="AL13" s="20">
        <f t="shared" si="4"/>
        <v>82.559260857996719</v>
      </c>
      <c r="AM13" s="59">
        <f t="shared" si="5"/>
        <v>274.49792284304158</v>
      </c>
      <c r="AN13" s="59">
        <f ca="1">AVERAGE(OFFSET($AM$3,0,0,'Données projet'!$E$10+1,1))-AVERAGE(OFFSET($H$3,0,0,'Données projet'!$E$10+1,1))</f>
        <v>374.38106339726073</v>
      </c>
      <c r="AO13" s="59">
        <f t="shared" si="36"/>
        <v>296.53283288925957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</v>
      </c>
      <c r="BD13" s="12">
        <f>IF('Données projet'!$A$88&gt;35,BD12+BC13-BL12,IF(A13&lt;'Données projet'!$A$88,$BA$205^A13,IF(A13='Données projet'!$A$88,'Données projet'!$B$88,BD12+BC13-BL12)))</f>
        <v>5.4706535967558398</v>
      </c>
      <c r="BE13" s="13">
        <f>BD13*VLOOKUP('Données projet'!$B$11,Paramètres!$A$1:$I$89,3,0)*VLOOKUP('Données projet'!$B$11,Paramètres!$A$1:$I$89,5,0)</f>
        <v>5.2058739626728574</v>
      </c>
      <c r="BF13" s="13">
        <f t="shared" si="37"/>
        <v>1.9799118431646106</v>
      </c>
      <c r="BG13" s="20">
        <f t="shared" si="7"/>
        <v>12.51524361183359</v>
      </c>
      <c r="BH13" s="59">
        <f t="shared" si="8"/>
        <v>204.45390559687849</v>
      </c>
      <c r="BI13" s="59">
        <f ca="1">AVERAGE(OFFSET($BH$3,0,0,'Données projet'!$E$11+1,1))-AVERAGE(OFFSET($H$3,0,0,'Données projet'!$E$11+1,1))</f>
        <v>423.80243030843661</v>
      </c>
      <c r="BJ13" s="59">
        <f t="shared" si="38"/>
        <v>260.29028006191834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5.8890909090909096</v>
      </c>
      <c r="BY13" s="12">
        <f>IF('Données projet'!$A$114&gt;35,BY12+BX13-CG12,IF(A13&lt;'Données projet'!$A$114,$BV$205^A13,IF(A13='Données projet'!$A$114,'Données projet'!$B$114,BY12+BX13-CG12)))</f>
        <v>9.1246047943242932</v>
      </c>
      <c r="BZ13" s="13">
        <f>BY13*VLOOKUP('Données projet'!$B$12,Paramètres!$A$1:$I$89,3,0)*VLOOKUP('Données projet'!$B$12,Paramètres!$A$1:$I$89,5,0)</f>
        <v>5.456513667005928</v>
      </c>
      <c r="CA13" s="13">
        <f t="shared" si="39"/>
        <v>2.0639082042007839</v>
      </c>
      <c r="CB13" s="20">
        <f t="shared" si="10"/>
        <v>13.098068092351689</v>
      </c>
      <c r="CC13" s="59">
        <f t="shared" si="11"/>
        <v>205.03673007739658</v>
      </c>
      <c r="CD13" s="59">
        <f ca="1">AVERAGE(OFFSET($CC$3,0,0,'Données projet'!$E$12+1,1))-AVERAGE(OFFSET($H$3,0,0,'Données projet'!$E$12+1,1))</f>
        <v>373.61861223558259</v>
      </c>
      <c r="CE13" s="59">
        <f t="shared" si="40"/>
        <v>277.62293009761049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2.85</v>
      </c>
      <c r="CT13" s="12">
        <f>IF('Données projet'!$A$140&gt;35,CT12+CS13-DB12,IF(A13&lt;'Données projet'!$A$140,$CQ$205^A13,IF(A13='Données projet'!$A$140,'Données projet'!$B$140,CT12+CS13-DB12)))</f>
        <v>7.5498344352707516</v>
      </c>
      <c r="CU13" s="17">
        <f>CT13*VLOOKUP('Données projet'!$B$13,Paramètres!$A$1:$I$89,3,0)*VLOOKUP('Données projet'!$B$13,Paramètres!$A$1:$I$89,5,0)</f>
        <v>6.5955353626525293</v>
      </c>
      <c r="CV13" s="13">
        <f t="shared" si="41"/>
        <v>2.4402898406214573</v>
      </c>
      <c r="CW13" s="20">
        <f t="shared" si="13"/>
        <v>15.737395562368858</v>
      </c>
      <c r="CX13" s="59">
        <f t="shared" si="14"/>
        <v>207.67605754741373</v>
      </c>
      <c r="CY13" s="59">
        <f ca="1">AVERAGE(OFFSET($CX$3,0,0,'Données projet'!$E$13+1,1))-AVERAGE(OFFSET($H$3,0,0,'Données projet'!$E$13+1,1))</f>
        <v>287.28439432670405</v>
      </c>
      <c r="CZ13" s="59">
        <f t="shared" si="42"/>
        <v>276.01618888357268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9">
        <f t="shared" si="0"/>
        <v>286.71133932256703</v>
      </c>
      <c r="S14" s="59">
        <f ca="1">AVERAGE(OFFSET($R$3,0,0,'Données projet'!$E$9+1,1))-AVERAGE(OFFSET($H$3,0,0,'Données projet'!$E$9+1,1))</f>
        <v>681.47578137804555</v>
      </c>
      <c r="T14" s="59">
        <f t="shared" si="34"/>
        <v>300.88511065995885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7.7715686274509812</v>
      </c>
      <c r="AI14" s="13">
        <f>IF('Données projet'!$A$62&gt;35,AI13+AH14-AQ13,IF(A14&lt;'Données projet'!$A$62,$AF$205^A14,IF(A14='Données projet'!$A$62,'Données projet'!$B$62,AI13+AH14-AQ13)))</f>
        <v>85.487254901960782</v>
      </c>
      <c r="AJ14" s="13">
        <f>AI14*VLOOKUP('Données projet'!$B$10,Paramètres!$A$1:$I$89,3,0)*VLOOKUP('Données projet'!$B$10,Paramètres!$A$1:$I$89,5,0)</f>
        <v>40.008035294117647</v>
      </c>
      <c r="AK14" s="13">
        <f t="shared" si="35"/>
        <v>12.000776637389773</v>
      </c>
      <c r="AL14" s="20">
        <f t="shared" si="4"/>
        <v>90.582014114042082</v>
      </c>
      <c r="AM14" s="59">
        <f t="shared" si="5"/>
        <v>285.07781272315623</v>
      </c>
      <c r="AN14" s="59">
        <f ca="1">AVERAGE(OFFSET($AM$3,0,0,'Données projet'!$E$10+1,1))-AVERAGE(OFFSET($H$3,0,0,'Données projet'!$E$10+1,1))</f>
        <v>374.38106339726073</v>
      </c>
      <c r="AO14" s="59">
        <f t="shared" si="36"/>
        <v>296.53283288925957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</v>
      </c>
      <c r="BD14" s="12">
        <f>IF('Données projet'!$A$88&gt;35,BD13+BC14-BL13,IF(A14&lt;'Données projet'!$A$88,$BA$205^A14,IF(A14='Données projet'!$A$88,'Données projet'!$B$88,BD13+BC14-BL13)))</f>
        <v>6.4840019622421199</v>
      </c>
      <c r="BE14" s="13">
        <f>BD14*VLOOKUP('Données projet'!$B$11,Paramètres!$A$1:$I$89,3,0)*VLOOKUP('Données projet'!$B$11,Paramètres!$A$1:$I$89,5,0)</f>
        <v>6.1701762672696008</v>
      </c>
      <c r="BF14" s="13">
        <f t="shared" si="37"/>
        <v>2.3006947347142055</v>
      </c>
      <c r="BG14" s="20">
        <f t="shared" si="7"/>
        <v>14.753433661788458</v>
      </c>
      <c r="BH14" s="59">
        <f t="shared" si="8"/>
        <v>209.24923227090258</v>
      </c>
      <c r="BI14" s="59">
        <f ca="1">AVERAGE(OFFSET($BH$3,0,0,'Données projet'!$E$11+1,1))-AVERAGE(OFFSET($H$3,0,0,'Données projet'!$E$11+1,1))</f>
        <v>423.80243030843661</v>
      </c>
      <c r="BJ14" s="59">
        <f t="shared" si="38"/>
        <v>260.29028006191834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5.8890909090909096</v>
      </c>
      <c r="BY14" s="12">
        <f>IF('Données projet'!$A$114&gt;35,BY13+BX14-CG13,IF(A14&lt;'Données projet'!$A$114,$BV$205^A14,IF(A14='Données projet'!$A$114,'Données projet'!$B$114,BY13+BX14-CG13)))</f>
        <v>11.382442620105763</v>
      </c>
      <c r="BZ14" s="13">
        <f>BY14*VLOOKUP('Données projet'!$B$12,Paramètres!$A$1:$I$89,3,0)*VLOOKUP('Données projet'!$B$12,Paramètres!$A$1:$I$89,5,0)</f>
        <v>6.8067006868232474</v>
      </c>
      <c r="CA14" s="13">
        <f t="shared" si="39"/>
        <v>2.5091977650686839</v>
      </c>
      <c r="CB14" s="20">
        <f t="shared" si="10"/>
        <v>16.225189803711778</v>
      </c>
      <c r="CC14" s="59">
        <f t="shared" si="11"/>
        <v>210.7209884128259</v>
      </c>
      <c r="CD14" s="59">
        <f ca="1">AVERAGE(OFFSET($CC$3,0,0,'Données projet'!$E$12+1,1))-AVERAGE(OFFSET($H$3,0,0,'Données projet'!$E$12+1,1))</f>
        <v>373.61861223558259</v>
      </c>
      <c r="CE14" s="59">
        <f t="shared" si="40"/>
        <v>277.62293009761049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2.85</v>
      </c>
      <c r="CT14" s="12">
        <f>IF('Données projet'!$A$140&gt;35,CT13+CS14-DB13,IF(A14&lt;'Données projet'!$A$140,$CQ$205^A14,IF(A14='Données projet'!$A$140,'Données projet'!$B$140,CT13+CS14-DB13)))</f>
        <v>9.2412596055434975</v>
      </c>
      <c r="CU14" s="17">
        <f>CT14*VLOOKUP('Données projet'!$B$13,Paramètres!$A$1:$I$89,3,0)*VLOOKUP('Données projet'!$B$13,Paramètres!$A$1:$I$89,5,0)</f>
        <v>8.0731643914028002</v>
      </c>
      <c r="CV14" s="13">
        <f t="shared" si="41"/>
        <v>2.9175342493893108</v>
      </c>
      <c r="CW14" s="20">
        <f t="shared" si="13"/>
        <v>19.142133466046261</v>
      </c>
      <c r="CX14" s="59">
        <f t="shared" si="14"/>
        <v>213.63793207516039</v>
      </c>
      <c r="CY14" s="59">
        <f ca="1">AVERAGE(OFFSET($CX$3,0,0,'Données projet'!$E$13+1,1))-AVERAGE(OFFSET($H$3,0,0,'Données projet'!$E$13+1,1))</f>
        <v>287.28439432670405</v>
      </c>
      <c r="CZ14" s="59">
        <f t="shared" si="42"/>
        <v>276.01618888357268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9">
        <f t="shared" si="0"/>
        <v>297.39501934067528</v>
      </c>
      <c r="S15" s="59">
        <f ca="1">AVERAGE(OFFSET($R$3,0,0,'Données projet'!$E$9+1,1))-AVERAGE(OFFSET($H$3,0,0,'Données projet'!$E$9+1,1))</f>
        <v>681.47578137804555</v>
      </c>
      <c r="T15" s="59">
        <f t="shared" si="34"/>
        <v>300.88511065995885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7.7715686274509812</v>
      </c>
      <c r="AI15" s="13">
        <f>IF('Données projet'!$A$62&gt;35,AI14+AH15-AQ14,IF(A15&lt;'Données projet'!$A$62,$AF$205^A15,IF(A15='Données projet'!$A$62,'Données projet'!$B$62,AI14+AH15-AQ14)))</f>
        <v>93.258823529411757</v>
      </c>
      <c r="AJ15" s="13">
        <f>AI15*VLOOKUP('Données projet'!$B$10,Paramètres!$A$1:$I$89,3,0)*VLOOKUP('Données projet'!$B$10,Paramètres!$A$1:$I$89,5,0)</f>
        <v>43.6451294117647</v>
      </c>
      <c r="AK15" s="13">
        <f t="shared" si="35"/>
        <v>12.959830604318677</v>
      </c>
      <c r="AL15" s="20">
        <f t="shared" si="4"/>
        <v>98.586972028011871</v>
      </c>
      <c r="AM15" s="59">
        <f t="shared" si="5"/>
        <v>295.61674948074472</v>
      </c>
      <c r="AN15" s="59">
        <f ca="1">AVERAGE(OFFSET($AM$3,0,0,'Données projet'!$E$10+1,1))-AVERAGE(OFFSET($H$3,0,0,'Données projet'!$E$10+1,1))</f>
        <v>374.38106339726073</v>
      </c>
      <c r="AO15" s="59">
        <f t="shared" si="36"/>
        <v>296.53283288925957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</v>
      </c>
      <c r="BD15" s="12">
        <f>IF('Données projet'!$A$88&gt;35,BD14+BC15-BL14,IF(A15&lt;'Données projet'!$A$88,$BA$205^A15,IF(A15='Données projet'!$A$88,'Données projet'!$B$88,BD14+BC15-BL14)))</f>
        <v>7.685056401906202</v>
      </c>
      <c r="BE15" s="13">
        <f>BD15*VLOOKUP('Données projet'!$B$11,Paramètres!$A$1:$I$89,3,0)*VLOOKUP('Données projet'!$B$11,Paramètres!$A$1:$I$89,5,0)</f>
        <v>7.3130996720539416</v>
      </c>
      <c r="BF15" s="13">
        <f t="shared" si="37"/>
        <v>2.6734504774117824</v>
      </c>
      <c r="BG15" s="20">
        <f t="shared" si="7"/>
        <v>17.393241510319466</v>
      </c>
      <c r="BH15" s="59">
        <f t="shared" si="8"/>
        <v>214.42301896305233</v>
      </c>
      <c r="BI15" s="59">
        <f ca="1">AVERAGE(OFFSET($BH$3,0,0,'Données projet'!$E$11+1,1))-AVERAGE(OFFSET($H$3,0,0,'Données projet'!$E$11+1,1))</f>
        <v>423.80243030843661</v>
      </c>
      <c r="BJ15" s="59">
        <f t="shared" si="38"/>
        <v>260.29028006191834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5.8890909090909096</v>
      </c>
      <c r="BY15" s="12">
        <f>IF('Données projet'!$A$114&gt;35,BY14+BX15-CG14,IF(A15&lt;'Données projet'!$A$114,$BV$205^A15,IF(A15='Données projet'!$A$114,'Données projet'!$B$114,BY14+BX15-CG14)))</f>
        <v>14.198971124819497</v>
      </c>
      <c r="BZ15" s="13">
        <f>BY15*VLOOKUP('Données projet'!$B$12,Paramètres!$A$1:$I$89,3,0)*VLOOKUP('Données projet'!$B$12,Paramètres!$A$1:$I$89,5,0)</f>
        <v>8.49098473264206</v>
      </c>
      <c r="CA15" s="13">
        <f t="shared" si="39"/>
        <v>3.0505588433685857</v>
      </c>
      <c r="CB15" s="20">
        <f t="shared" si="10"/>
        <v>20.10152172821854</v>
      </c>
      <c r="CC15" s="59">
        <f t="shared" si="11"/>
        <v>217.1312991809514</v>
      </c>
      <c r="CD15" s="59">
        <f ca="1">AVERAGE(OFFSET($CC$3,0,0,'Données projet'!$E$12+1,1))-AVERAGE(OFFSET($H$3,0,0,'Données projet'!$E$12+1,1))</f>
        <v>373.61861223558259</v>
      </c>
      <c r="CE15" s="59">
        <f t="shared" si="40"/>
        <v>277.62293009761049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2.85</v>
      </c>
      <c r="CT15" s="12">
        <f>IF('Données projet'!$A$140&gt;35,CT14+CS15-DB14,IF(A15&lt;'Données projet'!$A$140,$CQ$205^A15,IF(A15='Données projet'!$A$140,'Données projet'!$B$140,CT14+CS15-DB14)))</f>
        <v>11.311622768584238</v>
      </c>
      <c r="CU15" s="17">
        <f>CT15*VLOOKUP('Données projet'!$B$13,Paramètres!$A$1:$I$89,3,0)*VLOOKUP('Données projet'!$B$13,Paramètres!$A$1:$I$89,5,0)</f>
        <v>9.8818336506351923</v>
      </c>
      <c r="CV15" s="13">
        <f t="shared" si="41"/>
        <v>3.4881127457351293</v>
      </c>
      <c r="CW15" s="20">
        <f t="shared" si="13"/>
        <v>23.285989973678308</v>
      </c>
      <c r="CX15" s="59">
        <f t="shared" si="14"/>
        <v>220.31576742641118</v>
      </c>
      <c r="CY15" s="59">
        <f ca="1">AVERAGE(OFFSET($CX$3,0,0,'Données projet'!$E$13+1,1))-AVERAGE(OFFSET($H$3,0,0,'Données projet'!$E$13+1,1))</f>
        <v>287.28439432670405</v>
      </c>
      <c r="CZ15" s="59">
        <f t="shared" si="42"/>
        <v>276.01618888357268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9">
        <f t="shared" si="0"/>
        <v>308.03953539456739</v>
      </c>
      <c r="S16" s="59">
        <f ca="1">AVERAGE(OFFSET($R$3,0,0,'Données projet'!$E$9+1,1))-AVERAGE(OFFSET($H$3,0,0,'Données projet'!$E$9+1,1))</f>
        <v>681.47578137804555</v>
      </c>
      <c r="T16" s="59">
        <f t="shared" si="34"/>
        <v>300.88511065995885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7.7715686274509812</v>
      </c>
      <c r="AI16" s="13">
        <f>IF('Données projet'!$A$62&gt;35,AI15+AH16-AQ15,IF(A16&lt;'Données projet'!$A$62,$AF$205^A16,IF(A16='Données projet'!$A$62,'Données projet'!$B$62,AI15+AH16-AQ15)))</f>
        <v>101.03039215686273</v>
      </c>
      <c r="AJ16" s="13">
        <f>AI16*VLOOKUP('Données projet'!$B$10,Paramètres!$A$1:$I$89,3,0)*VLOOKUP('Données projet'!$B$10,Paramètres!$A$1:$I$89,5,0)</f>
        <v>47.282223529411759</v>
      </c>
      <c r="AK16" s="13">
        <f t="shared" si="35"/>
        <v>13.909615404239247</v>
      </c>
      <c r="AL16" s="20">
        <f t="shared" si="4"/>
        <v>106.5757861427755</v>
      </c>
      <c r="AM16" s="59">
        <f t="shared" si="5"/>
        <v>306.1167863943943</v>
      </c>
      <c r="AN16" s="59">
        <f ca="1">AVERAGE(OFFSET($AM$3,0,0,'Données projet'!$E$10+1,1))-AVERAGE(OFFSET($H$3,0,0,'Données projet'!$E$10+1,1))</f>
        <v>374.38106339726073</v>
      </c>
      <c r="AO16" s="59">
        <f t="shared" si="36"/>
        <v>296.53283288925957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</v>
      </c>
      <c r="BD16" s="12">
        <f>IF('Données projet'!$A$88&gt;35,BD15+BC16-BL15,IF(A16&lt;'Données projet'!$A$88,$BA$205^A16,IF(A16='Données projet'!$A$88,'Données projet'!$B$88,BD15+BC16-BL15)))</f>
        <v>9.1085863706396779</v>
      </c>
      <c r="BE16" s="13">
        <f>BD16*VLOOKUP('Données projet'!$B$11,Paramètres!$A$1:$I$89,3,0)*VLOOKUP('Données projet'!$B$11,Paramètres!$A$1:$I$89,5,0)</f>
        <v>8.6677307903007179</v>
      </c>
      <c r="BF16" s="13">
        <f t="shared" si="37"/>
        <v>3.1065996489365348</v>
      </c>
      <c r="BG16" s="20">
        <f t="shared" si="7"/>
        <v>20.506958848338215</v>
      </c>
      <c r="BH16" s="59">
        <f t="shared" si="8"/>
        <v>220.04795909995704</v>
      </c>
      <c r="BI16" s="59">
        <f ca="1">AVERAGE(OFFSET($BH$3,0,0,'Données projet'!$E$11+1,1))-AVERAGE(OFFSET($H$3,0,0,'Données projet'!$E$11+1,1))</f>
        <v>423.80243030843661</v>
      </c>
      <c r="BJ16" s="59">
        <f t="shared" si="38"/>
        <v>260.29028006191834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5.8890909090909096</v>
      </c>
      <c r="BY16" s="12">
        <f>IF('Données projet'!$A$114&gt;35,BY15+BX16-CG15,IF(A16&lt;'Données projet'!$A$114,$BV$205^A16,IF(A16='Données projet'!$A$114,'Données projet'!$B$114,BY15+BX16-CG15)))</f>
        <v>17.712435523051596</v>
      </c>
      <c r="BZ16" s="13">
        <f>BY16*VLOOKUP('Données projet'!$B$12,Paramètres!$A$1:$I$89,3,0)*VLOOKUP('Données projet'!$B$12,Paramètres!$A$1:$I$89,5,0)</f>
        <v>10.592036442784856</v>
      </c>
      <c r="CA16" s="13">
        <f t="shared" si="39"/>
        <v>3.708718932562717</v>
      </c>
      <c r="CB16" s="20">
        <f t="shared" si="10"/>
        <v>24.907148945397026</v>
      </c>
      <c r="CC16" s="59">
        <f t="shared" si="11"/>
        <v>224.44814919701582</v>
      </c>
      <c r="CD16" s="59">
        <f ca="1">AVERAGE(OFFSET($CC$3,0,0,'Données projet'!$E$12+1,1))-AVERAGE(OFFSET($H$3,0,0,'Données projet'!$E$12+1,1))</f>
        <v>373.61861223558259</v>
      </c>
      <c r="CE16" s="59">
        <f t="shared" si="40"/>
        <v>277.62293009761049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2.85</v>
      </c>
      <c r="CT16" s="12">
        <f>IF('Données projet'!$A$140&gt;35,CT15+CS16-DB15,IF(A16&lt;'Données projet'!$A$140,$CQ$205^A16,IF(A16='Données projet'!$A$140,'Données projet'!$B$140,CT15+CS16-DB15)))</f>
        <v>13.845819197850375</v>
      </c>
      <c r="CU16" s="17">
        <f>CT16*VLOOKUP('Données projet'!$B$13,Paramètres!$A$1:$I$89,3,0)*VLOOKUP('Données projet'!$B$13,Paramètres!$A$1:$I$89,5,0)</f>
        <v>12.095707651242089</v>
      </c>
      <c r="CV16" s="13">
        <f t="shared" si="41"/>
        <v>4.1702785595427372</v>
      </c>
      <c r="CW16" s="20">
        <f t="shared" si="13"/>
        <v>28.329925983783568</v>
      </c>
      <c r="CX16" s="59">
        <f t="shared" si="14"/>
        <v>227.87092623540238</v>
      </c>
      <c r="CY16" s="59">
        <f ca="1">AVERAGE(OFFSET($CX$3,0,0,'Données projet'!$E$13+1,1))-AVERAGE(OFFSET($H$3,0,0,'Données projet'!$E$13+1,1))</f>
        <v>287.28439432670405</v>
      </c>
      <c r="CZ16" s="59">
        <f t="shared" si="42"/>
        <v>276.01618888357268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9">
        <f t="shared" si="0"/>
        <v>318.64668790347997</v>
      </c>
      <c r="S17" s="59">
        <f ca="1">AVERAGE(OFFSET($R$3,0,0,'Données projet'!$E$9+1,1))-AVERAGE(OFFSET($H$3,0,0,'Données projet'!$E$9+1,1))</f>
        <v>681.47578137804555</v>
      </c>
      <c r="T17" s="59">
        <f t="shared" si="34"/>
        <v>300.88511065995885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7.7715686274509812</v>
      </c>
      <c r="AI17" s="13">
        <f>IF('Données projet'!$A$62&gt;35,AI16+AH17-AQ16,IF(A17&lt;'Données projet'!$A$62,$AF$205^A17,IF(A17='Données projet'!$A$62,'Données projet'!$B$62,AI16+AH17-AQ16)))</f>
        <v>108.80196078431371</v>
      </c>
      <c r="AJ17" s="13">
        <f>AI17*VLOOKUP('Données projet'!$B$10,Paramètres!$A$1:$I$89,3,0)*VLOOKUP('Données projet'!$B$10,Paramètres!$A$1:$I$89,5,0)</f>
        <v>50.919317647058811</v>
      </c>
      <c r="AK17" s="13">
        <f t="shared" si="35"/>
        <v>14.850925118934597</v>
      </c>
      <c r="AL17" s="20">
        <f t="shared" si="4"/>
        <v>114.54983948410518</v>
      </c>
      <c r="AM17" s="59">
        <f t="shared" si="5"/>
        <v>316.57970125637837</v>
      </c>
      <c r="AN17" s="59">
        <f ca="1">AVERAGE(OFFSET($AM$3,0,0,'Données projet'!$E$10+1,1))-AVERAGE(OFFSET($H$3,0,0,'Données projet'!$E$10+1,1))</f>
        <v>374.38106339726073</v>
      </c>
      <c r="AO17" s="59">
        <f t="shared" si="36"/>
        <v>296.53283288925957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</v>
      </c>
      <c r="BD17" s="12">
        <f>IF('Données projet'!$A$88&gt;35,BD16+BC17-BL16,IF(A17&lt;'Données projet'!$A$88,$BA$205^A17,IF(A17='Données projet'!$A$88,'Données projet'!$B$88,BD16+BC17-BL16)))</f>
        <v>10.795801791490293</v>
      </c>
      <c r="BE17" s="13">
        <f>BD17*VLOOKUP('Données projet'!$B$11,Paramètres!$A$1:$I$89,3,0)*VLOOKUP('Données projet'!$B$11,Paramètres!$A$1:$I$89,5,0)</f>
        <v>10.273284984782164</v>
      </c>
      <c r="BF17" s="13">
        <f t="shared" si="37"/>
        <v>3.6099271186485127</v>
      </c>
      <c r="BG17" s="20">
        <f t="shared" si="7"/>
        <v>24.179927746808428</v>
      </c>
      <c r="BH17" s="59">
        <f t="shared" si="8"/>
        <v>226.20978951908162</v>
      </c>
      <c r="BI17" s="59">
        <f ca="1">AVERAGE(OFFSET($BH$3,0,0,'Données projet'!$E$11+1,1))-AVERAGE(OFFSET($H$3,0,0,'Données projet'!$E$11+1,1))</f>
        <v>423.80243030843661</v>
      </c>
      <c r="BJ17" s="59">
        <f t="shared" si="38"/>
        <v>260.29028006191834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5.8890909090909096</v>
      </c>
      <c r="BY17" s="12">
        <f>IF('Données projet'!$A$114&gt;35,BY16+BX17-CG16,IF(A17&lt;'Données projet'!$A$114,$BV$205^A17,IF(A17='Données projet'!$A$114,'Données projet'!$B$114,BY16+BX17-CG16)))</f>
        <v>22.095289116397044</v>
      </c>
      <c r="BZ17" s="13">
        <f>BY17*VLOOKUP('Données projet'!$B$12,Paramètres!$A$1:$I$89,3,0)*VLOOKUP('Données projet'!$B$12,Paramètres!$A$1:$I$89,5,0)</f>
        <v>13.212982891605433</v>
      </c>
      <c r="CA17" s="13">
        <f t="shared" si="39"/>
        <v>4.508877496544403</v>
      </c>
      <c r="CB17" s="20">
        <f t="shared" si="10"/>
        <v>30.86557350936096</v>
      </c>
      <c r="CC17" s="59">
        <f t="shared" si="11"/>
        <v>232.89543528163415</v>
      </c>
      <c r="CD17" s="59">
        <f ca="1">AVERAGE(OFFSET($CC$3,0,0,'Données projet'!$E$12+1,1))-AVERAGE(OFFSET($H$3,0,0,'Données projet'!$E$12+1,1))</f>
        <v>373.61861223558259</v>
      </c>
      <c r="CE17" s="59">
        <f t="shared" si="40"/>
        <v>277.62293009761049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2.85</v>
      </c>
      <c r="CT17" s="12">
        <f>IF('Données projet'!$A$140&gt;35,CT16+CS17-DB16,IF(A17&lt;'Données projet'!$A$140,$CQ$205^A17,IF(A17='Données projet'!$A$140,'Données projet'!$B$140,CT16+CS17-DB16)))</f>
        <v>16.94776365704034</v>
      </c>
      <c r="CU17" s="17">
        <f>CT17*VLOOKUP('Données projet'!$B$13,Paramètres!$A$1:$I$89,3,0)*VLOOKUP('Données projet'!$B$13,Paramètres!$A$1:$I$89,5,0)</f>
        <v>14.805566330790443</v>
      </c>
      <c r="CV17" s="13">
        <f t="shared" si="41"/>
        <v>4.9858546818608076</v>
      </c>
      <c r="CW17" s="20">
        <f t="shared" si="13"/>
        <v>34.470058263700928</v>
      </c>
      <c r="CX17" s="59">
        <f t="shared" si="14"/>
        <v>236.49992003597413</v>
      </c>
      <c r="CY17" s="59">
        <f ca="1">AVERAGE(OFFSET($CX$3,0,0,'Données projet'!$E$13+1,1))-AVERAGE(OFFSET($H$3,0,0,'Données projet'!$E$13+1,1))</f>
        <v>287.28439432670405</v>
      </c>
      <c r="CZ17" s="59">
        <f t="shared" si="42"/>
        <v>276.01618888357268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9">
        <f t="shared" si="0"/>
        <v>329.21805825209799</v>
      </c>
      <c r="S18" s="59">
        <f ca="1">AVERAGE(OFFSET($R$3,0,0,'Données projet'!$E$9+1,1))-AVERAGE(OFFSET($H$3,0,0,'Données projet'!$E$9+1,1))</f>
        <v>681.47578137804555</v>
      </c>
      <c r="T18" s="59">
        <f t="shared" si="34"/>
        <v>300.88511065995885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7.7715686274509812</v>
      </c>
      <c r="AI18" s="13">
        <f>IF('Données projet'!$A$62&gt;35,AI17+AH18-AQ17,IF(A18&lt;'Données projet'!$A$62,$AF$205^A18,IF(A18='Données projet'!$A$62,'Données projet'!$B$62,AI17+AH18-AQ17)))</f>
        <v>116.57352941176468</v>
      </c>
      <c r="AJ18" s="13">
        <f>AI18*VLOOKUP('Données projet'!$B$10,Paramètres!$A$1:$I$89,3,0)*VLOOKUP('Données projet'!$B$10,Paramètres!$A$1:$I$89,5,0)</f>
        <v>54.556411764705871</v>
      </c>
      <c r="AK18" s="13">
        <f t="shared" si="35"/>
        <v>15.784433961873273</v>
      </c>
      <c r="AL18" s="20">
        <f t="shared" si="4"/>
        <v>122.51030630712535</v>
      </c>
      <c r="AM18" s="59">
        <f t="shared" si="5"/>
        <v>327.00705624000636</v>
      </c>
      <c r="AN18" s="59">
        <f ca="1">AVERAGE(OFFSET($AM$3,0,0,'Données projet'!$E$10+1,1))-AVERAGE(OFFSET($H$3,0,0,'Données projet'!$E$10+1,1))</f>
        <v>374.38106339726073</v>
      </c>
      <c r="AO18" s="59">
        <f t="shared" si="36"/>
        <v>296.53283288925957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2.8</v>
      </c>
      <c r="BD18" s="12">
        <f>IF('Données projet'!$A$88&gt;35,BD17+BC18-BL17,IF(A18&lt;'Données projet'!$A$88,$BA$205^A18,IF(A18='Données projet'!$A$88,'Données projet'!$B$88,BD17+BC18-BL17)))</f>
        <v>12.795546046181913</v>
      </c>
      <c r="BE18" s="13">
        <f>BD18*VLOOKUP('Données projet'!$B$11,Paramètres!$A$1:$I$89,3,0)*VLOOKUP('Données projet'!$B$11,Paramètres!$A$1:$I$89,5,0)</f>
        <v>12.176241617546708</v>
      </c>
      <c r="BF18" s="13">
        <f t="shared" si="37"/>
        <v>4.1948030884555632</v>
      </c>
      <c r="BG18" s="20">
        <f t="shared" si="7"/>
        <v>28.512902862953961</v>
      </c>
      <c r="BH18" s="59">
        <f t="shared" si="8"/>
        <v>233.009652795835</v>
      </c>
      <c r="BI18" s="59">
        <f ca="1">AVERAGE(OFFSET($BH$3,0,0,'Données projet'!$E$11+1,1))-AVERAGE(OFFSET($H$3,0,0,'Données projet'!$E$11+1,1))</f>
        <v>423.80243030843661</v>
      </c>
      <c r="BJ18" s="59">
        <f t="shared" si="38"/>
        <v>260.29028006191834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5.8890909090909096</v>
      </c>
      <c r="BY18" s="12">
        <f>IF('Données projet'!$A$114&gt;35,BY17+BX18-CG17,IF(A18&lt;'Données projet'!$A$114,$BV$205^A18,IF(A18='Données projet'!$A$114,'Données projet'!$B$114,BY17+BX18-CG17)))</f>
        <v>27.562657913521289</v>
      </c>
      <c r="BZ18" s="13">
        <f>BY18*VLOOKUP('Données projet'!$B$12,Paramètres!$A$1:$I$89,3,0)*VLOOKUP('Données projet'!$B$12,Paramètres!$A$1:$I$89,5,0)</f>
        <v>16.482469432285733</v>
      </c>
      <c r="CA18" s="13">
        <f t="shared" si="39"/>
        <v>5.4816708002179473</v>
      </c>
      <c r="CB18" s="20">
        <f t="shared" si="10"/>
        <v>38.254210904943911</v>
      </c>
      <c r="CC18" s="59">
        <f t="shared" si="11"/>
        <v>242.75096083782495</v>
      </c>
      <c r="CD18" s="59">
        <f ca="1">AVERAGE(OFFSET($CC$3,0,0,'Données projet'!$E$12+1,1))-AVERAGE(OFFSET($H$3,0,0,'Données projet'!$E$12+1,1))</f>
        <v>373.61861223558259</v>
      </c>
      <c r="CE18" s="59">
        <f t="shared" si="40"/>
        <v>277.62293009761049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2.85</v>
      </c>
      <c r="CT18" s="12">
        <f>IF('Données projet'!$A$140&gt;35,CT17+CS18-DB17,IF(A18&lt;'Données projet'!$A$140,$CQ$205^A18,IF(A18='Données projet'!$A$140,'Données projet'!$B$140,CT17+CS18-DB17)))</f>
        <v>20.744651426583019</v>
      </c>
      <c r="CU18" s="17">
        <f>CT18*VLOOKUP('Données projet'!$B$13,Paramètres!$A$1:$I$89,3,0)*VLOOKUP('Données projet'!$B$13,Paramètres!$A$1:$I$89,5,0)</f>
        <v>18.122527486262925</v>
      </c>
      <c r="CV18" s="13">
        <f t="shared" si="41"/>
        <v>5.960931998595087</v>
      </c>
      <c r="CW18" s="20">
        <f t="shared" si="13"/>
        <v>41.945358602794364</v>
      </c>
      <c r="CX18" s="59">
        <f t="shared" si="14"/>
        <v>246.4421085356754</v>
      </c>
      <c r="CY18" s="59">
        <f ca="1">AVERAGE(OFFSET($CX$3,0,0,'Données projet'!$E$13+1,1))-AVERAGE(OFFSET($H$3,0,0,'Données projet'!$E$13+1,1))</f>
        <v>287.28439432670405</v>
      </c>
      <c r="CZ18" s="59">
        <f t="shared" si="42"/>
        <v>276.01618888357268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9">
        <f t="shared" si="0"/>
        <v>339.75505296407175</v>
      </c>
      <c r="S19" s="59">
        <f ca="1">AVERAGE(OFFSET($R$3,0,0,'Données projet'!$E$9+1,1))-AVERAGE(OFFSET($H$3,0,0,'Données projet'!$E$9+1,1))</f>
        <v>681.47578137804555</v>
      </c>
      <c r="T19" s="59">
        <f t="shared" si="34"/>
        <v>300.88511065995885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7.7715686274509812</v>
      </c>
      <c r="AI19" s="13">
        <f>IF('Données projet'!$A$62&gt;35,AI18+AH19-AQ18,IF(A19&lt;'Données projet'!$A$62,$AF$205^A19,IF(A19='Données projet'!$A$62,'Données projet'!$B$62,AI18+AH19-AQ18)))</f>
        <v>124.34509803921566</v>
      </c>
      <c r="AJ19" s="13">
        <f>AI19*VLOOKUP('Données projet'!$B$10,Paramètres!$A$1:$I$89,3,0)*VLOOKUP('Données projet'!$B$10,Paramètres!$A$1:$I$89,5,0)</f>
        <v>58.193505882352923</v>
      </c>
      <c r="AK19" s="13">
        <f t="shared" si="35"/>
        <v>16.710721165612199</v>
      </c>
      <c r="AL19" s="20">
        <f t="shared" si="4"/>
        <v>130.45819544187259</v>
      </c>
      <c r="AM19" s="59">
        <f t="shared" si="5"/>
        <v>337.40024136398665</v>
      </c>
      <c r="AN19" s="59">
        <f ca="1">AVERAGE(OFFSET($AM$3,0,0,'Données projet'!$E$10+1,1))-AVERAGE(OFFSET($H$3,0,0,'Données projet'!$E$10+1,1))</f>
        <v>374.38106339726073</v>
      </c>
      <c r="AO19" s="59">
        <f t="shared" si="36"/>
        <v>296.53283288925957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2.8</v>
      </c>
      <c r="BD19" s="12">
        <f>IF('Données projet'!$A$88&gt;35,BD18+BC19-BL18,IF(A19&lt;'Données projet'!$A$88,$BA$205^A19,IF(A19='Données projet'!$A$88,'Données projet'!$B$88,BD18+BC19-BL18)))</f>
        <v>15.165709947455436</v>
      </c>
      <c r="BE19" s="13">
        <f>BD19*VLOOKUP('Données projet'!$B$11,Paramètres!$A$1:$I$89,3,0)*VLOOKUP('Données projet'!$B$11,Paramètres!$A$1:$I$89,5,0)</f>
        <v>14.431689585998592</v>
      </c>
      <c r="BF19" s="13">
        <f t="shared" si="37"/>
        <v>4.8744399464507975</v>
      </c>
      <c r="BG19" s="20">
        <f t="shared" si="7"/>
        <v>33.624842269016021</v>
      </c>
      <c r="BH19" s="59">
        <f t="shared" si="8"/>
        <v>240.56688819113009</v>
      </c>
      <c r="BI19" s="59">
        <f ca="1">AVERAGE(OFFSET($BH$3,0,0,'Données projet'!$E$11+1,1))-AVERAGE(OFFSET($H$3,0,0,'Données projet'!$E$11+1,1))</f>
        <v>423.80243030843661</v>
      </c>
      <c r="BJ19" s="59">
        <f t="shared" si="38"/>
        <v>260.29028006191834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5.8890909090909096</v>
      </c>
      <c r="BY19" s="12">
        <f>IF('Données projet'!$A$114&gt;35,BY18+BX19-CG18,IF(A19&lt;'Données projet'!$A$114,$BV$205^A19,IF(A19='Données projet'!$A$114,'Données projet'!$B$114,BY18+BX19-CG18)))</f>
        <v>34.382899778126003</v>
      </c>
      <c r="BZ19" s="13">
        <f>BY19*VLOOKUP('Données projet'!$B$12,Paramètres!$A$1:$I$89,3,0)*VLOOKUP('Données projet'!$B$12,Paramètres!$A$1:$I$89,5,0)</f>
        <v>20.560974067319354</v>
      </c>
      <c r="CA19" s="13">
        <f t="shared" si="39"/>
        <v>6.6643449029146105</v>
      </c>
      <c r="CB19" s="20">
        <f t="shared" si="10"/>
        <v>47.417430539824153</v>
      </c>
      <c r="CC19" s="59">
        <f t="shared" si="11"/>
        <v>254.35947646193821</v>
      </c>
      <c r="CD19" s="59">
        <f ca="1">AVERAGE(OFFSET($CC$3,0,0,'Données projet'!$E$12+1,1))-AVERAGE(OFFSET($H$3,0,0,'Données projet'!$E$12+1,1))</f>
        <v>373.61861223558259</v>
      </c>
      <c r="CE19" s="59">
        <f t="shared" si="40"/>
        <v>277.62293009761049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2.85</v>
      </c>
      <c r="CT19" s="12">
        <f>IF('Données projet'!$A$140&gt;35,CT18+CS19-DB18,IF(A19&lt;'Données projet'!$A$140,$CQ$205^A19,IF(A19='Données projet'!$A$140,'Données projet'!$B$140,CT18+CS19-DB18)))</f>
        <v>25.392173948075062</v>
      </c>
      <c r="CU19" s="17">
        <f>CT19*VLOOKUP('Données projet'!$B$13,Paramètres!$A$1:$I$89,3,0)*VLOOKUP('Données projet'!$B$13,Paramètres!$A$1:$I$89,5,0)</f>
        <v>22.182603161038376</v>
      </c>
      <c r="CV19" s="13">
        <f t="shared" si="41"/>
        <v>7.1267039573270132</v>
      </c>
      <c r="CW19" s="20">
        <f t="shared" si="13"/>
        <v>51.047043231153054</v>
      </c>
      <c r="CX19" s="59">
        <f t="shared" si="14"/>
        <v>257.98908915326712</v>
      </c>
      <c r="CY19" s="59">
        <f ca="1">AVERAGE(OFFSET($CX$3,0,0,'Données projet'!$E$13+1,1))-AVERAGE(OFFSET($H$3,0,0,'Données projet'!$E$13+1,1))</f>
        <v>287.28439432670405</v>
      </c>
      <c r="CZ19" s="59">
        <f t="shared" si="42"/>
        <v>276.01618888357268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9">
        <f t="shared" si="0"/>
        <v>350.25893653939312</v>
      </c>
      <c r="S20" s="59">
        <f ca="1">AVERAGE(OFFSET($R$3,0,0,'Données projet'!$E$9+1,1))-AVERAGE(OFFSET($H$3,0,0,'Données projet'!$E$9+1,1))</f>
        <v>681.47578137804555</v>
      </c>
      <c r="T20" s="59">
        <f t="shared" si="34"/>
        <v>300.88511065995885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7.7715686274509812</v>
      </c>
      <c r="AI20" s="13">
        <f>IF('Données projet'!$A$62&gt;35,AI19+AH20-AQ19,IF(A20&lt;'Données projet'!$A$62,$AF$205^A20,IF(A20='Données projet'!$A$62,'Données projet'!$B$62,AI19+AH20-AQ19)))</f>
        <v>132.11666666666665</v>
      </c>
      <c r="AJ20" s="13">
        <f>AI20*VLOOKUP('Données projet'!$B$10,Paramètres!$A$1:$I$89,3,0)*VLOOKUP('Données projet'!$B$10,Paramètres!$A$1:$I$89,5,0)</f>
        <v>61.83059999999999</v>
      </c>
      <c r="AK20" s="13">
        <f t="shared" si="35"/>
        <v>17.630289466347477</v>
      </c>
      <c r="AL20" s="20">
        <f t="shared" si="4"/>
        <v>138.39438248722183</v>
      </c>
      <c r="AM20" s="59">
        <f t="shared" si="5"/>
        <v>347.76050680309459</v>
      </c>
      <c r="AN20" s="59">
        <f ca="1">AVERAGE(OFFSET($AM$3,0,0,'Données projet'!$E$10+1,1))-AVERAGE(OFFSET($H$3,0,0,'Données projet'!$E$10+1,1))</f>
        <v>374.38106339726073</v>
      </c>
      <c r="AO20" s="59">
        <f t="shared" si="36"/>
        <v>296.53283288925957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2.8</v>
      </c>
      <c r="BD20" s="12">
        <f>IF('Données projet'!$A$88&gt;35,BD19+BC20-BL19,IF(A20&lt;'Données projet'!$A$88,$BA$205^A20,IF(A20='Données projet'!$A$88,'Données projet'!$B$88,BD19+BC20-BL19)))</f>
        <v>17.974907626468866</v>
      </c>
      <c r="BE20" s="13">
        <f>BD20*VLOOKUP('Données projet'!$B$11,Paramètres!$A$1:$I$89,3,0)*VLOOKUP('Données projet'!$B$11,Paramètres!$A$1:$I$89,5,0)</f>
        <v>17.104922097347774</v>
      </c>
      <c r="BF20" s="13">
        <f t="shared" si="37"/>
        <v>5.6641907356617391</v>
      </c>
      <c r="BG20" s="20">
        <f t="shared" si="7"/>
        <v>39.656204850824899</v>
      </c>
      <c r="BH20" s="59">
        <f t="shared" si="8"/>
        <v>249.02232916669763</v>
      </c>
      <c r="BI20" s="59">
        <f ca="1">AVERAGE(OFFSET($BH$3,0,0,'Données projet'!$E$11+1,1))-AVERAGE(OFFSET($H$3,0,0,'Données projet'!$E$11+1,1))</f>
        <v>423.80243030843661</v>
      </c>
      <c r="BJ20" s="59">
        <f t="shared" si="38"/>
        <v>260.29028006191834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5.8890909090909096</v>
      </c>
      <c r="BY20" s="12">
        <f>IF('Données projet'!$A$114&gt;35,BY19+BX20-CG19,IF(A20&lt;'Données projet'!$A$114,$BV$205^A20,IF(A20='Données projet'!$A$114,'Données projet'!$B$114,BY19+BX20-CG19)))</f>
        <v>42.890776385274457</v>
      </c>
      <c r="BZ20" s="13">
        <f>BY20*VLOOKUP('Données projet'!$B$12,Paramètres!$A$1:$I$89,3,0)*VLOOKUP('Données projet'!$B$12,Paramètres!$A$1:$I$89,5,0)</f>
        <v>25.648684278394128</v>
      </c>
      <c r="CA20" s="13">
        <f t="shared" si="39"/>
        <v>8.1021817259143134</v>
      </c>
      <c r="CB20" s="20">
        <f t="shared" si="10"/>
        <v>58.782758290837201</v>
      </c>
      <c r="CC20" s="59">
        <f t="shared" si="11"/>
        <v>268.14888260670995</v>
      </c>
      <c r="CD20" s="59">
        <f ca="1">AVERAGE(OFFSET($CC$3,0,0,'Données projet'!$E$12+1,1))-AVERAGE(OFFSET($H$3,0,0,'Données projet'!$E$12+1,1))</f>
        <v>373.61861223558259</v>
      </c>
      <c r="CE20" s="59">
        <f t="shared" si="40"/>
        <v>277.62293009761049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2.85</v>
      </c>
      <c r="CT20" s="12">
        <f>IF('Données projet'!$A$140&gt;35,CT19+CS20-DB19,IF(A20&lt;'Données projet'!$A$140,$CQ$205^A20,IF(A20='Données projet'!$A$140,'Données projet'!$B$140,CT19+CS20-DB19)))</f>
        <v>31.080902954246678</v>
      </c>
      <c r="CU20" s="17">
        <f>CT20*VLOOKUP('Données projet'!$B$13,Paramètres!$A$1:$I$89,3,0)*VLOOKUP('Données projet'!$B$13,Paramètres!$A$1:$I$89,5,0)</f>
        <v>27.152276820829904</v>
      </c>
      <c r="CV20" s="13">
        <f t="shared" si="41"/>
        <v>8.5204644688701361</v>
      </c>
      <c r="CW20" s="20">
        <f t="shared" si="13"/>
        <v>62.130024412894237</v>
      </c>
      <c r="CX20" s="59">
        <f t="shared" si="14"/>
        <v>271.49614872876697</v>
      </c>
      <c r="CY20" s="59">
        <f ca="1">AVERAGE(OFFSET($CX$3,0,0,'Données projet'!$E$13+1,1))-AVERAGE(OFFSET($H$3,0,0,'Données projet'!$E$13+1,1))</f>
        <v>287.28439432670405</v>
      </c>
      <c r="CZ20" s="59">
        <f t="shared" si="42"/>
        <v>276.01618888357268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9">
        <f t="shared" si="0"/>
        <v>360.73085636864027</v>
      </c>
      <c r="S21" s="59">
        <f ca="1">AVERAGE(OFFSET($R$3,0,0,'Données projet'!$E$9+1,1))-AVERAGE(OFFSET($H$3,0,0,'Données projet'!$E$9+1,1))</f>
        <v>681.47578137804555</v>
      </c>
      <c r="T21" s="59">
        <f t="shared" si="34"/>
        <v>300.88511065995885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7.7715686274509812</v>
      </c>
      <c r="AI21" s="13">
        <f>IF('Données projet'!$A$62&gt;35,AI20+AH21-AQ20,IF(A21&lt;'Données projet'!$A$62,$AF$205^A21,IF(A21='Données projet'!$A$62,'Données projet'!$B$62,AI20+AH21-AQ20)))</f>
        <v>139.88823529411764</v>
      </c>
      <c r="AJ21" s="13">
        <f>AI21*VLOOKUP('Données projet'!$B$10,Paramètres!$A$1:$I$89,3,0)*VLOOKUP('Données projet'!$B$10,Paramètres!$A$1:$I$89,5,0)</f>
        <v>65.467694117647056</v>
      </c>
      <c r="AK21" s="13">
        <f t="shared" si="35"/>
        <v>18.543579113671662</v>
      </c>
      <c r="AL21" s="20">
        <f t="shared" si="4"/>
        <v>146.31963421121341</v>
      </c>
      <c r="AM21" s="59">
        <f t="shared" si="5"/>
        <v>358.08898740321649</v>
      </c>
      <c r="AN21" s="59">
        <f ca="1">AVERAGE(OFFSET($AM$3,0,0,'Données projet'!$E$10+1,1))-AVERAGE(OFFSET($H$3,0,0,'Données projet'!$E$10+1,1))</f>
        <v>374.38106339726073</v>
      </c>
      <c r="AO21" s="59">
        <f t="shared" si="36"/>
        <v>296.53283288925957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2.8</v>
      </c>
      <c r="BD21" s="12">
        <f>IF('Données projet'!$A$88&gt;35,BD20+BC21-BL20,IF(A21&lt;'Données projet'!$A$88,$BA$205^A21,IF(A21='Données projet'!$A$88,'Données projet'!$B$88,BD20+BC21-BL20)))</f>
        <v>21.304462850702166</v>
      </c>
      <c r="BE21" s="13">
        <f>BD21*VLOOKUP('Données projet'!$B$11,Paramètres!$A$1:$I$89,3,0)*VLOOKUP('Données projet'!$B$11,Paramètres!$A$1:$I$89,5,0)</f>
        <v>20.273326848728182</v>
      </c>
      <c r="BF21" s="13">
        <f t="shared" si="37"/>
        <v>6.5818959803406232</v>
      </c>
      <c r="BG21" s="20">
        <f t="shared" si="7"/>
        <v>46.772846427294837</v>
      </c>
      <c r="BH21" s="59">
        <f t="shared" si="8"/>
        <v>258.54219961929795</v>
      </c>
      <c r="BI21" s="59">
        <f ca="1">AVERAGE(OFFSET($BH$3,0,0,'Données projet'!$E$11+1,1))-AVERAGE(OFFSET($H$3,0,0,'Données projet'!$E$11+1,1))</f>
        <v>423.80243030843661</v>
      </c>
      <c r="BJ21" s="59">
        <f t="shared" si="38"/>
        <v>260.29028006191834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5.8890909090909096</v>
      </c>
      <c r="BY21" s="12">
        <f>IF('Données projet'!$A$114&gt;35,BY20+BX21-CG20,IF(A21&lt;'Données projet'!$A$114,$BV$205^A21,IF(A21='Données projet'!$A$114,'Données projet'!$B$114,BY20+BX21-CG20)))</f>
        <v>53.503884512438958</v>
      </c>
      <c r="BZ21" s="13">
        <f>BY21*VLOOKUP('Données projet'!$B$12,Paramètres!$A$1:$I$89,3,0)*VLOOKUP('Données projet'!$B$12,Paramètres!$A$1:$I$89,5,0)</f>
        <v>31.995322938438498</v>
      </c>
      <c r="CA21" s="13">
        <f t="shared" si="39"/>
        <v>9.8502327949788757</v>
      </c>
      <c r="CB21" s="20">
        <f t="shared" si="10"/>
        <v>72.881009569035243</v>
      </c>
      <c r="CC21" s="59">
        <f t="shared" si="11"/>
        <v>284.65036276103837</v>
      </c>
      <c r="CD21" s="59">
        <f ca="1">AVERAGE(OFFSET($CC$3,0,0,'Données projet'!$E$12+1,1))-AVERAGE(OFFSET($H$3,0,0,'Données projet'!$E$12+1,1))</f>
        <v>373.61861223558259</v>
      </c>
      <c r="CE21" s="59">
        <f t="shared" si="40"/>
        <v>277.62293009761049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2.85</v>
      </c>
      <c r="CT21" s="12">
        <f>IF('Données projet'!$A$140&gt;35,CT20+CS21-DB20,IF(A21&lt;'Données projet'!$A$140,$CQ$205^A21,IF(A21='Données projet'!$A$140,'Données projet'!$B$140,CT20+CS21-DB20)))</f>
        <v>38.044104865803838</v>
      </c>
      <c r="CU21" s="17">
        <f>CT21*VLOOKUP('Données projet'!$B$13,Paramètres!$A$1:$I$89,3,0)*VLOOKUP('Données projet'!$B$13,Paramètres!$A$1:$I$89,5,0)</f>
        <v>33.235330010766241</v>
      </c>
      <c r="CV21" s="13">
        <f t="shared" si="41"/>
        <v>10.186800967176366</v>
      </c>
      <c r="CW21" s="20">
        <f t="shared" si="13"/>
        <v>75.626878119916697</v>
      </c>
      <c r="CX21" s="59">
        <f t="shared" si="14"/>
        <v>287.39623131191979</v>
      </c>
      <c r="CY21" s="59">
        <f ca="1">AVERAGE(OFFSET($CX$3,0,0,'Données projet'!$E$13+1,1))-AVERAGE(OFFSET($H$3,0,0,'Données projet'!$E$13+1,1))</f>
        <v>287.28439432670405</v>
      </c>
      <c r="CZ21" s="59">
        <f t="shared" si="42"/>
        <v>276.01618888357268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9">
        <f t="shared" si="0"/>
        <v>371.17186197623124</v>
      </c>
      <c r="S22" s="59">
        <f ca="1">AVERAGE(OFFSET($R$3,0,0,'Données projet'!$E$9+1,1))-AVERAGE(OFFSET($H$3,0,0,'Données projet'!$E$9+1,1))</f>
        <v>681.47578137804555</v>
      </c>
      <c r="T22" s="59">
        <f t="shared" si="34"/>
        <v>300.88511065995885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7.7715686274509812</v>
      </c>
      <c r="AI22" s="13">
        <f>IF('Données projet'!$A$62&gt;35,AI21+AH22-AQ21,IF(A22&lt;'Données projet'!$A$62,$AF$205^A22,IF(A22='Données projet'!$A$62,'Données projet'!$B$62,AI21+AH22-AQ21)))</f>
        <v>147.65980392156862</v>
      </c>
      <c r="AJ22" s="13">
        <f>AI22*VLOOKUP('Données projet'!$B$10,Paramètres!$A$1:$I$89,3,0)*VLOOKUP('Données projet'!$B$10,Paramètres!$A$1:$I$89,5,0)</f>
        <v>69.104788235294123</v>
      </c>
      <c r="AK22" s="13">
        <f t="shared" si="35"/>
        <v>19.450978677796666</v>
      </c>
      <c r="AL22" s="20">
        <f t="shared" si="4"/>
        <v>154.23462737363312</v>
      </c>
      <c r="AM22" s="59">
        <f t="shared" si="5"/>
        <v>368.38672161665664</v>
      </c>
      <c r="AN22" s="59">
        <f ca="1">AVERAGE(OFFSET($AM$3,0,0,'Données projet'!$E$10+1,1))-AVERAGE(OFFSET($H$3,0,0,'Données projet'!$E$10+1,1))</f>
        <v>374.38106339726073</v>
      </c>
      <c r="AO22" s="59">
        <f t="shared" si="36"/>
        <v>296.53283288925957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2.8</v>
      </c>
      <c r="BD22" s="12">
        <f>IF('Données projet'!$A$88&gt;35,BD21+BC22-BL21,IF(A22&lt;'Données projet'!$A$88,$BA$205^A22,IF(A22='Données projet'!$A$88,'Données projet'!$B$88,BD21+BC22-BL21)))</f>
        <v>25.250763274498809</v>
      </c>
      <c r="BE22" s="13">
        <f>BD22*VLOOKUP('Données projet'!$B$11,Paramètres!$A$1:$I$89,3,0)*VLOOKUP('Données projet'!$B$11,Paramètres!$A$1:$I$89,5,0)</f>
        <v>24.028626332013069</v>
      </c>
      <c r="BF22" s="13">
        <f t="shared" si="37"/>
        <v>7.6482867046254057</v>
      </c>
      <c r="BG22" s="20">
        <f t="shared" si="7"/>
        <v>55.170623538812009</v>
      </c>
      <c r="BH22" s="59">
        <f t="shared" si="8"/>
        <v>269.32271778183554</v>
      </c>
      <c r="BI22" s="59">
        <f ca="1">AVERAGE(OFFSET($BH$3,0,0,'Données projet'!$E$11+1,1))-AVERAGE(OFFSET($H$3,0,0,'Données projet'!$E$11+1,1))</f>
        <v>423.80243030843661</v>
      </c>
      <c r="BJ22" s="59">
        <f t="shared" si="38"/>
        <v>260.29028006191834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5.8890909090909096</v>
      </c>
      <c r="BY22" s="12">
        <f>IF('Données projet'!$A$114&gt;35,BY21+BX22-CG21,IF(A22&lt;'Données projet'!$A$114,$BV$205^A22,IF(A22='Données projet'!$A$114,'Données projet'!$B$114,BY21+BX22-CG21)))</f>
        <v>66.743153171347927</v>
      </c>
      <c r="BZ22" s="13">
        <f>BY22*VLOOKUP('Données projet'!$B$12,Paramètres!$A$1:$I$89,3,0)*VLOOKUP('Données projet'!$B$12,Paramètres!$A$1:$I$89,5,0)</f>
        <v>39.912405596466066</v>
      </c>
      <c r="CA22" s="13">
        <f t="shared" si="39"/>
        <v>11.975427038984135</v>
      </c>
      <c r="CB22" s="20">
        <f t="shared" si="10"/>
        <v>90.371308506742437</v>
      </c>
      <c r="CC22" s="59">
        <f t="shared" si="11"/>
        <v>304.52340274976598</v>
      </c>
      <c r="CD22" s="59">
        <f ca="1">AVERAGE(OFFSET($CC$3,0,0,'Données projet'!$E$12+1,1))-AVERAGE(OFFSET($H$3,0,0,'Données projet'!$E$12+1,1))</f>
        <v>373.61861223558259</v>
      </c>
      <c r="CE22" s="59">
        <f t="shared" si="40"/>
        <v>277.62293009761049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2.85</v>
      </c>
      <c r="CT22" s="12">
        <f>IF('Données projet'!$A$140&gt;35,CT21+CS22-DB21,IF(A22&lt;'Données projet'!$A$140,$CQ$205^A22,IF(A22='Données projet'!$A$140,'Données projet'!$B$140,CT21+CS22-DB21)))</f>
        <v>46.567305884609858</v>
      </c>
      <c r="CU22" s="17">
        <f>CT22*VLOOKUP('Données projet'!$B$13,Paramètres!$A$1:$I$89,3,0)*VLOOKUP('Données projet'!$B$13,Paramètres!$A$1:$I$89,5,0)</f>
        <v>40.681198420795177</v>
      </c>
      <c r="CV22" s="13">
        <f t="shared" si="41"/>
        <v>12.179020794464504</v>
      </c>
      <c r="CW22" s="20">
        <f t="shared" si="13"/>
        <v>92.064881799910609</v>
      </c>
      <c r="CX22" s="59">
        <f t="shared" si="14"/>
        <v>306.21697604293411</v>
      </c>
      <c r="CY22" s="59">
        <f ca="1">AVERAGE(OFFSET($CX$3,0,0,'Données projet'!$E$13+1,1))-AVERAGE(OFFSET($H$3,0,0,'Données projet'!$E$13+1,1))</f>
        <v>287.28439432670405</v>
      </c>
      <c r="CZ22" s="59">
        <f t="shared" si="42"/>
        <v>276.01618888357268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9">
        <f t="shared" si="0"/>
        <v>381.58292011934685</v>
      </c>
      <c r="S23" s="59">
        <f ca="1">AVERAGE(OFFSET($R$3,0,0,'Données projet'!$E$9+1,1))-AVERAGE(OFFSET($H$3,0,0,'Données projet'!$E$9+1,1))</f>
        <v>681.47578137804555</v>
      </c>
      <c r="T23" s="59">
        <f t="shared" si="34"/>
        <v>300.88511065995885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7.7715686274509812</v>
      </c>
      <c r="AI23" s="13">
        <f>IF('Données projet'!$A$62&gt;35,AI22+AH23-AQ22,IF(A23&lt;'Données projet'!$A$62,$AF$205^A23,IF(A23='Données projet'!$A$62,'Données projet'!$B$62,AI22+AH23-AQ22)))</f>
        <v>155.43137254901961</v>
      </c>
      <c r="AJ23" s="13">
        <f>AI23*VLOOKUP('Données projet'!$B$10,Paramètres!$A$1:$I$89,3,0)*VLOOKUP('Données projet'!$B$10,Paramètres!$A$1:$I$89,5,0)</f>
        <v>72.741882352941175</v>
      </c>
      <c r="AK23" s="13">
        <f t="shared" si="35"/>
        <v>20.352833516665445</v>
      </c>
      <c r="AL23" s="20">
        <f t="shared" si="4"/>
        <v>162.13996347289819</v>
      </c>
      <c r="AM23" s="59">
        <f t="shared" si="5"/>
        <v>378.65466635979391</v>
      </c>
      <c r="AN23" s="59">
        <f ca="1">AVERAGE(OFFSET($AM$3,0,0,'Données projet'!$E$10+1,1))-AVERAGE(OFFSET($H$3,0,0,'Données projet'!$E$10+1,1))</f>
        <v>374.38106339726073</v>
      </c>
      <c r="AO23" s="59">
        <f t="shared" si="36"/>
        <v>296.53283288925957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2.8</v>
      </c>
      <c r="BD23" s="12">
        <f>IF('Données projet'!$A$88&gt;35,BD22+BC23-BL22,IF(A23&lt;'Données projet'!$A$88,$BA$205^A23,IF(A23='Données projet'!$A$88,'Données projet'!$B$88,BD22+BC23-BL22)))</f>
        <v>29.92805077569761</v>
      </c>
      <c r="BE23" s="13">
        <f>BD23*VLOOKUP('Données projet'!$B$11,Paramètres!$A$1:$I$89,3,0)*VLOOKUP('Données projet'!$B$11,Paramètres!$A$1:$I$89,5,0)</f>
        <v>28.479533118153846</v>
      </c>
      <c r="BF23" s="13">
        <f t="shared" si="37"/>
        <v>8.8874527477905296</v>
      </c>
      <c r="BG23" s="20">
        <f t="shared" si="7"/>
        <v>65.080833716519777</v>
      </c>
      <c r="BH23" s="59">
        <f t="shared" si="8"/>
        <v>281.5955366034155</v>
      </c>
      <c r="BI23" s="59">
        <f ca="1">AVERAGE(OFFSET($BH$3,0,0,'Données projet'!$E$11+1,1))-AVERAGE(OFFSET($H$3,0,0,'Données projet'!$E$11+1,1))</f>
        <v>423.80243030843661</v>
      </c>
      <c r="BJ23" s="59">
        <f t="shared" si="38"/>
        <v>260.29028006191834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5.8890909090909096</v>
      </c>
      <c r="BY23" s="12">
        <f>IF('Données projet'!$A$114&gt;35,BY22+BX23-CG22,IF(A23&lt;'Données projet'!$A$114,$BV$205^A23,IF(A23='Données projet'!$A$114,'Données projet'!$B$114,BY22+BX23-CG22)))</f>
        <v>83.25841265260587</v>
      </c>
      <c r="BZ23" s="13">
        <f>BY23*VLOOKUP('Données projet'!$B$12,Paramètres!$A$1:$I$89,3,0)*VLOOKUP('Données projet'!$B$12,Paramètres!$A$1:$I$89,5,0)</f>
        <v>49.788530766258319</v>
      </c>
      <c r="CA23" s="13">
        <f t="shared" si="39"/>
        <v>14.559133347501747</v>
      </c>
      <c r="CB23" s="20">
        <f t="shared" si="10"/>
        <v>112.07218166479875</v>
      </c>
      <c r="CC23" s="59">
        <f t="shared" si="11"/>
        <v>328.58688455169448</v>
      </c>
      <c r="CD23" s="59">
        <f ca="1">AVERAGE(OFFSET($CC$3,0,0,'Données projet'!$E$12+1,1))-AVERAGE(OFFSET($H$3,0,0,'Données projet'!$E$12+1,1))</f>
        <v>373.61861223558259</v>
      </c>
      <c r="CE23" s="59">
        <f t="shared" si="40"/>
        <v>277.62293009761049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57</v>
      </c>
      <c r="CR23" s="12">
        <f>VLOOKUP(A23,'Données projet'!$A$139:$I$159,9,0)</f>
        <v>2.85</v>
      </c>
      <c r="CS23" s="12">
        <f t="array" ref="CS23">INDEX(CR:CR,MIN(IF(ISNUMBER(CR23:CR219),ROW(CR23:CR219),"")))</f>
        <v>2.85</v>
      </c>
      <c r="CT23" s="12">
        <f>IF('Données projet'!$A$140&gt;35,CT22+CS23-DB22,IF(A23&lt;'Données projet'!$A$140,$CQ$205^A23,IF(A23='Données projet'!$A$140,'Données projet'!$B$140,CT22+CS23-DB22)))</f>
        <v>57</v>
      </c>
      <c r="CU23" s="17">
        <f>CT23*VLOOKUP('Données projet'!$B$13,Paramètres!$A$1:$I$89,3,0)*VLOOKUP('Données projet'!$B$13,Paramètres!$A$1:$I$89,5,0)</f>
        <v>49.795200000000001</v>
      </c>
      <c r="CV23" s="13">
        <f t="shared" si="41"/>
        <v>14.560856542690781</v>
      </c>
      <c r="CW23" s="20">
        <f t="shared" si="13"/>
        <v>112.08679847851977</v>
      </c>
      <c r="CX23" s="59">
        <f t="shared" si="14"/>
        <v>328.60150136541552</v>
      </c>
      <c r="CY23" s="59">
        <f ca="1">AVERAGE(OFFSET($CX$3,0,0,'Données projet'!$E$13+1,1))-AVERAGE(OFFSET($H$3,0,0,'Données projet'!$E$13+1,1))</f>
        <v>287.28439432670405</v>
      </c>
      <c r="CZ23" s="59">
        <f t="shared" si="42"/>
        <v>276.01618888357268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2.6765881483138987</v>
      </c>
      <c r="DH23" s="21">
        <f>EXP(-LN(2)/2)*DH22+(1-EXP(-LN(2)/2))/(LN(2)/2)*DB23*DE23*VLOOKUP('Données projet'!$B$13,Paramètres!$A$1:$I$89,3,0)*0.475*44/12</f>
        <v>4.3273918411461532</v>
      </c>
      <c r="DI23" s="22">
        <f t="shared" si="15"/>
        <v>7.0039799894600518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9">
        <f t="shared" si="0"/>
        <v>391.96492680211463</v>
      </c>
      <c r="S24" s="59">
        <f ca="1">AVERAGE(OFFSET($R$3,0,0,'Données projet'!$E$9+1,1))-AVERAGE(OFFSET($H$3,0,0,'Données projet'!$E$9+1,1))</f>
        <v>681.47578137804555</v>
      </c>
      <c r="T24" s="59">
        <f t="shared" si="34"/>
        <v>300.88511065995885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7.7715686274509812</v>
      </c>
      <c r="AI24" s="13">
        <f>IF('Données projet'!$A$62&gt;35,AI23+AH24-AQ23,IF(A24&lt;'Données projet'!$A$62,$AF$205^A24,IF(A24='Données projet'!$A$62,'Données projet'!$B$62,AI23+AH24-AQ23)))</f>
        <v>163.2029411764706</v>
      </c>
      <c r="AJ24" s="13">
        <f>AI24*VLOOKUP('Données projet'!$B$10,Paramètres!$A$1:$I$89,3,0)*VLOOKUP('Données projet'!$B$10,Paramètres!$A$1:$I$89,5,0)</f>
        <v>76.378976470588242</v>
      </c>
      <c r="AK24" s="13">
        <f t="shared" si="35"/>
        <v>21.249452501517116</v>
      </c>
      <c r="AL24" s="20">
        <f t="shared" si="4"/>
        <v>170.03618045975017</v>
      </c>
      <c r="AM24" s="59">
        <f t="shared" si="5"/>
        <v>388.89370883562458</v>
      </c>
      <c r="AN24" s="59">
        <f ca="1">AVERAGE(OFFSET($AM$3,0,0,'Données projet'!$E$10+1,1))-AVERAGE(OFFSET($H$3,0,0,'Données projet'!$E$10+1,1))</f>
        <v>374.38106339726073</v>
      </c>
      <c r="AO24" s="59">
        <f t="shared" si="36"/>
        <v>296.53283288925957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2.8</v>
      </c>
      <c r="BD24" s="12">
        <f>IF('Données projet'!$A$88&gt;35,BD23+BC24-BL23,IF(A24&lt;'Données projet'!$A$88,$BA$205^A24,IF(A24='Données projet'!$A$88,'Données projet'!$B$88,BD23+BC24-BL23)))</f>
        <v>35.471728656111772</v>
      </c>
      <c r="BE24" s="13">
        <f>BD24*VLOOKUP('Données projet'!$B$11,Paramètres!$A$1:$I$89,3,0)*VLOOKUP('Données projet'!$B$11,Paramètres!$A$1:$I$89,5,0)</f>
        <v>33.754896989155966</v>
      </c>
      <c r="BF24" s="13">
        <f t="shared" si="37"/>
        <v>10.327386955361005</v>
      </c>
      <c r="BG24" s="20">
        <f t="shared" si="7"/>
        <v>76.776644536700402</v>
      </c>
      <c r="BH24" s="59">
        <f t="shared" si="8"/>
        <v>295.6341729125748</v>
      </c>
      <c r="BI24" s="59">
        <f ca="1">AVERAGE(OFFSET($BH$3,0,0,'Données projet'!$E$11+1,1))-AVERAGE(OFFSET($H$3,0,0,'Données projet'!$E$11+1,1))</f>
        <v>423.80243030843661</v>
      </c>
      <c r="BJ24" s="59">
        <f t="shared" si="38"/>
        <v>260.29028006191834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5.8890909090909096</v>
      </c>
      <c r="BY24" s="12">
        <f>IF('Données projet'!$A$114&gt;35,BY23+BX24-CG23,IF(A24&lt;'Données projet'!$A$114,$BV$205^A24,IF(A24='Données projet'!$A$114,'Données projet'!$B$114,BY23+BX24-CG23)))</f>
        <v>103.86029050253822</v>
      </c>
      <c r="BZ24" s="13">
        <f>BY24*VLOOKUP('Données projet'!$B$12,Paramètres!$A$1:$I$89,3,0)*VLOOKUP('Données projet'!$B$12,Paramètres!$A$1:$I$89,5,0)</f>
        <v>62.108453720517858</v>
      </c>
      <c r="CA24" s="13">
        <f t="shared" si="39"/>
        <v>17.700276001875135</v>
      </c>
      <c r="CB24" s="20">
        <f t="shared" si="10"/>
        <v>139.00020426650113</v>
      </c>
      <c r="CC24" s="59">
        <f t="shared" si="11"/>
        <v>357.85773264237548</v>
      </c>
      <c r="CD24" s="59">
        <f ca="1">AVERAGE(OFFSET($CC$3,0,0,'Données projet'!$E$12+1,1))-AVERAGE(OFFSET($H$3,0,0,'Données projet'!$E$12+1,1))</f>
        <v>373.61861223558259</v>
      </c>
      <c r="CE24" s="59">
        <f t="shared" si="40"/>
        <v>277.62293009761049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40.185600000000001</v>
      </c>
      <c r="CV24" s="13">
        <f t="shared" si="41"/>
        <v>12.047826945473735</v>
      </c>
      <c r="CW24" s="20">
        <f t="shared" si="13"/>
        <v>90.973218596700079</v>
      </c>
      <c r="CX24" s="59">
        <f t="shared" si="14"/>
        <v>309.83074697257445</v>
      </c>
      <c r="CY24" s="59">
        <f ca="1">AVERAGE(OFFSET($CX$3,0,0,'Données projet'!$E$13+1,1))-AVERAGE(OFFSET($H$3,0,0,'Données projet'!$E$13+1,1))</f>
        <v>287.28439432670405</v>
      </c>
      <c r="CZ24" s="59">
        <f t="shared" si="42"/>
        <v>276.01618888357268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2.6033967046426016</v>
      </c>
      <c r="DH24" s="21">
        <f>EXP(-LN(2)/2)*DH23+(1-EXP(-LN(2)/2))/(LN(2)/2)*DB24*DE24*VLOOKUP('Données projet'!$B$13,Paramètres!$A$1:$I$89,3,0)*0.475*44/12</f>
        <v>3.0599281157257843</v>
      </c>
      <c r="DI24" s="22">
        <f t="shared" si="15"/>
        <v>5.6633248203683859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9">
        <f t="shared" si="0"/>
        <v>402.3187169559705</v>
      </c>
      <c r="S25" s="59">
        <f ca="1">AVERAGE(OFFSET($R$3,0,0,'Données projet'!$E$9+1,1))-AVERAGE(OFFSET($H$3,0,0,'Données projet'!$E$9+1,1))</f>
        <v>681.47578137804555</v>
      </c>
      <c r="T25" s="59">
        <f t="shared" si="34"/>
        <v>300.88511065995885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7.7715686274509812</v>
      </c>
      <c r="AI25" s="13">
        <f>IF('Données projet'!$A$62&gt;35,AI24+AH25-AQ24,IF(A25&lt;'Données projet'!$A$62,$AF$205^A25,IF(A25='Données projet'!$A$62,'Données projet'!$B$62,AI24+AH25-AQ24)))</f>
        <v>170.97450980392159</v>
      </c>
      <c r="AJ25" s="13">
        <f>AI25*VLOOKUP('Données projet'!$B$10,Paramètres!$A$1:$I$89,3,0)*VLOOKUP('Données projet'!$B$10,Paramètres!$A$1:$I$89,5,0)</f>
        <v>80.016070588235308</v>
      </c>
      <c r="AK25" s="13">
        <f t="shared" si="35"/>
        <v>22.14111342509517</v>
      </c>
      <c r="AL25" s="20">
        <f t="shared" si="4"/>
        <v>177.92376215655057</v>
      </c>
      <c r="AM25" s="59">
        <f t="shared" si="5"/>
        <v>399.10467606001896</v>
      </c>
      <c r="AN25" s="59">
        <f ca="1">AVERAGE(OFFSET($AM$3,0,0,'Données projet'!$E$10+1,1))-AVERAGE(OFFSET($H$3,0,0,'Données projet'!$E$10+1,1))</f>
        <v>374.38106339726073</v>
      </c>
      <c r="AO25" s="59">
        <f t="shared" si="36"/>
        <v>296.53283288925957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2.8</v>
      </c>
      <c r="BD25" s="12">
        <f>IF('Données projet'!$A$88&gt;35,BD24+BC25-BL24,IF(A25&lt;'Données projet'!$A$88,$BA$205^A25,IF(A25='Données projet'!$A$88,'Données projet'!$B$88,BD24+BC25-BL24)))</f>
        <v>42.042281446359659</v>
      </c>
      <c r="BE25" s="13">
        <f>BD25*VLOOKUP('Données projet'!$B$11,Paramètres!$A$1:$I$89,3,0)*VLOOKUP('Données projet'!$B$11,Paramètres!$A$1:$I$89,5,0)</f>
        <v>40.00743502435585</v>
      </c>
      <c r="BF25" s="13">
        <f t="shared" si="37"/>
        <v>12.000617539404164</v>
      </c>
      <c r="BG25" s="20">
        <f t="shared" si="7"/>
        <v>90.5806915485487</v>
      </c>
      <c r="BH25" s="59">
        <f t="shared" si="8"/>
        <v>311.76160545201708</v>
      </c>
      <c r="BI25" s="59">
        <f ca="1">AVERAGE(OFFSET($BH$3,0,0,'Données projet'!$E$11+1,1))-AVERAGE(OFFSET($H$3,0,0,'Données projet'!$E$11+1,1))</f>
        <v>423.80243030843661</v>
      </c>
      <c r="BJ25" s="59">
        <f t="shared" si="38"/>
        <v>260.29028006191834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129.56</v>
      </c>
      <c r="BW25" s="12">
        <f>VLOOKUP(A25,'Données projet'!$A$113:$I$133,9,0)</f>
        <v>5.8890909090909096</v>
      </c>
      <c r="BX25" s="12">
        <f t="array" ref="BX25">INDEX(BW:BW,MIN(IF(ISNUMBER(BW25:BW221),ROW(BW25:BW221),"")))</f>
        <v>5.8890909090909096</v>
      </c>
      <c r="BY25" s="12">
        <f>IF('Données projet'!$A$114&gt;35,BY24+BX25-CG24,IF(A25&lt;'Données projet'!$A$114,$BV$205^A25,IF(A25='Données projet'!$A$114,'Données projet'!$B$114,BY24+BX25-CG24)))</f>
        <v>129.56</v>
      </c>
      <c r="BZ25" s="13">
        <f>BY25*VLOOKUP('Données projet'!$B$12,Paramètres!$A$1:$I$89,3,0)*VLOOKUP('Données projet'!$B$12,Paramètres!$A$1:$I$89,5,0)</f>
        <v>77.476880000000008</v>
      </c>
      <c r="CA25" s="13">
        <f t="shared" si="39"/>
        <v>21.519122262611628</v>
      </c>
      <c r="CB25" s="20">
        <f t="shared" si="10"/>
        <v>172.4180372740486</v>
      </c>
      <c r="CC25" s="59">
        <f t="shared" si="11"/>
        <v>393.59895117751699</v>
      </c>
      <c r="CD25" s="59">
        <f ca="1">AVERAGE(OFFSET($CC$3,0,0,'Données projet'!$E$12+1,1))-AVERAGE(OFFSET($H$3,0,0,'Données projet'!$E$12+1,1))</f>
        <v>373.61861223558259</v>
      </c>
      <c r="CE25" s="59">
        <f t="shared" si="40"/>
        <v>277.62293009761049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52.620000000000005</v>
      </c>
      <c r="CH25" s="16">
        <f>IF(ISNA(VLOOKUP(A25,'Données projet'!$A$113:$I$133,5,0)),0%,VLOOKUP(A25,'Données projet'!$A$113:$I$133,5,0)*VLOOKUP('Données projet'!$B$12,Paramètres!$A$1:$I$89,7,0))</f>
        <v>0.1125</v>
      </c>
      <c r="CI25" s="16">
        <f>IF(ISNA(VLOOKUP(A25,'Données projet'!$A$113:$I$133,6,0)),0%,VLOOKUP(A25,'Données projet'!$A$113:$I$133,6,0)*VLOOKUP('Données projet'!$B$12,Paramètres!$A$1:$I$89,7,0))</f>
        <v>0.16650000000000001</v>
      </c>
      <c r="CJ25" s="16">
        <f>IF(ISNA(VLOOKUP(A25,'Données projet'!$A$113:$I$133,7,0)),0%,VLOOKUP(A25,'Données projet'!$A$113:$I$133,7,0))</f>
        <v>0.38</v>
      </c>
      <c r="CK25" s="21">
        <f>EXP(-LN(2)/35)*CK24+(1-EXP(-LN(2)/35))/(LN(2)/35)*CG25*CH25*VLOOKUP('Données projet'!$B$12,Paramètres!$A$1:$I$89,3,0)*0.475*44/12</f>
        <v>4.6960521011827554</v>
      </c>
      <c r="CL25" s="21">
        <f>EXP(-LN(2)/25)*CL24+(1-EXP(-LN(2)/25))/(LN(2)/25)*Calculateur!CG25*Calculateur!CI25*VLOOKUP('Données projet'!$B$12,Paramètres!$A$1:$I$89,3,0)*0.475*44/12</f>
        <v>6.9227916929919147</v>
      </c>
      <c r="CM25" s="21">
        <f>EXP(-LN(2)/2)*CM24+(1-EXP(-LN(2)/2))/(LN(2)/2)*CG25*CJ25*VLOOKUP('Données projet'!$B$12,Paramètres!$A$1:$I$89,3,0)*0.475*44/12</f>
        <v>13.538519148795281</v>
      </c>
      <c r="CN25" s="22">
        <f t="shared" si="12"/>
        <v>25.15736294296995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48.921600000000005</v>
      </c>
      <c r="CV25" s="13">
        <f t="shared" si="41"/>
        <v>14.334905731333867</v>
      </c>
      <c r="CW25" s="20">
        <f t="shared" si="13"/>
        <v>110.17174748207316</v>
      </c>
      <c r="CX25" s="59">
        <f t="shared" si="14"/>
        <v>331.35266138554152</v>
      </c>
      <c r="CY25" s="59">
        <f ca="1">AVERAGE(OFFSET($CX$3,0,0,'Données projet'!$E$13+1,1))-AVERAGE(OFFSET($H$3,0,0,'Données projet'!$E$13+1,1))</f>
        <v>287.28439432670405</v>
      </c>
      <c r="CZ25" s="59">
        <f t="shared" si="42"/>
        <v>276.01618888357268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2.5322066848474671</v>
      </c>
      <c r="DH25" s="21">
        <f>EXP(-LN(2)/2)*DH24+(1-EXP(-LN(2)/2))/(LN(2)/2)*DB25*DE25*VLOOKUP('Données projet'!$B$13,Paramètres!$A$1:$I$89,3,0)*0.475*44/12</f>
        <v>2.163695920573077</v>
      </c>
      <c r="DI25" s="22">
        <f t="shared" si="15"/>
        <v>4.6959026054205442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9">
        <f t="shared" si="0"/>
        <v>412.64507232834274</v>
      </c>
      <c r="S26" s="59">
        <f ca="1">AVERAGE(OFFSET($R$3,0,0,'Données projet'!$E$9+1,1))-AVERAGE(OFFSET($H$3,0,0,'Données projet'!$E$9+1,1))</f>
        <v>681.47578137804555</v>
      </c>
      <c r="T26" s="59">
        <f t="shared" si="34"/>
        <v>300.88511065995885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7.7715686274509812</v>
      </c>
      <c r="AI26" s="13">
        <f>IF('Données projet'!$A$62&gt;35,AI25+AH26-AQ25,IF(A26&lt;'Données projet'!$A$62,$AF$205^A26,IF(A26='Données projet'!$A$62,'Données projet'!$B$62,AI25+AH26-AQ25)))</f>
        <v>178.74607843137258</v>
      </c>
      <c r="AJ26" s="13">
        <f>AI26*VLOOKUP('Données projet'!$B$10,Paramètres!$A$1:$I$89,3,0)*VLOOKUP('Données projet'!$B$10,Paramètres!$A$1:$I$89,5,0)</f>
        <v>83.653164705882375</v>
      </c>
      <c r="AK26" s="13">
        <f t="shared" si="35"/>
        <v>23.028067398749322</v>
      </c>
      <c r="AL26" s="20">
        <f t="shared" si="4"/>
        <v>185.80314591556689</v>
      </c>
      <c r="AM26" s="59">
        <f t="shared" si="5"/>
        <v>409.28834262511339</v>
      </c>
      <c r="AN26" s="59">
        <f ca="1">AVERAGE(OFFSET($AM$3,0,0,'Données projet'!$E$10+1,1))-AVERAGE(OFFSET($H$3,0,0,'Données projet'!$E$10+1,1))</f>
        <v>374.38106339726073</v>
      </c>
      <c r="AO26" s="59">
        <f t="shared" si="36"/>
        <v>296.53283288925957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2.8</v>
      </c>
      <c r="BD26" s="12">
        <f>IF('Données projet'!$A$88&gt;35,BD25+BC26-BL25,IF(A26&lt;'Données projet'!$A$88,$BA$205^A26,IF(A26='Données projet'!$A$88,'Données projet'!$B$88,BD25+BC26-BL25)))</f>
        <v>49.82992078990118</v>
      </c>
      <c r="BE26" s="13">
        <f>BD26*VLOOKUP('Données projet'!$B$11,Paramètres!$A$1:$I$89,3,0)*VLOOKUP('Données projet'!$B$11,Paramètres!$A$1:$I$89,5,0)</f>
        <v>47.418152623669961</v>
      </c>
      <c r="BF26" s="13">
        <f t="shared" si="37"/>
        <v>13.944942893061231</v>
      </c>
      <c r="BG26" s="20">
        <f t="shared" si="7"/>
        <v>106.87405802497348</v>
      </c>
      <c r="BH26" s="59">
        <f t="shared" si="8"/>
        <v>330.35925473451999</v>
      </c>
      <c r="BI26" s="59">
        <f ca="1">AVERAGE(OFFSET($BH$3,0,0,'Données projet'!$E$11+1,1))-AVERAGE(OFFSET($H$3,0,0,'Données projet'!$E$11+1,1))</f>
        <v>423.80243030843661</v>
      </c>
      <c r="BJ26" s="59">
        <f t="shared" si="38"/>
        <v>260.29028006191834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15.782</v>
      </c>
      <c r="BY26" s="12">
        <f>IF('Données projet'!$A$114&gt;35,BY25+BX26-CG25,IF(A26&lt;'Données projet'!$A$114,$BV$205^A26,IF(A26='Données projet'!$A$114,'Données projet'!$B$114,BY25+BX26-CG25)))</f>
        <v>92.722000000000008</v>
      </c>
      <c r="BZ26" s="13">
        <f>BY26*VLOOKUP('Données projet'!$B$12,Paramètres!$A$1:$I$89,3,0)*VLOOKUP('Données projet'!$B$12,Paramètres!$A$1:$I$89,5,0)</f>
        <v>55.447756000000005</v>
      </c>
      <c r="CA26" s="13">
        <f t="shared" si="39"/>
        <v>16.012087139856263</v>
      </c>
      <c r="CB26" s="20">
        <f t="shared" si="10"/>
        <v>124.45922680191636</v>
      </c>
      <c r="CC26" s="59">
        <f t="shared" si="11"/>
        <v>347.94442351146284</v>
      </c>
      <c r="CD26" s="59">
        <f ca="1">AVERAGE(OFFSET($CC$3,0,0,'Données projet'!$E$12+1,1))-AVERAGE(OFFSET($H$3,0,0,'Données projet'!$E$12+1,1))</f>
        <v>373.61861223558259</v>
      </c>
      <c r="CE26" s="59">
        <f t="shared" si="40"/>
        <v>277.62293009761049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4.6039653837875161</v>
      </c>
      <c r="CL26" s="21">
        <f>EXP(-LN(2)/25)*CL25+(1-EXP(-LN(2)/25))/(LN(2)/25)*Calculateur!CG26*Calculateur!CI26*VLOOKUP('Données projet'!$B$12,Paramètres!$A$1:$I$89,3,0)*0.475*44/12</f>
        <v>6.733487590093258</v>
      </c>
      <c r="CM26" s="21">
        <f>EXP(-LN(2)/2)*CM25+(1-EXP(-LN(2)/2))/(LN(2)/2)*CG26*CJ26*VLOOKUP('Données projet'!$B$12,Paramètres!$A$1:$I$89,3,0)*0.475*44/12</f>
        <v>9.5731786973370685</v>
      </c>
      <c r="CN26" s="22">
        <f t="shared" si="12"/>
        <v>20.910631671217843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57.657600000000002</v>
      </c>
      <c r="CV26" s="13">
        <f t="shared" si="41"/>
        <v>16.574671209026025</v>
      </c>
      <c r="CW26" s="20">
        <f t="shared" si="13"/>
        <v>129.28787235572034</v>
      </c>
      <c r="CX26" s="59">
        <f t="shared" si="14"/>
        <v>352.77306906526684</v>
      </c>
      <c r="CY26" s="59">
        <f ca="1">AVERAGE(OFFSET($CX$3,0,0,'Données projet'!$E$13+1,1))-AVERAGE(OFFSET($H$3,0,0,'Données projet'!$E$13+1,1))</f>
        <v>287.28439432670405</v>
      </c>
      <c r="CZ26" s="59">
        <f t="shared" si="42"/>
        <v>276.01618888357268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2.4629633598873508</v>
      </c>
      <c r="DH26" s="21">
        <f>EXP(-LN(2)/2)*DH25+(1-EXP(-LN(2)/2))/(LN(2)/2)*DB26*DE26*VLOOKUP('Données projet'!$B$13,Paramètres!$A$1:$I$89,3,0)*0.475*44/12</f>
        <v>1.5299640578628924</v>
      </c>
      <c r="DI26" s="22">
        <f t="shared" si="15"/>
        <v>3.9929274177502432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9">
        <f t="shared" si="0"/>
        <v>422.94472797765172</v>
      </c>
      <c r="S27" s="59">
        <f ca="1">AVERAGE(OFFSET($R$3,0,0,'Données projet'!$E$9+1,1))-AVERAGE(OFFSET($H$3,0,0,'Données projet'!$E$9+1,1))</f>
        <v>681.47578137804555</v>
      </c>
      <c r="T27" s="59">
        <f t="shared" si="34"/>
        <v>300.88511065995885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7.7715686274509812</v>
      </c>
      <c r="AI27" s="13">
        <f>IF('Données projet'!$A$62&gt;35,AI26+AH27-AQ26,IF(A27&lt;'Données projet'!$A$62,$AF$205^A27,IF(A27='Données projet'!$A$62,'Données projet'!$B$62,AI26+AH27-AQ26)))</f>
        <v>186.51764705882357</v>
      </c>
      <c r="AJ27" s="13">
        <f>AI27*VLOOKUP('Données projet'!$B$10,Paramètres!$A$1:$I$89,3,0)*VLOOKUP('Données projet'!$B$10,Paramètres!$A$1:$I$89,5,0)</f>
        <v>87.290258823529442</v>
      </c>
      <c r="AK27" s="13">
        <f t="shared" si="35"/>
        <v>23.910542463246056</v>
      </c>
      <c r="AL27" s="20">
        <f t="shared" si="4"/>
        <v>193.67472890780064</v>
      </c>
      <c r="AM27" s="59">
        <f t="shared" si="5"/>
        <v>419.44543709142044</v>
      </c>
      <c r="AN27" s="59">
        <f ca="1">AVERAGE(OFFSET($AM$3,0,0,'Données projet'!$E$10+1,1))-AVERAGE(OFFSET($H$3,0,0,'Données projet'!$E$10+1,1))</f>
        <v>374.38106339726073</v>
      </c>
      <c r="AO27" s="59">
        <f t="shared" si="36"/>
        <v>296.53283288925957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2.8</v>
      </c>
      <c r="BD27" s="12">
        <f>IF('Données projet'!$A$88&gt;35,BD26+BC27-BL26,IF(A27&lt;'Données projet'!$A$88,$BA$205^A27,IF(A27='Données projet'!$A$88,'Données projet'!$B$88,BD26+BC27-BL26)))</f>
        <v>59.060091900479499</v>
      </c>
      <c r="BE27" s="13">
        <f>BD27*VLOOKUP('Données projet'!$B$11,Paramètres!$A$1:$I$89,3,0)*VLOOKUP('Données projet'!$B$11,Paramètres!$A$1:$I$89,5,0)</f>
        <v>56.201583452496287</v>
      </c>
      <c r="BF27" s="13">
        <f t="shared" si="37"/>
        <v>16.204285458829325</v>
      </c>
      <c r="BG27" s="20">
        <f t="shared" si="7"/>
        <v>126.10688835389209</v>
      </c>
      <c r="BH27" s="59">
        <f t="shared" si="8"/>
        <v>351.87759653751186</v>
      </c>
      <c r="BI27" s="59">
        <f ca="1">AVERAGE(OFFSET($BH$3,0,0,'Données projet'!$E$11+1,1))-AVERAGE(OFFSET($H$3,0,0,'Données projet'!$E$11+1,1))</f>
        <v>423.80243030843661</v>
      </c>
      <c r="BJ27" s="59">
        <f t="shared" si="38"/>
        <v>260.29028006191834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15.782</v>
      </c>
      <c r="BY27" s="12">
        <f>IF('Données projet'!$A$114&gt;35,BY26+BX27-CG26,IF(A27&lt;'Données projet'!$A$114,$BV$205^A27,IF(A27='Données projet'!$A$114,'Données projet'!$B$114,BY26+BX27-CG26)))</f>
        <v>108.504</v>
      </c>
      <c r="BZ27" s="13">
        <f>BY27*VLOOKUP('Données projet'!$B$12,Paramètres!$A$1:$I$89,3,0)*VLOOKUP('Données projet'!$B$12,Paramètres!$A$1:$I$89,5,0)</f>
        <v>64.88539200000001</v>
      </c>
      <c r="CA27" s="13">
        <f t="shared" si="39"/>
        <v>18.397766162676771</v>
      </c>
      <c r="CB27" s="20">
        <f t="shared" si="10"/>
        <v>145.05150046666205</v>
      </c>
      <c r="CC27" s="59">
        <f t="shared" si="11"/>
        <v>370.82220865028182</v>
      </c>
      <c r="CD27" s="59">
        <f ca="1">AVERAGE(OFFSET($CC$3,0,0,'Données projet'!$E$12+1,1))-AVERAGE(OFFSET($H$3,0,0,'Données projet'!$E$12+1,1))</f>
        <v>373.61861223558259</v>
      </c>
      <c r="CE27" s="59">
        <f t="shared" si="40"/>
        <v>277.62293009761049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4.5136844307530462</v>
      </c>
      <c r="CL27" s="21">
        <f>EXP(-LN(2)/25)*CL26+(1-EXP(-LN(2)/25))/(LN(2)/25)*Calculateur!CG27*Calculateur!CI27*VLOOKUP('Données projet'!$B$12,Paramètres!$A$1:$I$89,3,0)*0.475*44/12</f>
        <v>6.5493600178434352</v>
      </c>
      <c r="CM27" s="21">
        <f>EXP(-LN(2)/2)*CM26+(1-EXP(-LN(2)/2))/(LN(2)/2)*CG27*CJ27*VLOOKUP('Données projet'!$B$12,Paramètres!$A$1:$I$89,3,0)*0.475*44/12</f>
        <v>6.7692595743976414</v>
      </c>
      <c r="CN27" s="22">
        <f t="shared" si="12"/>
        <v>17.832304022994123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66.393600000000006</v>
      </c>
      <c r="CV27" s="13">
        <f t="shared" si="41"/>
        <v>18.775122997078544</v>
      </c>
      <c r="CW27" s="20">
        <f t="shared" si="13"/>
        <v>148.33552588657844</v>
      </c>
      <c r="CX27" s="59">
        <f t="shared" si="14"/>
        <v>374.10623407019824</v>
      </c>
      <c r="CY27" s="59">
        <f ca="1">AVERAGE(OFFSET($CX$3,0,0,'Données projet'!$E$13+1,1))-AVERAGE(OFFSET($H$3,0,0,'Données projet'!$E$13+1,1))</f>
        <v>287.28439432670405</v>
      </c>
      <c r="CZ27" s="59">
        <f t="shared" si="42"/>
        <v>276.01618888357268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2.3956134972896175</v>
      </c>
      <c r="DH27" s="21">
        <f>EXP(-LN(2)/2)*DH26+(1-EXP(-LN(2)/2))/(LN(2)/2)*DB27*DE27*VLOOKUP('Données projet'!$B$13,Paramètres!$A$1:$I$89,3,0)*0.475*44/12</f>
        <v>1.0818479602865387</v>
      </c>
      <c r="DI27" s="22">
        <f t="shared" si="15"/>
        <v>3.4774614575761564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9">
        <f t="shared" si="0"/>
        <v>433.21837767121258</v>
      </c>
      <c r="S28" s="59">
        <f ca="1">AVERAGE(OFFSET($R$3,0,0,'Données projet'!$E$9+1,1))-AVERAGE(OFFSET($H$3,0,0,'Données projet'!$E$9+1,1))</f>
        <v>681.47578137804555</v>
      </c>
      <c r="T28" s="59">
        <f t="shared" si="34"/>
        <v>300.88511065995885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7.7715686274509812</v>
      </c>
      <c r="AI28" s="13">
        <f>IF('Données projet'!$A$62&gt;35,AI27+AH28-AQ27,IF(A28&lt;'Données projet'!$A$62,$AF$205^A28,IF(A28='Données projet'!$A$62,'Données projet'!$B$62,AI27+AH28-AQ27)))</f>
        <v>194.28921568627456</v>
      </c>
      <c r="AJ28" s="13">
        <f>AI28*VLOOKUP('Données projet'!$B$10,Paramètres!$A$1:$I$89,3,0)*VLOOKUP('Données projet'!$B$10,Paramètres!$A$1:$I$89,5,0)</f>
        <v>90.92735294117648</v>
      </c>
      <c r="AK28" s="13">
        <f t="shared" si="35"/>
        <v>24.788746580819698</v>
      </c>
      <c r="AL28" s="20">
        <f t="shared" si="4"/>
        <v>201.53887333414332</v>
      </c>
      <c r="AM28" s="59">
        <f t="shared" si="5"/>
        <v>429.57664730047543</v>
      </c>
      <c r="AN28" s="59">
        <f ca="1">AVERAGE(OFFSET($AM$3,0,0,'Données projet'!$E$10+1,1))-AVERAGE(OFFSET($H$3,0,0,'Données projet'!$E$10+1,1))</f>
        <v>374.38106339726073</v>
      </c>
      <c r="AO28" s="59">
        <f t="shared" si="36"/>
        <v>296.53283288925957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2.8</v>
      </c>
      <c r="BC28" s="12">
        <f t="array" ref="BC28">INDEX(BB:BB,MIN(IF(ISNUMBER(BB28:BB224),ROW(BB28:BB224),"")))</f>
        <v>2.8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66.611999999999995</v>
      </c>
      <c r="BF28" s="13">
        <f t="shared" si="37"/>
        <v>18.829683939536395</v>
      </c>
      <c r="BG28" s="20">
        <f t="shared" si="7"/>
        <v>148.81093286135922</v>
      </c>
      <c r="BH28" s="59">
        <f t="shared" si="8"/>
        <v>376.84870682769133</v>
      </c>
      <c r="BI28" s="59">
        <f ca="1">AVERAGE(OFFSET($BH$3,0,0,'Données projet'!$E$11+1,1))-AVERAGE(OFFSET($H$3,0,0,'Données projet'!$E$11+1,1))</f>
        <v>423.80243030843661</v>
      </c>
      <c r="BJ28" s="59">
        <f t="shared" si="38"/>
        <v>260.29028006191834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0.1075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0.9011283163942182</v>
      </c>
      <c r="BR28" s="21">
        <f>EXP(-LN(2)/2)*BR27+(1-EXP(-LN(2)/2))/(LN(2)/2)*BL28*BO28*VLOOKUP('Données projet'!$B$11,Paramètres!$A$1:$I$89,3,0)*0.475*44/12</f>
        <v>1.7957204238769748</v>
      </c>
      <c r="BS28" s="22">
        <f t="shared" si="9"/>
        <v>2.6968487402711929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15.782</v>
      </c>
      <c r="BY28" s="12">
        <f>IF('Données projet'!$A$114&gt;35,BY27+BX28-CG27,IF(A28&lt;'Données projet'!$A$114,$BV$205^A28,IF(A28='Données projet'!$A$114,'Données projet'!$B$114,BY27+BX28-CG27)))</f>
        <v>124.286</v>
      </c>
      <c r="BZ28" s="13">
        <f>BY28*VLOOKUP('Données projet'!$B$12,Paramètres!$A$1:$I$89,3,0)*VLOOKUP('Données projet'!$B$12,Paramètres!$A$1:$I$89,5,0)</f>
        <v>74.323028000000008</v>
      </c>
      <c r="CA28" s="13">
        <f t="shared" si="39"/>
        <v>20.743244990540482</v>
      </c>
      <c r="CB28" s="20">
        <f t="shared" si="10"/>
        <v>165.57375879185801</v>
      </c>
      <c r="CC28" s="59">
        <f t="shared" si="11"/>
        <v>393.61153275819015</v>
      </c>
      <c r="CD28" s="59">
        <f ca="1">AVERAGE(OFFSET($CC$3,0,0,'Données projet'!$E$12+1,1))-AVERAGE(OFFSET($H$3,0,0,'Données projet'!$E$12+1,1))</f>
        <v>373.61861223558259</v>
      </c>
      <c r="CE28" s="59">
        <f t="shared" si="40"/>
        <v>277.62293009761049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4.4251738321416383</v>
      </c>
      <c r="CL28" s="21">
        <f>EXP(-LN(2)/25)*CL27+(1-EXP(-LN(2)/25))/(LN(2)/25)*Calculateur!CG28*Calculateur!CI28*VLOOKUP('Données projet'!$B$12,Paramètres!$A$1:$I$89,3,0)*0.475*44/12</f>
        <v>6.370267423739632</v>
      </c>
      <c r="CM28" s="21">
        <f>EXP(-LN(2)/2)*CM27+(1-EXP(-LN(2)/2))/(LN(2)/2)*CG28*CJ28*VLOOKUP('Données projet'!$B$12,Paramètres!$A$1:$I$89,3,0)*0.475*44/12</f>
        <v>4.7865893486685351</v>
      </c>
      <c r="CN28" s="22">
        <f t="shared" si="12"/>
        <v>15.582030604549805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75.129600000000011</v>
      </c>
      <c r="CV28" s="13">
        <f t="shared" si="41"/>
        <v>20.942027818647581</v>
      </c>
      <c r="CW28" s="20">
        <f t="shared" si="13"/>
        <v>167.32475178414452</v>
      </c>
      <c r="CX28" s="59">
        <f t="shared" si="14"/>
        <v>395.36252575047661</v>
      </c>
      <c r="CY28" s="59">
        <f ca="1">AVERAGE(OFFSET($CX$3,0,0,'Données projet'!$E$13+1,1))-AVERAGE(OFFSET($H$3,0,0,'Données projet'!$E$13+1,1))</f>
        <v>287.28439432670405</v>
      </c>
      <c r="CZ28" s="59">
        <f t="shared" si="42"/>
        <v>276.01618888357268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5.0066934685402931</v>
      </c>
      <c r="DH28" s="21">
        <f>EXP(-LN(2)/2)*DH27+(1-EXP(-LN(2)/2))/(LN(2)/2)*DB28*DE28*VLOOKUP('Données projet'!$B$13,Paramètres!$A$1:$I$89,3,0)*0.475*44/12</f>
        <v>5.0923738700775996</v>
      </c>
      <c r="DI28" s="22">
        <f t="shared" si="15"/>
        <v>10.099067338617893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9">
        <f t="shared" si="0"/>
        <v>443.46667841009798</v>
      </c>
      <c r="S29" s="59">
        <f ca="1">AVERAGE(OFFSET($R$3,0,0,'Données projet'!$E$9+1,1))-AVERAGE(OFFSET($H$3,0,0,'Données projet'!$E$9+1,1))</f>
        <v>681.47578137804555</v>
      </c>
      <c r="T29" s="59">
        <f t="shared" si="34"/>
        <v>300.88511065995885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7.7715686274509812</v>
      </c>
      <c r="AI29" s="13">
        <f>IF('Données projet'!$A$62&gt;35,AI28+AH29-AQ28,IF(A29&lt;'Données projet'!$A$62,$AF$205^A29,IF(A29='Données projet'!$A$62,'Données projet'!$B$62,AI28+AH29-AQ28)))</f>
        <v>202.06078431372555</v>
      </c>
      <c r="AJ29" s="13">
        <f>AI29*VLOOKUP('Données projet'!$B$10,Paramètres!$A$1:$I$89,3,0)*VLOOKUP('Données projet'!$B$10,Paramètres!$A$1:$I$89,5,0)</f>
        <v>94.564447058823546</v>
      </c>
      <c r="AK29" s="13">
        <f t="shared" si="35"/>
        <v>25.662870135019691</v>
      </c>
      <c r="AL29" s="20">
        <f t="shared" si="4"/>
        <v>209.39591077927696</v>
      </c>
      <c r="AM29" s="59">
        <f t="shared" si="5"/>
        <v>439.68262482846717</v>
      </c>
      <c r="AN29" s="59">
        <f ca="1">AVERAGE(OFFSET($AM$3,0,0,'Données projet'!$E$10+1,1))-AVERAGE(OFFSET($H$3,0,0,'Données projet'!$E$10+1,1))</f>
        <v>374.38106339726073</v>
      </c>
      <c r="AO29" s="59">
        <f t="shared" si="36"/>
        <v>296.53283288925957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</v>
      </c>
      <c r="BD29" s="12">
        <f>IF('Données projet'!$A$88&gt;35,BD28+BC29-BL28,IF(A29&lt;'Données projet'!$A$88,$BA$205^A29,IF(A29='Données projet'!$A$88,'Données projet'!$B$88,BD28+BC29-BL28)))</f>
        <v>69</v>
      </c>
      <c r="BE29" s="13">
        <f>BD29*VLOOKUP('Données projet'!$B$11,Paramètres!$A$1:$I$89,3,0)*VLOOKUP('Données projet'!$B$11,Paramètres!$A$1:$I$89,5,0)</f>
        <v>65.660399999999996</v>
      </c>
      <c r="BF29" s="13">
        <f t="shared" si="37"/>
        <v>18.591800852927584</v>
      </c>
      <c r="BG29" s="20">
        <f t="shared" si="7"/>
        <v>146.73924981884886</v>
      </c>
      <c r="BH29" s="59">
        <f t="shared" si="8"/>
        <v>377.02596386803907</v>
      </c>
      <c r="BI29" s="59">
        <f ca="1">AVERAGE(OFFSET($BH$3,0,0,'Données projet'!$E$11+1,1))-AVERAGE(OFFSET($H$3,0,0,'Données projet'!$E$11+1,1))</f>
        <v>423.80243030843661</v>
      </c>
      <c r="BJ29" s="59">
        <f t="shared" si="38"/>
        <v>260.29028006191834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0.87648691519413968</v>
      </c>
      <c r="BR29" s="21">
        <f>EXP(-LN(2)/2)*BR28+(1-EXP(-LN(2)/2))/(LN(2)/2)*BL29*BO29*VLOOKUP('Données projet'!$B$11,Paramètres!$A$1:$I$89,3,0)*0.475*44/12</f>
        <v>1.2697660888385904</v>
      </c>
      <c r="BS29" s="22">
        <f t="shared" si="9"/>
        <v>2.1462530040327303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15.782</v>
      </c>
      <c r="BY29" s="12">
        <f>IF('Données projet'!$A$114&gt;35,BY28+BX29-CG28,IF(A29&lt;'Données projet'!$A$114,$BV$205^A29,IF(A29='Données projet'!$A$114,'Données projet'!$B$114,BY28+BX29-CG28)))</f>
        <v>140.06800000000001</v>
      </c>
      <c r="BZ29" s="13">
        <f>BY29*VLOOKUP('Données projet'!$B$12,Paramètres!$A$1:$I$89,3,0)*VLOOKUP('Données projet'!$B$12,Paramètres!$A$1:$I$89,5,0)</f>
        <v>83.76066400000002</v>
      </c>
      <c r="CA29" s="13">
        <f t="shared" si="39"/>
        <v>23.054213321234659</v>
      </c>
      <c r="CB29" s="20">
        <f t="shared" si="10"/>
        <v>186.0359113344837</v>
      </c>
      <c r="CC29" s="59">
        <f t="shared" si="11"/>
        <v>416.32262538367388</v>
      </c>
      <c r="CD29" s="59">
        <f ca="1">AVERAGE(OFFSET($CC$3,0,0,'Données projet'!$E$12+1,1))-AVERAGE(OFFSET($H$3,0,0,'Données projet'!$E$12+1,1))</f>
        <v>373.61861223558259</v>
      </c>
      <c r="CE29" s="59">
        <f t="shared" si="40"/>
        <v>277.62293009761049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4.3383988723828653</v>
      </c>
      <c r="CL29" s="21">
        <f>EXP(-LN(2)/25)*CL28+(1-EXP(-LN(2)/25))/(LN(2)/25)*Calculateur!CG29*Calculateur!CI29*VLOOKUP('Données projet'!$B$12,Paramètres!$A$1:$I$89,3,0)*0.475*44/12</f>
        <v>6.1960721260396676</v>
      </c>
      <c r="CM29" s="21">
        <f>EXP(-LN(2)/2)*CM28+(1-EXP(-LN(2)/2))/(LN(2)/2)*CG29*CJ29*VLOOKUP('Données projet'!$B$12,Paramètres!$A$1:$I$89,3,0)*0.475*44/12</f>
        <v>3.3846297871988211</v>
      </c>
      <c r="CN29" s="22">
        <f t="shared" si="12"/>
        <v>13.919100785621353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65.345280000000017</v>
      </c>
      <c r="CV29" s="13">
        <f t="shared" si="41"/>
        <v>18.512938248561991</v>
      </c>
      <c r="CW29" s="20">
        <f t="shared" si="13"/>
        <v>146.05306344957884</v>
      </c>
      <c r="CX29" s="59">
        <f t="shared" si="14"/>
        <v>376.33977749876902</v>
      </c>
      <c r="CY29" s="59">
        <f ca="1">AVERAGE(OFFSET($CX$3,0,0,'Données projet'!$E$13+1,1))-AVERAGE(OFFSET($H$3,0,0,'Données projet'!$E$13+1,1))</f>
        <v>287.28439432670405</v>
      </c>
      <c r="CZ29" s="59">
        <f t="shared" si="42"/>
        <v>276.01618888357268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4.8697851723524925</v>
      </c>
      <c r="DH29" s="21">
        <f>EXP(-LN(2)/2)*DH28+(1-EXP(-LN(2)/2))/(LN(2)/2)*DB29*DE29*VLOOKUP('Données projet'!$B$13,Paramètres!$A$1:$I$89,3,0)*0.475*44/12</f>
        <v>3.6008520958690537</v>
      </c>
      <c r="DI29" s="22">
        <f t="shared" si="15"/>
        <v>8.4706372682215463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9">
        <f t="shared" si="0"/>
        <v>453.69025425233235</v>
      </c>
      <c r="S30" s="59">
        <f ca="1">AVERAGE(OFFSET($R$3,0,0,'Données projet'!$E$9+1,1))-AVERAGE(OFFSET($H$3,0,0,'Données projet'!$E$9+1,1))</f>
        <v>681.47578137804555</v>
      </c>
      <c r="T30" s="59">
        <f t="shared" si="34"/>
        <v>300.88511065995885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7.7715686274509812</v>
      </c>
      <c r="AI30" s="13">
        <f>IF('Données projet'!$A$62&gt;35,AI29+AH30-AQ29,IF(A30&lt;'Données projet'!$A$62,$AF$205^A30,IF(A30='Données projet'!$A$62,'Données projet'!$B$62,AI29+AH30-AQ29)))</f>
        <v>209.83235294117654</v>
      </c>
      <c r="AJ30" s="13">
        <f>AI30*VLOOKUP('Données projet'!$B$10,Paramètres!$A$1:$I$89,3,0)*VLOOKUP('Données projet'!$B$10,Paramètres!$A$1:$I$89,5,0)</f>
        <v>98.201541176470613</v>
      </c>
      <c r="AK30" s="13">
        <f t="shared" si="35"/>
        <v>26.533088035148577</v>
      </c>
      <c r="AL30" s="20">
        <f t="shared" si="4"/>
        <v>217.2461458769034</v>
      </c>
      <c r="AM30" s="59">
        <f t="shared" si="5"/>
        <v>449.76398874946688</v>
      </c>
      <c r="AN30" s="59">
        <f ca="1">AVERAGE(OFFSET($AM$3,0,0,'Données projet'!$E$10+1,1))-AVERAGE(OFFSET($H$3,0,0,'Données projet'!$E$10+1,1))</f>
        <v>374.38106339726073</v>
      </c>
      <c r="AO30" s="59">
        <f t="shared" si="36"/>
        <v>296.53283288925957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</v>
      </c>
      <c r="BD30" s="12">
        <f>IF('Données projet'!$A$88&gt;35,BD29+BC30-BL29,IF(A30&lt;'Données projet'!$A$88,$BA$205^A30,IF(A30='Données projet'!$A$88,'Données projet'!$B$88,BD29+BC30-BL29)))</f>
        <v>76</v>
      </c>
      <c r="BE30" s="13">
        <f>BD30*VLOOKUP('Données projet'!$B$11,Paramètres!$A$1:$I$89,3,0)*VLOOKUP('Données projet'!$B$11,Paramètres!$A$1:$I$89,5,0)</f>
        <v>72.321600000000004</v>
      </c>
      <c r="BF30" s="13">
        <f t="shared" si="37"/>
        <v>20.248893319861061</v>
      </c>
      <c r="BG30" s="20">
        <f t="shared" si="7"/>
        <v>161.22694253209136</v>
      </c>
      <c r="BH30" s="59">
        <f t="shared" si="8"/>
        <v>393.74478540465486</v>
      </c>
      <c r="BI30" s="59">
        <f ca="1">AVERAGE(OFFSET($BH$3,0,0,'Données projet'!$E$11+1,1))-AVERAGE(OFFSET($H$3,0,0,'Données projet'!$E$11+1,1))</f>
        <v>423.80243030843661</v>
      </c>
      <c r="BJ30" s="59">
        <f t="shared" si="38"/>
        <v>260.29028006191834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0.85251933440571226</v>
      </c>
      <c r="BR30" s="21">
        <f>EXP(-LN(2)/2)*BR29+(1-EXP(-LN(2)/2))/(LN(2)/2)*BL30*BO30*VLOOKUP('Données projet'!$B$11,Paramètres!$A$1:$I$89,3,0)*0.475*44/12</f>
        <v>0.89786021193848753</v>
      </c>
      <c r="BS30" s="22">
        <f t="shared" si="9"/>
        <v>1.7503795463441998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155.85</v>
      </c>
      <c r="BW30" s="12">
        <f>VLOOKUP(A30,'Données projet'!$A$113:$I$133,9,0)</f>
        <v>15.782</v>
      </c>
      <c r="BX30" s="12">
        <f t="array" ref="BX30">INDEX(BW:BW,MIN(IF(ISNUMBER(BW30:BW226),ROW(BW30:BW226),"")))</f>
        <v>15.782</v>
      </c>
      <c r="BY30" s="12">
        <f>IF('Données projet'!$A$114&gt;35,BY29+BX30-CG29,IF(A30&lt;'Données projet'!$A$114,$BV$205^A30,IF(A30='Données projet'!$A$114,'Données projet'!$B$114,BY29+BX30-CG29)))</f>
        <v>155.85000000000002</v>
      </c>
      <c r="BZ30" s="13">
        <f>BY30*VLOOKUP('Données projet'!$B$12,Paramètres!$A$1:$I$89,3,0)*VLOOKUP('Données projet'!$B$12,Paramètres!$A$1:$I$89,5,0)</f>
        <v>93.198300000000032</v>
      </c>
      <c r="CA30" s="13">
        <f t="shared" si="39"/>
        <v>25.335003309876146</v>
      </c>
      <c r="CB30" s="20">
        <f t="shared" si="10"/>
        <v>206.44550326470099</v>
      </c>
      <c r="CC30" s="59">
        <f t="shared" si="11"/>
        <v>438.96334613726447</v>
      </c>
      <c r="CD30" s="59">
        <f ca="1">AVERAGE(OFFSET($CC$3,0,0,'Données projet'!$E$12+1,1))-AVERAGE(OFFSET($H$3,0,0,'Données projet'!$E$12+1,1))</f>
        <v>373.61861223558259</v>
      </c>
      <c r="CE30" s="59">
        <f t="shared" si="40"/>
        <v>277.62293009761049</v>
      </c>
      <c r="CF30" s="15">
        <f>IF(ISNA(VLOOKUP(A30,'Données projet'!$A$113:$I$133,3,0)),0,VLOOKUP(A30,'Données projet'!$A$113:$I$133,3,0))</f>
        <v>2</v>
      </c>
      <c r="CG30" s="15">
        <f>IF(ISNA(VLOOKUP(A30,'Données projet'!$A$113:$I$133,4,0)),0,VLOOKUP(A30,'Données projet'!$A$113:$I$133,4,0))</f>
        <v>37.929999999999993</v>
      </c>
      <c r="CH30" s="16">
        <f>IF(ISNA(VLOOKUP(A30,'Données projet'!$A$113:$I$133,5,0)),0%,VLOOKUP(A30,'Données projet'!$A$113:$I$133,5,0)*VLOOKUP('Données projet'!$B$12,Paramètres!$A$1:$I$89,7,0))</f>
        <v>0.1125</v>
      </c>
      <c r="CI30" s="16">
        <f>IF(ISNA(VLOOKUP(A30,'Données projet'!$A$113:$I$133,6,0)),0%,VLOOKUP(A30,'Données projet'!$A$113:$I$133,6,0)*VLOOKUP('Données projet'!$B$12,Paramètres!$A$1:$I$89,7,0))</f>
        <v>0.16650000000000001</v>
      </c>
      <c r="CJ30" s="16">
        <f>IF(ISNA(VLOOKUP(A30,'Données projet'!$A$113:$I$133,7,0)),0%,VLOOKUP(A30,'Données projet'!$A$113:$I$133,7,0))</f>
        <v>0.38</v>
      </c>
      <c r="CK30" s="21">
        <f>EXP(-LN(2)/35)*CK29+(1-EXP(-LN(2)/35))/(LN(2)/35)*CG30*CH30*VLOOKUP('Données projet'!$B$12,Paramètres!$A$1:$I$89,3,0)*0.475*44/12</f>
        <v>7.6383740951040968</v>
      </c>
      <c r="CL30" s="21">
        <f>EXP(-LN(2)/25)*CL29+(1-EXP(-LN(2)/25))/(LN(2)/25)*Calculateur!CG30*Calculateur!CI30*VLOOKUP('Données projet'!$B$12,Paramètres!$A$1:$I$89,3,0)*0.475*44/12</f>
        <v>11.016786329451062</v>
      </c>
      <c r="CM30" s="21">
        <f>EXP(-LN(2)/2)*CM29+(1-EXP(-LN(2)/2))/(LN(2)/2)*CG30*CJ30*VLOOKUP('Données projet'!$B$12,Paramètres!$A$1:$I$89,3,0)*0.475*44/12</f>
        <v>12.152246238640709</v>
      </c>
      <c r="CN30" s="22">
        <f t="shared" si="12"/>
        <v>30.80740666319587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73.906560000000013</v>
      </c>
      <c r="CV30" s="13">
        <f t="shared" si="41"/>
        <v>20.640506648584481</v>
      </c>
      <c r="CW30" s="20">
        <f t="shared" si="13"/>
        <v>164.6694744129513</v>
      </c>
      <c r="CX30" s="59">
        <f t="shared" si="14"/>
        <v>397.18731728551484</v>
      </c>
      <c r="CY30" s="59">
        <f ca="1">AVERAGE(OFFSET($CX$3,0,0,'Données projet'!$E$13+1,1))-AVERAGE(OFFSET($H$3,0,0,'Données projet'!$E$13+1,1))</f>
        <v>287.28439432670405</v>
      </c>
      <c r="CZ30" s="59">
        <f t="shared" si="42"/>
        <v>276.01618888357268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4.7366206407236415</v>
      </c>
      <c r="DH30" s="21">
        <f>EXP(-LN(2)/2)*DH29+(1-EXP(-LN(2)/2))/(LN(2)/2)*DB30*DE30*VLOOKUP('Données projet'!$B$13,Paramètres!$A$1:$I$89,3,0)*0.475*44/12</f>
        <v>2.5461869350388002</v>
      </c>
      <c r="DI30" s="22">
        <f t="shared" si="15"/>
        <v>7.2828075757624422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9">
        <f t="shared" si="0"/>
        <v>463.88969956699088</v>
      </c>
      <c r="S31" s="59">
        <f ca="1">AVERAGE(OFFSET($R$3,0,0,'Données projet'!$E$9+1,1))-AVERAGE(OFFSET($H$3,0,0,'Données projet'!$E$9+1,1))</f>
        <v>681.47578137804555</v>
      </c>
      <c r="T31" s="59">
        <f t="shared" si="34"/>
        <v>300.88511065995885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7.7715686274509812</v>
      </c>
      <c r="AI31" s="13">
        <f>IF('Données projet'!$A$62&gt;35,AI30+AH31-AQ30,IF(A31&lt;'Données projet'!$A$62,$AF$205^A31,IF(A31='Données projet'!$A$62,'Données projet'!$B$62,AI30+AH31-AQ30)))</f>
        <v>217.60392156862753</v>
      </c>
      <c r="AJ31" s="13">
        <f>AI31*VLOOKUP('Données projet'!$B$10,Paramètres!$A$1:$I$89,3,0)*VLOOKUP('Données projet'!$B$10,Paramètres!$A$1:$I$89,5,0)</f>
        <v>101.83863529411768</v>
      </c>
      <c r="AK31" s="13">
        <f t="shared" si="35"/>
        <v>27.39956150016679</v>
      </c>
      <c r="AL31" s="20">
        <f t="shared" si="4"/>
        <v>225.08985941671213</v>
      </c>
      <c r="AM31" s="59">
        <f t="shared" si="5"/>
        <v>459.82132883869622</v>
      </c>
      <c r="AN31" s="59">
        <f ca="1">AVERAGE(OFFSET($AM$3,0,0,'Données projet'!$E$10+1,1))-AVERAGE(OFFSET($H$3,0,0,'Données projet'!$E$10+1,1))</f>
        <v>374.38106339726073</v>
      </c>
      <c r="AO31" s="59">
        <f t="shared" si="36"/>
        <v>296.53283288925957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</v>
      </c>
      <c r="BD31" s="12">
        <f>IF('Données projet'!$A$88&gt;35,BD30+BC31-BL30,IF(A31&lt;'Données projet'!$A$88,$BA$205^A31,IF(A31='Données projet'!$A$88,'Données projet'!$B$88,BD30+BC31-BL30)))</f>
        <v>83</v>
      </c>
      <c r="BE31" s="13">
        <f>BD31*VLOOKUP('Données projet'!$B$11,Paramètres!$A$1:$I$89,3,0)*VLOOKUP('Données projet'!$B$11,Paramètres!$A$1:$I$89,5,0)</f>
        <v>78.982799999999997</v>
      </c>
      <c r="BF31" s="13">
        <f t="shared" si="37"/>
        <v>21.888288514633821</v>
      </c>
      <c r="BG31" s="20">
        <f t="shared" si="7"/>
        <v>175.68381249632054</v>
      </c>
      <c r="BH31" s="59">
        <f t="shared" si="8"/>
        <v>410.41528191830463</v>
      </c>
      <c r="BI31" s="59">
        <f ca="1">AVERAGE(OFFSET($BH$3,0,0,'Données projet'!$E$11+1,1))-AVERAGE(OFFSET($H$3,0,0,'Données projet'!$E$11+1,1))</f>
        <v>423.80243030843661</v>
      </c>
      <c r="BJ31" s="59">
        <f t="shared" si="38"/>
        <v>260.29028006191834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0.82920714837434473</v>
      </c>
      <c r="BR31" s="21">
        <f>EXP(-LN(2)/2)*BR30+(1-EXP(-LN(2)/2))/(LN(2)/2)*BL31*BO31*VLOOKUP('Données projet'!$B$11,Paramètres!$A$1:$I$89,3,0)*0.475*44/12</f>
        <v>0.63488304441929533</v>
      </c>
      <c r="BS31" s="22">
        <f t="shared" si="9"/>
        <v>1.4640901927936401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16.621666666666666</v>
      </c>
      <c r="BY31" s="12">
        <f>IF('Données projet'!$A$114&gt;35,BY30+BX31-CG30,IF(A31&lt;'Données projet'!$A$114,$BV$205^A31,IF(A31='Données projet'!$A$114,'Données projet'!$B$114,BY30+BX31-CG30)))</f>
        <v>134.54166666666669</v>
      </c>
      <c r="BZ31" s="13">
        <f>BY31*VLOOKUP('Données projet'!$B$12,Paramètres!$A$1:$I$89,3,0)*VLOOKUP('Données projet'!$B$12,Paramètres!$A$1:$I$89,5,0)</f>
        <v>80.455916666666681</v>
      </c>
      <c r="CA31" s="13">
        <f t="shared" si="39"/>
        <v>22.248621228387805</v>
      </c>
      <c r="CB31" s="20">
        <f t="shared" si="10"/>
        <v>178.8770701672199</v>
      </c>
      <c r="CC31" s="59">
        <f t="shared" si="11"/>
        <v>413.60853958920399</v>
      </c>
      <c r="CD31" s="59">
        <f ca="1">AVERAGE(OFFSET($CC$3,0,0,'Données projet'!$E$12+1,1))-AVERAGE(OFFSET($H$3,0,0,'Données projet'!$E$12+1,1))</f>
        <v>373.61861223558259</v>
      </c>
      <c r="CE31" s="59">
        <f t="shared" si="40"/>
        <v>277.62293009761049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7.4885902380472702</v>
      </c>
      <c r="CL31" s="21">
        <f>EXP(-LN(2)/25)*CL30+(1-EXP(-LN(2)/25))/(LN(2)/25)*Calculateur!CG31*Calculateur!CI31*VLOOKUP('Données projet'!$B$12,Paramètres!$A$1:$I$89,3,0)*0.475*44/12</f>
        <v>10.715531727924608</v>
      </c>
      <c r="CM31" s="21">
        <f>EXP(-LN(2)/2)*CM30+(1-EXP(-LN(2)/2))/(LN(2)/2)*CG31*CJ31*VLOOKUP('Données projet'!$B$12,Paramètres!$A$1:$I$89,3,0)*0.475*44/12</f>
        <v>8.5929357219915623</v>
      </c>
      <c r="CN31" s="22">
        <f t="shared" si="12"/>
        <v>26.797057687963441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82.467839999999995</v>
      </c>
      <c r="CV31" s="13">
        <f t="shared" si="41"/>
        <v>22.739512759227473</v>
      </c>
      <c r="CW31" s="20">
        <f t="shared" si="13"/>
        <v>183.23613938898782</v>
      </c>
      <c r="CX31" s="59">
        <f t="shared" si="14"/>
        <v>417.96760881097191</v>
      </c>
      <c r="CY31" s="59">
        <f ca="1">AVERAGE(OFFSET($CX$3,0,0,'Données projet'!$E$13+1,1))-AVERAGE(OFFSET($H$3,0,0,'Données projet'!$E$13+1,1))</f>
        <v>287.28439432670405</v>
      </c>
      <c r="CZ31" s="59">
        <f t="shared" si="42"/>
        <v>276.01618888357268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4.6070975002149996</v>
      </c>
      <c r="DH31" s="21">
        <f>EXP(-LN(2)/2)*DH30+(1-EXP(-LN(2)/2))/(LN(2)/2)*DB31*DE31*VLOOKUP('Données projet'!$B$13,Paramètres!$A$1:$I$89,3,0)*0.475*44/12</f>
        <v>1.8004260479345271</v>
      </c>
      <c r="DI31" s="22">
        <f t="shared" si="15"/>
        <v>6.407523548149527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9">
        <f t="shared" si="0"/>
        <v>474.0655818228372</v>
      </c>
      <c r="S32" s="59">
        <f ca="1">AVERAGE(OFFSET($R$3,0,0,'Données projet'!$E$9+1,1))-AVERAGE(OFFSET($H$3,0,0,'Données projet'!$E$9+1,1))</f>
        <v>681.47578137804555</v>
      </c>
      <c r="T32" s="59">
        <f t="shared" si="34"/>
        <v>300.88511065995885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7.7715686274509812</v>
      </c>
      <c r="AI32" s="13">
        <f>IF('Données projet'!$A$62&gt;35,AI31+AH32-AQ31,IF(A32&lt;'Données projet'!$A$62,$AF$205^A32,IF(A32='Données projet'!$A$62,'Données projet'!$B$62,AI31+AH32-AQ31)))</f>
        <v>225.37549019607852</v>
      </c>
      <c r="AJ32" s="13">
        <f>AI32*VLOOKUP('Données projet'!$B$10,Paramètres!$A$1:$I$89,3,0)*VLOOKUP('Données projet'!$B$10,Paramètres!$A$1:$I$89,5,0)</f>
        <v>105.47572941176475</v>
      </c>
      <c r="AK32" s="13">
        <f t="shared" si="35"/>
        <v>28.262439580592901</v>
      </c>
      <c r="AL32" s="20">
        <f t="shared" si="4"/>
        <v>232.92731099502291</v>
      </c>
      <c r="AM32" s="59">
        <f t="shared" si="5"/>
        <v>469.85520831779877</v>
      </c>
      <c r="AN32" s="59">
        <f ca="1">AVERAGE(OFFSET($AM$3,0,0,'Données projet'!$E$10+1,1))-AVERAGE(OFFSET($H$3,0,0,'Données projet'!$E$10+1,1))</f>
        <v>374.38106339726073</v>
      </c>
      <c r="AO32" s="59">
        <f t="shared" si="36"/>
        <v>296.53283288925957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</v>
      </c>
      <c r="BD32" s="12">
        <f>IF('Données projet'!$A$88&gt;35,BD31+BC32-BL31,IF(A32&lt;'Données projet'!$A$88,$BA$205^A32,IF(A32='Données projet'!$A$88,'Données projet'!$B$88,BD31+BC32-BL31)))</f>
        <v>90</v>
      </c>
      <c r="BE32" s="13">
        <f>BD32*VLOOKUP('Données projet'!$B$11,Paramètres!$A$1:$I$89,3,0)*VLOOKUP('Données projet'!$B$11,Paramètres!$A$1:$I$89,5,0)</f>
        <v>85.644000000000005</v>
      </c>
      <c r="BF32" s="13">
        <f t="shared" si="37"/>
        <v>23.511648669822069</v>
      </c>
      <c r="BG32" s="20">
        <f t="shared" si="7"/>
        <v>190.1127547666068</v>
      </c>
      <c r="BH32" s="59">
        <f t="shared" si="8"/>
        <v>427.04065208938266</v>
      </c>
      <c r="BI32" s="59">
        <f ca="1">AVERAGE(OFFSET($BH$3,0,0,'Données projet'!$E$11+1,1))-AVERAGE(OFFSET($H$3,0,0,'Données projet'!$E$11+1,1))</f>
        <v>423.80243030843661</v>
      </c>
      <c r="BJ32" s="59">
        <f t="shared" si="38"/>
        <v>260.29028006191834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0.80653243529593954</v>
      </c>
      <c r="BR32" s="21">
        <f>EXP(-LN(2)/2)*BR31+(1-EXP(-LN(2)/2))/(LN(2)/2)*BL32*BO32*VLOOKUP('Données projet'!$B$11,Paramètres!$A$1:$I$89,3,0)*0.475*44/12</f>
        <v>0.44893010596924382</v>
      </c>
      <c r="BS32" s="22">
        <f t="shared" si="9"/>
        <v>1.2554625412651834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16.621666666666666</v>
      </c>
      <c r="BY32" s="12">
        <f>IF('Données projet'!$A$114&gt;35,BY31+BX32-CG31,IF(A32&lt;'Données projet'!$A$114,$BV$205^A32,IF(A32='Données projet'!$A$114,'Données projet'!$B$114,BY31+BX32-CG31)))</f>
        <v>151.16333333333336</v>
      </c>
      <c r="BZ32" s="13">
        <f>BY32*VLOOKUP('Données projet'!$B$12,Paramètres!$A$1:$I$89,3,0)*VLOOKUP('Données projet'!$B$12,Paramètres!$A$1:$I$89,5,0)</f>
        <v>90.395673333333363</v>
      </c>
      <c r="CA32" s="13">
        <f t="shared" si="39"/>
        <v>24.660627497212822</v>
      </c>
      <c r="CB32" s="20">
        <f t="shared" si="10"/>
        <v>200.38972394653459</v>
      </c>
      <c r="CC32" s="59">
        <f t="shared" si="11"/>
        <v>437.31762126931039</v>
      </c>
      <c r="CD32" s="59">
        <f ca="1">AVERAGE(OFFSET($CC$3,0,0,'Données projet'!$E$12+1,1))-AVERAGE(OFFSET($H$3,0,0,'Données projet'!$E$12+1,1))</f>
        <v>373.61861223558259</v>
      </c>
      <c r="CE32" s="59">
        <f t="shared" si="40"/>
        <v>277.62293009761049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7.3417435510681965</v>
      </c>
      <c r="CL32" s="21">
        <f>EXP(-LN(2)/25)*CL31+(1-EXP(-LN(2)/25))/(LN(2)/25)*Calculateur!CG32*Calculateur!CI32*VLOOKUP('Données projet'!$B$12,Paramètres!$A$1:$I$89,3,0)*0.475*44/12</f>
        <v>10.422514949319186</v>
      </c>
      <c r="CM32" s="21">
        <f>EXP(-LN(2)/2)*CM31+(1-EXP(-LN(2)/2))/(LN(2)/2)*CG32*CJ32*VLOOKUP('Données projet'!$B$12,Paramètres!$A$1:$I$89,3,0)*0.475*44/12</f>
        <v>6.0761231193203562</v>
      </c>
      <c r="CN32" s="22">
        <f t="shared" si="12"/>
        <v>23.840381619707742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91.029119999999992</v>
      </c>
      <c r="CV32" s="13">
        <f t="shared" si="41"/>
        <v>24.813259479575809</v>
      </c>
      <c r="CW32" s="20">
        <f t="shared" si="13"/>
        <v>201.75881092692782</v>
      </c>
      <c r="CX32" s="59">
        <f t="shared" si="14"/>
        <v>438.68670824970366</v>
      </c>
      <c r="CY32" s="59">
        <f ca="1">AVERAGE(OFFSET($CX$3,0,0,'Données projet'!$E$13+1,1))-AVERAGE(OFFSET($H$3,0,0,'Données projet'!$E$13+1,1))</f>
        <v>287.28439432670405</v>
      </c>
      <c r="CZ32" s="59">
        <f t="shared" si="42"/>
        <v>276.01618888357268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4.4811161767948926</v>
      </c>
      <c r="DH32" s="21">
        <f>EXP(-LN(2)/2)*DH31+(1-EXP(-LN(2)/2))/(LN(2)/2)*DB32*DE32*VLOOKUP('Données projet'!$B$13,Paramètres!$A$1:$I$89,3,0)*0.475*44/12</f>
        <v>1.2730934675194003</v>
      </c>
      <c r="DI32" s="22">
        <f t="shared" si="15"/>
        <v>5.7542096443142929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9">
        <f t="shared" si="0"/>
        <v>484.21844399329223</v>
      </c>
      <c r="S33" s="59">
        <f ca="1">AVERAGE(OFFSET($R$3,0,0,'Données projet'!$E$9+1,1))-AVERAGE(OFFSET($H$3,0,0,'Données projet'!$E$9+1,1))</f>
        <v>681.47578137804555</v>
      </c>
      <c r="T33" s="59">
        <f t="shared" si="34"/>
        <v>300.88511065995885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7.7715686274509812</v>
      </c>
      <c r="AI33" s="13">
        <f>IF('Données projet'!$A$62&gt;35,AI32+AH33-AQ32,IF(A33&lt;'Données projet'!$A$62,$AF$205^A33,IF(A33='Données projet'!$A$62,'Données projet'!$B$62,AI32+AH33-AQ32)))</f>
        <v>233.14705882352951</v>
      </c>
      <c r="AJ33" s="13">
        <f>AI33*VLOOKUP('Données projet'!$B$10,Paramètres!$A$1:$I$89,3,0)*VLOOKUP('Données projet'!$B$10,Paramètres!$A$1:$I$89,5,0)</f>
        <v>109.11282352941181</v>
      </c>
      <c r="AK33" s="13">
        <f t="shared" si="35"/>
        <v>29.121860464588686</v>
      </c>
      <c r="AL33" s="20">
        <f t="shared" si="4"/>
        <v>240.7587412895509</v>
      </c>
      <c r="AM33" s="59">
        <f t="shared" si="5"/>
        <v>479.86616622259288</v>
      </c>
      <c r="AN33" s="59">
        <f ca="1">AVERAGE(OFFSET($AM$3,0,0,'Données projet'!$E$10+1,1))-AVERAGE(OFFSET($H$3,0,0,'Données projet'!$E$10+1,1))</f>
        <v>374.38106339726073</v>
      </c>
      <c r="AO33" s="59">
        <f t="shared" si="36"/>
        <v>296.53283288925957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7</v>
      </c>
      <c r="BC33" s="12">
        <f t="array" ref="BC33">INDEX(BB:BB,MIN(IF(ISNUMBER(BB33:BB229),ROW(BB33:BB229),"")))</f>
        <v>7</v>
      </c>
      <c r="BD33" s="12">
        <f>IF('Données projet'!$A$88&gt;35,BD32+BC33-BL32,IF(A33&lt;'Données projet'!$A$88,$BA$205^A33,IF(A33='Données projet'!$A$88,'Données projet'!$B$88,BD32+BC33-BL32)))</f>
        <v>97</v>
      </c>
      <c r="BE33" s="13">
        <f>BD33*VLOOKUP('Données projet'!$B$11,Paramètres!$A$1:$I$89,3,0)*VLOOKUP('Données projet'!$B$11,Paramètres!$A$1:$I$89,5,0)</f>
        <v>92.305199999999999</v>
      </c>
      <c r="BF33" s="13">
        <f t="shared" si="37"/>
        <v>25.12036275342183</v>
      </c>
      <c r="BG33" s="20">
        <f t="shared" si="7"/>
        <v>204.51618846220967</v>
      </c>
      <c r="BH33" s="59">
        <f t="shared" si="8"/>
        <v>443.62361339525165</v>
      </c>
      <c r="BI33" s="59">
        <f ca="1">AVERAGE(OFFSET($BH$3,0,0,'Données projet'!$E$11+1,1))-AVERAGE(OFFSET($H$3,0,0,'Données projet'!$E$11+1,1))</f>
        <v>423.80243030843661</v>
      </c>
      <c r="BJ33" s="59">
        <f t="shared" si="38"/>
        <v>260.29028006191834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3.149939593973897</v>
      </c>
      <c r="BR33" s="21">
        <f>EXP(-LN(2)/2)*BR32+(1-EXP(-LN(2)/2))/(LN(2)/2)*BL33*BO33*VLOOKUP('Données projet'!$B$11,Paramètres!$A$1:$I$89,3,0)*0.475*44/12</f>
        <v>5.031207634886707</v>
      </c>
      <c r="BS33" s="22">
        <f t="shared" si="9"/>
        <v>8.1811472288606044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16.621666666666666</v>
      </c>
      <c r="BY33" s="12">
        <f>IF('Données projet'!$A$114&gt;35,BY32+BX33-CG32,IF(A33&lt;'Données projet'!$A$114,$BV$205^A33,IF(A33='Données projet'!$A$114,'Données projet'!$B$114,BY32+BX33-CG32)))</f>
        <v>167.78500000000003</v>
      </c>
      <c r="BZ33" s="13">
        <f>BY33*VLOOKUP('Données projet'!$B$12,Paramètres!$A$1:$I$89,3,0)*VLOOKUP('Données projet'!$B$12,Paramètres!$A$1:$I$89,5,0)</f>
        <v>100.33543000000002</v>
      </c>
      <c r="CA33" s="13">
        <f t="shared" si="39"/>
        <v>27.041893539465132</v>
      </c>
      <c r="CB33" s="20">
        <f t="shared" si="10"/>
        <v>221.84883849790182</v>
      </c>
      <c r="CC33" s="59">
        <f t="shared" si="11"/>
        <v>460.95626343094381</v>
      </c>
      <c r="CD33" s="59">
        <f ca="1">AVERAGE(OFFSET($CC$3,0,0,'Données projet'!$E$12+1,1))-AVERAGE(OFFSET($H$3,0,0,'Données projet'!$E$12+1,1))</f>
        <v>373.61861223558259</v>
      </c>
      <c r="CE33" s="59">
        <f t="shared" si="40"/>
        <v>277.62293009761049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7.1977764380531477</v>
      </c>
      <c r="CL33" s="21">
        <f>EXP(-LN(2)/25)*CL32+(1-EXP(-LN(2)/25))/(LN(2)/25)*Calculateur!CG33*Calculateur!CI33*VLOOKUP('Données projet'!$B$12,Paramètres!$A$1:$I$89,3,0)*0.475*44/12</f>
        <v>10.137510729933814</v>
      </c>
      <c r="CM33" s="21">
        <f>EXP(-LN(2)/2)*CM32+(1-EXP(-LN(2)/2))/(LN(2)/2)*CG33*CJ33*VLOOKUP('Données projet'!$B$12,Paramètres!$A$1:$I$89,3,0)*0.475*44/12</f>
        <v>4.296467860995782</v>
      </c>
      <c r="CN33" s="22">
        <f t="shared" si="12"/>
        <v>21.631755028982745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99.590400000000002</v>
      </c>
      <c r="CV33" s="13">
        <f t="shared" si="41"/>
        <v>26.864392698869324</v>
      </c>
      <c r="CW33" s="20">
        <f t="shared" si="13"/>
        <v>220.24209728386407</v>
      </c>
      <c r="CX33" s="59">
        <f t="shared" si="14"/>
        <v>459.34952221690605</v>
      </c>
      <c r="CY33" s="59">
        <f ca="1">AVERAGE(OFFSET($CX$3,0,0,'Données projet'!$E$13+1,1))-AVERAGE(OFFSET($H$3,0,0,'Données projet'!$E$13+1,1))</f>
        <v>287.28439432670405</v>
      </c>
      <c r="CZ33" s="59">
        <f t="shared" si="42"/>
        <v>276.01618888357268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7.0351679676026766</v>
      </c>
      <c r="DH33" s="21">
        <f>EXP(-LN(2)/2)*DH32+(1-EXP(-LN(2)/2))/(LN(2)/2)*DB33*DE33*VLOOKUP('Données projet'!$B$13,Paramètres!$A$1:$I$89,3,0)*0.475*44/12</f>
        <v>5.2276048651134168</v>
      </c>
      <c r="DI33" s="22">
        <f t="shared" si="15"/>
        <v>12.262772832716093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9">
        <f t="shared" si="0"/>
        <v>493.12658442064401</v>
      </c>
      <c r="S34" s="59">
        <f ca="1">AVERAGE(OFFSET($R$3,0,0,'Données projet'!$E$9+1,1))-AVERAGE(OFFSET($H$3,0,0,'Données projet'!$E$9+1,1))</f>
        <v>681.47578137804555</v>
      </c>
      <c r="T34" s="59">
        <f t="shared" si="34"/>
        <v>300.88511065995885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7.7715686274509812</v>
      </c>
      <c r="AI34" s="13">
        <f>IF('Données projet'!$A$62&gt;35,AI33+AH34-AQ33,IF(A34&lt;'Données projet'!$A$62,$AF$205^A34,IF(A34='Données projet'!$A$62,'Données projet'!$B$62,AI33+AH34-AQ33)))</f>
        <v>240.91862745098049</v>
      </c>
      <c r="AJ34" s="13">
        <f>AI34*VLOOKUP('Données projet'!$B$10,Paramètres!$A$1:$I$89,3,0)*VLOOKUP('Données projet'!$B$10,Paramètres!$A$1:$I$89,5,0)</f>
        <v>112.74991764705888</v>
      </c>
      <c r="AK34" s="13">
        <f t="shared" si="35"/>
        <v>29.977952605007669</v>
      </c>
      <c r="AL34" s="20">
        <f t="shared" si="4"/>
        <v>248.58437402234924</v>
      </c>
      <c r="AM34" s="59">
        <f t="shared" si="5"/>
        <v>488.6324972351668</v>
      </c>
      <c r="AN34" s="59">
        <f ca="1">AVERAGE(OFFSET($AM$3,0,0,'Données projet'!$E$10+1,1))-AVERAGE(OFFSET($H$3,0,0,'Données projet'!$E$10+1,1))</f>
        <v>374.38106339726073</v>
      </c>
      <c r="AO34" s="59">
        <f t="shared" si="36"/>
        <v>296.53283288925957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</v>
      </c>
      <c r="BE34" s="13">
        <f>BD34*VLOOKUP('Données projet'!$B$11,Paramètres!$A$1:$I$89,3,0)*VLOOKUP('Données projet'!$B$11,Paramètres!$A$1:$I$89,5,0)</f>
        <v>79.934400000000011</v>
      </c>
      <c r="BF34" s="13">
        <f t="shared" si="37"/>
        <v>22.121143821921812</v>
      </c>
      <c r="BG34" s="20">
        <f t="shared" si="7"/>
        <v>177.74673882318049</v>
      </c>
      <c r="BH34" s="59">
        <f t="shared" si="8"/>
        <v>417.79486203599805</v>
      </c>
      <c r="BI34" s="59">
        <f ca="1">AVERAGE(OFFSET($BH$3,0,0,'Données projet'!$E$11+1,1))-AVERAGE(OFFSET($H$3,0,0,'Données projet'!$E$11+1,1))</f>
        <v>423.80243030843661</v>
      </c>
      <c r="BJ34" s="59">
        <f t="shared" si="38"/>
        <v>260.29028006191834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3.0638043301285567</v>
      </c>
      <c r="BR34" s="21">
        <f>EXP(-LN(2)/2)*BR33+(1-EXP(-LN(2)/2))/(LN(2)/2)*BL34*BO34*VLOOKUP('Données projet'!$B$11,Paramètres!$A$1:$I$89,3,0)*0.475*44/12</f>
        <v>3.5576010361859223</v>
      </c>
      <c r="BS34" s="22">
        <f t="shared" si="9"/>
        <v>6.6214053663144785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16.621666666666666</v>
      </c>
      <c r="BY34" s="12">
        <f>IF('Données projet'!$A$114&gt;35,BY33+BX34-CG33,IF(A34&lt;'Données projet'!$A$114,$BV$205^A34,IF(A34='Données projet'!$A$114,'Données projet'!$B$114,BY33+BX34-CG33)))</f>
        <v>184.40666666666669</v>
      </c>
      <c r="BZ34" s="13">
        <f>BY34*VLOOKUP('Données projet'!$B$12,Paramètres!$A$1:$I$89,3,0)*VLOOKUP('Données projet'!$B$12,Paramètres!$A$1:$I$89,5,0)</f>
        <v>110.27518666666668</v>
      </c>
      <c r="CA34" s="13">
        <f t="shared" si="39"/>
        <v>29.395811266319566</v>
      </c>
      <c r="CB34" s="20">
        <f t="shared" si="10"/>
        <v>243.26032139995104</v>
      </c>
      <c r="CC34" s="59">
        <f t="shared" si="11"/>
        <v>483.3084446127686</v>
      </c>
      <c r="CD34" s="59">
        <f ca="1">AVERAGE(OFFSET($CC$3,0,0,'Données projet'!$E$12+1,1))-AVERAGE(OFFSET($H$3,0,0,'Données projet'!$E$12+1,1))</f>
        <v>373.61861223558259</v>
      </c>
      <c r="CE34" s="59">
        <f t="shared" si="40"/>
        <v>277.62293009761049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7.0566324323130551</v>
      </c>
      <c r="CL34" s="21">
        <f>EXP(-LN(2)/25)*CL33+(1-EXP(-LN(2)/25))/(LN(2)/25)*Calculateur!CG34*Calculateur!CI34*VLOOKUP('Données projet'!$B$12,Paramètres!$A$1:$I$89,3,0)*0.475*44/12</f>
        <v>9.860299965915253</v>
      </c>
      <c r="CM34" s="21">
        <f>EXP(-LN(2)/2)*CM33+(1-EXP(-LN(2)/2))/(LN(2)/2)*CG34*CJ34*VLOOKUP('Données projet'!$B$12,Paramètres!$A$1:$I$89,3,0)*0.475*44/12</f>
        <v>3.0380615596601785</v>
      </c>
      <c r="CN34" s="22">
        <f t="shared" si="12"/>
        <v>19.954993957888487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88.75775999999999</v>
      </c>
      <c r="CV34" s="13">
        <f t="shared" si="41"/>
        <v>24.265384701755004</v>
      </c>
      <c r="CW34" s="20">
        <f t="shared" si="13"/>
        <v>196.84864368888995</v>
      </c>
      <c r="CX34" s="59">
        <f t="shared" si="14"/>
        <v>436.89676690170751</v>
      </c>
      <c r="CY34" s="59">
        <f ca="1">AVERAGE(OFFSET($CX$3,0,0,'Données projet'!$E$13+1,1))-AVERAGE(OFFSET($H$3,0,0,'Données projet'!$E$13+1,1))</f>
        <v>287.28439432670405</v>
      </c>
      <c r="CZ34" s="59">
        <f t="shared" si="42"/>
        <v>276.01618888357268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6.8427909295651768</v>
      </c>
      <c r="DH34" s="21">
        <f>EXP(-LN(2)/2)*DH33+(1-EXP(-LN(2)/2))/(LN(2)/2)*DB34*DE34*VLOOKUP('Données projet'!$B$13,Paramètres!$A$1:$I$89,3,0)*0.475*44/12</f>
        <v>3.6964748494854844</v>
      </c>
      <c r="DI34" s="22">
        <f t="shared" si="15"/>
        <v>10.539265779050661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9">
        <f t="shared" si="0"/>
        <v>502.0127253029035</v>
      </c>
      <c r="S35" s="59">
        <f ca="1">AVERAGE(OFFSET($R$3,0,0,'Données projet'!$E$9+1,1))-AVERAGE(OFFSET($H$3,0,0,'Données projet'!$E$9+1,1))</f>
        <v>681.47578137804555</v>
      </c>
      <c r="T35" s="59">
        <f t="shared" si="34"/>
        <v>300.88511065995885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7.7715686274509812</v>
      </c>
      <c r="AI35" s="13">
        <f>IF('Données projet'!$A$62&gt;35,AI34+AH35-AQ34,IF(A35&lt;'Données projet'!$A$62,$AF$205^A35,IF(A35='Données projet'!$A$62,'Données projet'!$B$62,AI34+AH35-AQ34)))</f>
        <v>248.69019607843148</v>
      </c>
      <c r="AJ35" s="13">
        <f>AI35*VLOOKUP('Données projet'!$B$10,Paramètres!$A$1:$I$89,3,0)*VLOOKUP('Données projet'!$B$10,Paramètres!$A$1:$I$89,5,0)</f>
        <v>116.38701176470595</v>
      </c>
      <c r="AK35" s="13">
        <f t="shared" si="35"/>
        <v>30.830835696933189</v>
      </c>
      <c r="AL35" s="20">
        <f t="shared" si="4"/>
        <v>256.40441766235483</v>
      </c>
      <c r="AM35" s="59">
        <f t="shared" si="5"/>
        <v>497.37692014288018</v>
      </c>
      <c r="AN35" s="59">
        <f ca="1">AVERAGE(OFFSET($AM$3,0,0,'Données projet'!$E$10+1,1))-AVERAGE(OFFSET($H$3,0,0,'Données projet'!$E$10+1,1))</f>
        <v>374.38106339726073</v>
      </c>
      <c r="AO35" s="59">
        <f t="shared" si="36"/>
        <v>296.53283288925957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</v>
      </c>
      <c r="BE35" s="13">
        <f>BD35*VLOOKUP('Données projet'!$B$11,Paramètres!$A$1:$I$89,3,0)*VLOOKUP('Données projet'!$B$11,Paramètres!$A$1:$I$89,5,0)</f>
        <v>87.547200000000004</v>
      </c>
      <c r="BF35" s="13">
        <f t="shared" si="37"/>
        <v>23.972720748088616</v>
      </c>
      <c r="BG35" s="20">
        <f t="shared" si="7"/>
        <v>194.23052863625435</v>
      </c>
      <c r="BH35" s="59">
        <f t="shared" si="8"/>
        <v>435.2030311167797</v>
      </c>
      <c r="BI35" s="59">
        <f ca="1">AVERAGE(OFFSET($BH$3,0,0,'Données projet'!$E$11+1,1))-AVERAGE(OFFSET($H$3,0,0,'Données projet'!$E$11+1,1))</f>
        <v>423.80243030843661</v>
      </c>
      <c r="BJ35" s="59">
        <f t="shared" si="38"/>
        <v>260.29028006191834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2.9800244396027238</v>
      </c>
      <c r="BR35" s="21">
        <f>EXP(-LN(2)/2)*BR34+(1-EXP(-LN(2)/2))/(LN(2)/2)*BL35*BO35*VLOOKUP('Données projet'!$B$11,Paramètres!$A$1:$I$89,3,0)*0.475*44/12</f>
        <v>2.5156038174433539</v>
      </c>
      <c r="BS35" s="22">
        <f t="shared" si="9"/>
        <v>5.4956282570460777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16.621666666666666</v>
      </c>
      <c r="BY35" s="12">
        <f>IF('Données projet'!$A$114&gt;35,BY34+BX35-CG34,IF(A35&lt;'Données projet'!$A$114,$BV$205^A35,IF(A35='Données projet'!$A$114,'Données projet'!$B$114,BY34+BX35-CG34)))</f>
        <v>201.02833333333336</v>
      </c>
      <c r="BZ35" s="13">
        <f>BY35*VLOOKUP('Données projet'!$B$12,Paramètres!$A$1:$I$89,3,0)*VLOOKUP('Données projet'!$B$12,Paramètres!$A$1:$I$89,5,0)</f>
        <v>120.21494333333335</v>
      </c>
      <c r="CA35" s="13">
        <f t="shared" si="39"/>
        <v>31.725126074196275</v>
      </c>
      <c r="CB35" s="20">
        <f t="shared" si="10"/>
        <v>264.62895421811407</v>
      </c>
      <c r="CC35" s="59">
        <f t="shared" si="11"/>
        <v>505.60145669863937</v>
      </c>
      <c r="CD35" s="59">
        <f ca="1">AVERAGE(OFFSET($CC$3,0,0,'Données projet'!$E$12+1,1))-AVERAGE(OFFSET($H$3,0,0,'Données projet'!$E$12+1,1))</f>
        <v>373.61861223558259</v>
      </c>
      <c r="CE35" s="59">
        <f t="shared" si="40"/>
        <v>277.62293009761049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6.9182561744361832</v>
      </c>
      <c r="CL35" s="21">
        <f>EXP(-LN(2)/25)*CL34+(1-EXP(-LN(2)/25))/(LN(2)/25)*Calculateur!CG35*Calculateur!CI35*VLOOKUP('Données projet'!$B$12,Paramètres!$A$1:$I$89,3,0)*0.475*44/12</f>
        <v>9.5906695448166612</v>
      </c>
      <c r="CM35" s="21">
        <f>EXP(-LN(2)/2)*CM34+(1-EXP(-LN(2)/2))/(LN(2)/2)*CG35*CJ35*VLOOKUP('Données projet'!$B$12,Paramètres!$A$1:$I$89,3,0)*0.475*44/12</f>
        <v>2.1482339304978915</v>
      </c>
      <c r="CN35" s="22">
        <f t="shared" si="12"/>
        <v>18.657159649750735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96.270719999999983</v>
      </c>
      <c r="CV35" s="13">
        <f t="shared" si="41"/>
        <v>26.071592384845928</v>
      </c>
      <c r="CW35" s="20">
        <f t="shared" si="13"/>
        <v>213.07952740360665</v>
      </c>
      <c r="CX35" s="59">
        <f t="shared" si="14"/>
        <v>454.05202988413197</v>
      </c>
      <c r="CY35" s="59">
        <f ca="1">AVERAGE(OFFSET($CX$3,0,0,'Données projet'!$E$13+1,1))-AVERAGE(OFFSET($H$3,0,0,'Données projet'!$E$13+1,1))</f>
        <v>287.28439432670405</v>
      </c>
      <c r="CZ35" s="59">
        <f t="shared" si="42"/>
        <v>276.01618888357268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6.6556744517494817</v>
      </c>
      <c r="DH35" s="21">
        <f>EXP(-LN(2)/2)*DH34+(1-EXP(-LN(2)/2))/(LN(2)/2)*DB35*DE35*VLOOKUP('Données projet'!$B$13,Paramètres!$A$1:$I$89,3,0)*0.475*44/12</f>
        <v>2.6138024325567089</v>
      </c>
      <c r="DI35" s="22">
        <f t="shared" si="15"/>
        <v>9.2694768843061901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9">
        <f t="shared" si="0"/>
        <v>510.87734762339267</v>
      </c>
      <c r="S36" s="59">
        <f ca="1">AVERAGE(OFFSET($R$3,0,0,'Données projet'!$E$9+1,1))-AVERAGE(OFFSET($H$3,0,0,'Données projet'!$E$9+1,1))</f>
        <v>681.47578137804555</v>
      </c>
      <c r="T36" s="59">
        <f t="shared" si="34"/>
        <v>300.88511065995885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7.7715686274509812</v>
      </c>
      <c r="AI36" s="13">
        <f>IF('Données projet'!$A$62&gt;35,AI35+AH36-AQ35,IF(A36&lt;'Données projet'!$A$62,$AF$205^A36,IF(A36='Données projet'!$A$62,'Données projet'!$B$62,AI35+AH36-AQ35)))</f>
        <v>256.46176470588244</v>
      </c>
      <c r="AJ36" s="13">
        <f>AI36*VLOOKUP('Données projet'!$B$10,Paramètres!$A$1:$I$89,3,0)*VLOOKUP('Données projet'!$B$10,Paramètres!$A$1:$I$89,5,0)</f>
        <v>120.02410588235298</v>
      </c>
      <c r="AK36" s="13">
        <f t="shared" si="35"/>
        <v>31.680621529590983</v>
      </c>
      <c r="AL36" s="20">
        <f t="shared" si="4"/>
        <v>264.21906690913573</v>
      </c>
      <c r="AM36" s="59">
        <f t="shared" si="5"/>
        <v>506.09991274367644</v>
      </c>
      <c r="AN36" s="59">
        <f ca="1">AVERAGE(OFFSET($AM$3,0,0,'Données projet'!$E$10+1,1))-AVERAGE(OFFSET($H$3,0,0,'Données projet'!$E$10+1,1))</f>
        <v>374.38106339726073</v>
      </c>
      <c r="AO36" s="59">
        <f t="shared" si="36"/>
        <v>296.53283288925957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</v>
      </c>
      <c r="BE36" s="13">
        <f>BD36*VLOOKUP('Données projet'!$B$11,Paramètres!$A$1:$I$89,3,0)*VLOOKUP('Données projet'!$B$11,Paramètres!$A$1:$I$89,5,0)</f>
        <v>95.16</v>
      </c>
      <c r="BF36" s="13">
        <f t="shared" si="37"/>
        <v>25.80562620332617</v>
      </c>
      <c r="BG36" s="20">
        <f t="shared" si="7"/>
        <v>210.68179897079304</v>
      </c>
      <c r="BH36" s="59">
        <f t="shared" si="8"/>
        <v>452.56264480533378</v>
      </c>
      <c r="BI36" s="59">
        <f ca="1">AVERAGE(OFFSET($BH$3,0,0,'Données projet'!$E$11+1,1))-AVERAGE(OFFSET($H$3,0,0,'Données projet'!$E$11+1,1))</f>
        <v>423.80243030843661</v>
      </c>
      <c r="BJ36" s="59">
        <f t="shared" si="38"/>
        <v>260.29028006191834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2.898535514589113</v>
      </c>
      <c r="BR36" s="21">
        <f>EXP(-LN(2)/2)*BR35+(1-EXP(-LN(2)/2))/(LN(2)/2)*BL36*BO36*VLOOKUP('Données projet'!$B$11,Paramètres!$A$1:$I$89,3,0)*0.475*44/12</f>
        <v>1.7788005180929614</v>
      </c>
      <c r="BS36" s="22">
        <f t="shared" si="9"/>
        <v>4.6773360326820743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>
        <f>VLOOKUP(A36,'Données projet'!$A$113:$I$133,2,0)</f>
        <v>217.65</v>
      </c>
      <c r="BW36" s="12">
        <f>VLOOKUP(A36,'Données projet'!$A$113:$I$133,9,0)</f>
        <v>16.621666666666666</v>
      </c>
      <c r="BX36" s="12">
        <f t="array" ref="BX36">INDEX(BW:BW,MIN(IF(ISNUMBER(BW36:BW232),ROW(BW36:BW232),"")))</f>
        <v>16.621666666666666</v>
      </c>
      <c r="BY36" s="12">
        <f>IF('Données projet'!$A$114&gt;35,BY35+BX36-CG35,IF(A36&lt;'Données projet'!$A$114,$BV$205^A36,IF(A36='Données projet'!$A$114,'Données projet'!$B$114,BY35+BX36-CG35)))</f>
        <v>217.65000000000003</v>
      </c>
      <c r="BZ36" s="13">
        <f>BY36*VLOOKUP('Données projet'!$B$12,Paramètres!$A$1:$I$89,3,0)*VLOOKUP('Données projet'!$B$12,Paramètres!$A$1:$I$89,5,0)</f>
        <v>130.15470000000002</v>
      </c>
      <c r="CA36" s="13">
        <f t="shared" si="39"/>
        <v>34.032103485601695</v>
      </c>
      <c r="CB36" s="20">
        <f t="shared" si="10"/>
        <v>285.95868273742298</v>
      </c>
      <c r="CC36" s="59">
        <f t="shared" si="11"/>
        <v>527.83952857196368</v>
      </c>
      <c r="CD36" s="59">
        <f ca="1">AVERAGE(OFFSET($CC$3,0,0,'Données projet'!$E$12+1,1))-AVERAGE(OFFSET($H$3,0,0,'Données projet'!$E$12+1,1))</f>
        <v>373.61861223558259</v>
      </c>
      <c r="CE36" s="59">
        <f t="shared" si="40"/>
        <v>277.62293009761049</v>
      </c>
      <c r="CF36" s="15">
        <f>IF(ISNA(VLOOKUP(A36,'Données projet'!$A$113:$I$133,3,0)),0,VLOOKUP(A36,'Données projet'!$A$113:$I$133,3,0))</f>
        <v>3</v>
      </c>
      <c r="CG36" s="15">
        <f>IF(ISNA(VLOOKUP(A36,'Données projet'!$A$113:$I$133,4,0)),0,VLOOKUP(A36,'Données projet'!$A$113:$I$133,4,0))</f>
        <v>50.460000000000008</v>
      </c>
      <c r="CH36" s="16">
        <f>IF(ISNA(VLOOKUP(A36,'Données projet'!$A$113:$I$133,5,0)),0%,VLOOKUP(A36,'Données projet'!$A$113:$I$133,5,0)*VLOOKUP('Données projet'!$B$12,Paramètres!$A$1:$I$89,7,0))</f>
        <v>0.1125</v>
      </c>
      <c r="CI36" s="16">
        <f>IF(ISNA(VLOOKUP(A36,'Données projet'!$A$113:$I$133,6,0)),0%,VLOOKUP(A36,'Données projet'!$A$113:$I$133,6,0)*VLOOKUP('Données projet'!$B$12,Paramètres!$A$1:$I$89,7,0))</f>
        <v>0.16650000000000001</v>
      </c>
      <c r="CJ36" s="16">
        <f>IF(ISNA(VLOOKUP(A36,'Données projet'!$A$113:$I$133,7,0)),0%,VLOOKUP(A36,'Données projet'!$A$113:$I$133,7,0))</f>
        <v>0.38</v>
      </c>
      <c r="CK36" s="21">
        <f>EXP(-LN(2)/35)*CK35+(1-EXP(-LN(2)/35))/(LN(2)/35)*CG36*CH36*VLOOKUP('Données projet'!$B$12,Paramètres!$A$1:$I$89,3,0)*0.475*44/12</f>
        <v>11.285877104480107</v>
      </c>
      <c r="CL36" s="21">
        <f>EXP(-LN(2)/25)*CL35+(1-EXP(-LN(2)/25))/(LN(2)/25)*Calculateur!CG36*Calculateur!CI36*VLOOKUP('Données projet'!$B$12,Paramètres!$A$1:$I$89,3,0)*0.475*44/12</f>
        <v>15.967029985418133</v>
      </c>
      <c r="CM36" s="21">
        <f>EXP(-LN(2)/2)*CM35+(1-EXP(-LN(2)/2))/(LN(2)/2)*CG36*CJ36*VLOOKUP('Données projet'!$B$12,Paramètres!$A$1:$I$89,3,0)*0.475*44/12</f>
        <v>14.501806839279157</v>
      </c>
      <c r="CN36" s="22">
        <f t="shared" si="12"/>
        <v>41.754713929177399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103.78367999999999</v>
      </c>
      <c r="CV36" s="13">
        <f t="shared" si="41"/>
        <v>27.861449539780477</v>
      </c>
      <c r="CW36" s="20">
        <f t="shared" si="13"/>
        <v>229.28193394845096</v>
      </c>
      <c r="CX36" s="59">
        <f t="shared" si="14"/>
        <v>471.16277978299172</v>
      </c>
      <c r="CY36" s="59">
        <f ca="1">AVERAGE(OFFSET($CX$3,0,0,'Données projet'!$E$13+1,1))-AVERAGE(OFFSET($H$3,0,0,'Données projet'!$E$13+1,1))</f>
        <v>287.28439432670405</v>
      </c>
      <c r="CZ36" s="59">
        <f t="shared" si="42"/>
        <v>276.01618888357268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6.4736746838596844</v>
      </c>
      <c r="DH36" s="21">
        <f>EXP(-LN(2)/2)*DH35+(1-EXP(-LN(2)/2))/(LN(2)/2)*DB36*DE36*VLOOKUP('Données projet'!$B$13,Paramètres!$A$1:$I$89,3,0)*0.475*44/12</f>
        <v>1.8482374247427424</v>
      </c>
      <c r="DI36" s="22">
        <f t="shared" si="15"/>
        <v>8.3219121086024259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9">
        <f t="shared" si="0"/>
        <v>519.72091477976437</v>
      </c>
      <c r="S37" s="59">
        <f ca="1">AVERAGE(OFFSET($R$3,0,0,'Données projet'!$E$9+1,1))-AVERAGE(OFFSET($H$3,0,0,'Données projet'!$E$9+1,1))</f>
        <v>681.47578137804555</v>
      </c>
      <c r="T37" s="59">
        <f t="shared" si="34"/>
        <v>300.88511065995885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7.7715686274509812</v>
      </c>
      <c r="AI37" s="13">
        <f>IF('Données projet'!$A$62&gt;35,AI36+AH37-AQ36,IF(A37&lt;'Données projet'!$A$62,$AF$205^A37,IF(A37='Données projet'!$A$62,'Données projet'!$B$62,AI36+AH37-AQ36)))</f>
        <v>264.23333333333341</v>
      </c>
      <c r="AJ37" s="13">
        <f>AI37*VLOOKUP('Données projet'!$B$10,Paramètres!$A$1:$I$89,3,0)*VLOOKUP('Données projet'!$B$10,Paramètres!$A$1:$I$89,5,0)</f>
        <v>123.66120000000004</v>
      </c>
      <c r="AK37" s="13">
        <f t="shared" si="35"/>
        <v>32.527414732098869</v>
      </c>
      <c r="AL37" s="20">
        <f t="shared" si="4"/>
        <v>272.02850399173889</v>
      </c>
      <c r="AM37" s="59">
        <f t="shared" si="5"/>
        <v>514.80193545385441</v>
      </c>
      <c r="AN37" s="59">
        <f ca="1">AVERAGE(OFFSET($AM$3,0,0,'Données projet'!$E$10+1,1))-AVERAGE(OFFSET($H$3,0,0,'Données projet'!$E$10+1,1))</f>
        <v>374.38106339726073</v>
      </c>
      <c r="AO37" s="59">
        <f t="shared" si="36"/>
        <v>296.53283288925957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</v>
      </c>
      <c r="BE37" s="13">
        <f>BD37*VLOOKUP('Données projet'!$B$11,Paramètres!$A$1:$I$89,3,0)*VLOOKUP('Données projet'!$B$11,Paramètres!$A$1:$I$89,5,0)</f>
        <v>102.77279999999999</v>
      </c>
      <c r="BF37" s="13">
        <f t="shared" si="37"/>
        <v>27.621523727415045</v>
      </c>
      <c r="BG37" s="20">
        <f t="shared" si="7"/>
        <v>227.10344715858119</v>
      </c>
      <c r="BH37" s="59">
        <f t="shared" si="8"/>
        <v>469.87687862069674</v>
      </c>
      <c r="BI37" s="59">
        <f ca="1">AVERAGE(OFFSET($BH$3,0,0,'Données projet'!$E$11+1,1))-AVERAGE(OFFSET($H$3,0,0,'Données projet'!$E$11+1,1))</f>
        <v>423.80243030843661</v>
      </c>
      <c r="BJ37" s="59">
        <f t="shared" si="38"/>
        <v>260.29028006191834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2.8192749085153155</v>
      </c>
      <c r="BR37" s="21">
        <f>EXP(-LN(2)/2)*BR36+(1-EXP(-LN(2)/2))/(LN(2)/2)*BL37*BO37*VLOOKUP('Données projet'!$B$11,Paramètres!$A$1:$I$89,3,0)*0.475*44/12</f>
        <v>1.2578019087216772</v>
      </c>
      <c r="BS37" s="22">
        <f t="shared" si="9"/>
        <v>4.0770768172369927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16.693750000000001</v>
      </c>
      <c r="BY37" s="12">
        <f>IF('Données projet'!$A$114&gt;35,BY36+BX37-CG36,IF(A37&lt;'Données projet'!$A$114,$BV$205^A37,IF(A37='Données projet'!$A$114,'Données projet'!$B$114,BY36+BX37-CG36)))</f>
        <v>183.88375000000002</v>
      </c>
      <c r="BZ37" s="13">
        <f>BY37*VLOOKUP('Données projet'!$B$12,Paramètres!$A$1:$I$89,3,0)*VLOOKUP('Données projet'!$B$12,Paramètres!$A$1:$I$89,5,0)</f>
        <v>109.96248250000002</v>
      </c>
      <c r="CA37" s="13">
        <f t="shared" si="39"/>
        <v>29.322144981447174</v>
      </c>
      <c r="CB37" s="20">
        <f t="shared" si="10"/>
        <v>242.58739286352048</v>
      </c>
      <c r="CC37" s="59">
        <f t="shared" si="11"/>
        <v>485.36082432563603</v>
      </c>
      <c r="CD37" s="59">
        <f ca="1">AVERAGE(OFFSET($CC$3,0,0,'Données projet'!$E$12+1,1))-AVERAGE(OFFSET($H$3,0,0,'Données projet'!$E$12+1,1))</f>
        <v>373.61861223558259</v>
      </c>
      <c r="CE37" s="59">
        <f t="shared" si="40"/>
        <v>277.62293009761049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11.064567938166578</v>
      </c>
      <c r="CL37" s="21">
        <f>EXP(-LN(2)/25)*CL36+(1-EXP(-LN(2)/25))/(LN(2)/25)*Calculateur!CG37*Calculateur!CI37*VLOOKUP('Données projet'!$B$12,Paramètres!$A$1:$I$89,3,0)*0.475*44/12</f>
        <v>15.530410710797261</v>
      </c>
      <c r="CM37" s="21">
        <f>EXP(-LN(2)/2)*CM36+(1-EXP(-LN(2)/2))/(LN(2)/2)*CG37*CJ37*VLOOKUP('Données projet'!$B$12,Paramètres!$A$1:$I$89,3,0)*0.475*44/12</f>
        <v>10.254325955511746</v>
      </c>
      <c r="CN37" s="22">
        <f t="shared" si="12"/>
        <v>36.849304604475584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111.29663999999997</v>
      </c>
      <c r="CV37" s="13">
        <f t="shared" si="41"/>
        <v>29.636274399319749</v>
      </c>
      <c r="CW37" s="20">
        <f t="shared" si="13"/>
        <v>245.45815924548182</v>
      </c>
      <c r="CX37" s="59">
        <f t="shared" si="14"/>
        <v>488.23159070759743</v>
      </c>
      <c r="CY37" s="59">
        <f ca="1">AVERAGE(OFFSET($CX$3,0,0,'Données projet'!$E$13+1,1))-AVERAGE(OFFSET($H$3,0,0,'Données projet'!$E$13+1,1))</f>
        <v>287.28439432670405</v>
      </c>
      <c r="CZ37" s="59">
        <f t="shared" si="42"/>
        <v>276.01618888357268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6.2966517091937853</v>
      </c>
      <c r="DH37" s="21">
        <f>EXP(-LN(2)/2)*DH36+(1-EXP(-LN(2)/2))/(LN(2)/2)*DB37*DE37*VLOOKUP('Données projet'!$B$13,Paramètres!$A$1:$I$89,3,0)*0.475*44/12</f>
        <v>1.3069012162783546</v>
      </c>
      <c r="DI37" s="22">
        <f t="shared" si="15"/>
        <v>7.6035529254721403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9">
        <f t="shared" si="0"/>
        <v>528.54387382962682</v>
      </c>
      <c r="S38" s="59">
        <f ca="1">AVERAGE(OFFSET($R$3,0,0,'Données projet'!$E$9+1,1))-AVERAGE(OFFSET($H$3,0,0,'Données projet'!$E$9+1,1))</f>
        <v>681.47578137804555</v>
      </c>
      <c r="T38" s="59">
        <f t="shared" si="34"/>
        <v>300.88511065995885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7.7715686274509812</v>
      </c>
      <c r="AI38" s="13">
        <f>IF('Données projet'!$A$62&gt;35,AI37+AH38-AQ37,IF(A38&lt;'Données projet'!$A$62,$AF$205^A38,IF(A38='Données projet'!$A$62,'Données projet'!$B$62,AI37+AH38-AQ37)))</f>
        <v>272.00490196078437</v>
      </c>
      <c r="AJ38" s="13">
        <f>AI38*VLOOKUP('Données projet'!$B$10,Paramètres!$A$1:$I$89,3,0)*VLOOKUP('Données projet'!$B$10,Paramètres!$A$1:$I$89,5,0)</f>
        <v>127.29829411764709</v>
      </c>
      <c r="AK38" s="13">
        <f t="shared" si="35"/>
        <v>33.371313429015686</v>
      </c>
      <c r="AL38" s="20">
        <f t="shared" si="4"/>
        <v>279.83289981043765</v>
      </c>
      <c r="AM38" s="59">
        <f t="shared" si="5"/>
        <v>523.48343253501218</v>
      </c>
      <c r="AN38" s="59">
        <f ca="1">AVERAGE(OFFSET($AM$3,0,0,'Données projet'!$E$10+1,1))-AVERAGE(OFFSET($H$3,0,0,'Données projet'!$E$10+1,1))</f>
        <v>374.38106339726073</v>
      </c>
      <c r="AO38" s="59">
        <f t="shared" si="36"/>
        <v>296.53283288925957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</v>
      </c>
      <c r="BE38" s="13">
        <f>BD38*VLOOKUP('Données projet'!$B$11,Paramètres!$A$1:$I$89,3,0)*VLOOKUP('Données projet'!$B$11,Paramètres!$A$1:$I$89,5,0)</f>
        <v>110.38560000000001</v>
      </c>
      <c r="BF38" s="13">
        <f t="shared" si="37"/>
        <v>29.421816429201407</v>
      </c>
      <c r="BG38" s="20">
        <f t="shared" si="7"/>
        <v>243.49791694752579</v>
      </c>
      <c r="BH38" s="59">
        <f t="shared" si="8"/>
        <v>487.1484496721003</v>
      </c>
      <c r="BI38" s="59">
        <f ca="1">AVERAGE(OFFSET($BH$3,0,0,'Données projet'!$E$11+1,1))-AVERAGE(OFFSET($H$3,0,0,'Données projet'!$E$11+1,1))</f>
        <v>423.80243030843661</v>
      </c>
      <c r="BJ38" s="59">
        <f t="shared" si="38"/>
        <v>260.29028006191834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0.1075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5.1076435184175626</v>
      </c>
      <c r="BR38" s="21">
        <f>EXP(-LN(2)/2)*BR37+(1-EXP(-LN(2)/2))/(LN(2)/2)*BL38*BO38*VLOOKUP('Données projet'!$B$11,Paramètres!$A$1:$I$89,3,0)*0.475*44/12</f>
        <v>5.6031663717235407</v>
      </c>
      <c r="BS38" s="22">
        <f t="shared" si="9"/>
        <v>10.710809890141103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16.693750000000001</v>
      </c>
      <c r="BY38" s="12">
        <f>IF('Données projet'!$A$114&gt;35,BY37+BX38-CG37,IF(A38&lt;'Données projet'!$A$114,$BV$205^A38,IF(A38='Données projet'!$A$114,'Données projet'!$B$114,BY37+BX38-CG37)))</f>
        <v>200.57750000000001</v>
      </c>
      <c r="BZ38" s="13">
        <f>BY38*VLOOKUP('Données projet'!$B$12,Paramètres!$A$1:$I$89,3,0)*VLOOKUP('Données projet'!$B$12,Paramètres!$A$1:$I$89,5,0)</f>
        <v>119.94534500000002</v>
      </c>
      <c r="CA38" s="13">
        <f t="shared" si="39"/>
        <v>31.662251574949313</v>
      </c>
      <c r="CB38" s="20">
        <f t="shared" si="10"/>
        <v>264.04989736803674</v>
      </c>
      <c r="CC38" s="59">
        <f t="shared" si="11"/>
        <v>507.70043009261121</v>
      </c>
      <c r="CD38" s="59">
        <f ca="1">AVERAGE(OFFSET($CC$3,0,0,'Données projet'!$E$12+1,1))-AVERAGE(OFFSET($H$3,0,0,'Données projet'!$E$12+1,1))</f>
        <v>373.61861223558259</v>
      </c>
      <c r="CE38" s="59">
        <f t="shared" si="40"/>
        <v>277.62293009761049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10.847598509619193</v>
      </c>
      <c r="CL38" s="21">
        <f>EXP(-LN(2)/25)*CL37+(1-EXP(-LN(2)/25))/(LN(2)/25)*Calculateur!CG38*Calculateur!CI38*VLOOKUP('Données projet'!$B$12,Paramètres!$A$1:$I$89,3,0)*0.475*44/12</f>
        <v>15.105730813201706</v>
      </c>
      <c r="CM38" s="21">
        <f>EXP(-LN(2)/2)*CM37+(1-EXP(-LN(2)/2))/(LN(2)/2)*CG38*CJ38*VLOOKUP('Données projet'!$B$12,Paramètres!$A$1:$I$89,3,0)*0.475*44/12</f>
        <v>7.2509034196395792</v>
      </c>
      <c r="CN38" s="22">
        <f t="shared" si="12"/>
        <v>33.204232742460476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118.8096</v>
      </c>
      <c r="CV38" s="13">
        <f t="shared" si="41"/>
        <v>31.39719715333722</v>
      </c>
      <c r="CW38" s="20">
        <f t="shared" si="13"/>
        <v>261.61017170872896</v>
      </c>
      <c r="CX38" s="59">
        <f t="shared" si="14"/>
        <v>505.26070443330343</v>
      </c>
      <c r="CY38" s="59">
        <f ca="1">AVERAGE(OFFSET($CX$3,0,0,'Données projet'!$E$13+1,1))-AVERAGE(OFFSET($H$3,0,0,'Données projet'!$E$13+1,1))</f>
        <v>287.28439432670405</v>
      </c>
      <c r="CZ38" s="59">
        <f t="shared" si="42"/>
        <v>276.01618888357268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8.8010575853932576</v>
      </c>
      <c r="DH38" s="21">
        <f>EXP(-LN(2)/2)*DH37+(1-EXP(-LN(2)/2))/(LN(2)/2)*DB38*DE38*VLOOKUP('Données projet'!$B$13,Paramètres!$A$1:$I$89,3,0)*0.475*44/12</f>
        <v>5.2515105535175248</v>
      </c>
      <c r="DI38" s="22">
        <f t="shared" si="15"/>
        <v>14.052568138910782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9">
        <f t="shared" si="0"/>
        <v>537.3466565983415</v>
      </c>
      <c r="S39" s="59">
        <f ca="1">AVERAGE(OFFSET($R$3,0,0,'Données projet'!$E$9+1,1))-AVERAGE(OFFSET($H$3,0,0,'Données projet'!$E$9+1,1))</f>
        <v>681.47578137804555</v>
      </c>
      <c r="T39" s="59">
        <f t="shared" si="34"/>
        <v>300.88511065995885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7.7715686274509812</v>
      </c>
      <c r="AI39" s="13">
        <f>IF('Données projet'!$A$62&gt;35,AI38+AH39-AQ38,IF(A39&lt;'Données projet'!$A$62,$AF$205^A39,IF(A39='Données projet'!$A$62,'Données projet'!$B$62,AI38+AH39-AQ38)))</f>
        <v>279.77647058823533</v>
      </c>
      <c r="AJ39" s="13">
        <f>AI39*VLOOKUP('Données projet'!$B$10,Paramètres!$A$1:$I$89,3,0)*VLOOKUP('Données projet'!$B$10,Paramètres!$A$1:$I$89,5,0)</f>
        <v>130.93538823529414</v>
      </c>
      <c r="AK39" s="13">
        <f t="shared" si="35"/>
        <v>34.212409818864202</v>
      </c>
      <c r="AL39" s="20">
        <f t="shared" si="4"/>
        <v>287.63241494432572</v>
      </c>
      <c r="AM39" s="59">
        <f t="shared" si="5"/>
        <v>532.14483318536008</v>
      </c>
      <c r="AN39" s="59">
        <f ca="1">AVERAGE(OFFSET($AM$3,0,0,'Données projet'!$E$10+1,1))-AVERAGE(OFFSET($H$3,0,0,'Données projet'!$E$10+1,1))</f>
        <v>374.38106339726073</v>
      </c>
      <c r="AO39" s="59">
        <f t="shared" si="36"/>
        <v>296.53283288925957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</v>
      </c>
      <c r="BE39" s="13">
        <f>BD39*VLOOKUP('Données projet'!$B$11,Paramètres!$A$1:$I$89,3,0)*VLOOKUP('Données projet'!$B$11,Paramètres!$A$1:$I$89,5,0)</f>
        <v>98.395440000000008</v>
      </c>
      <c r="BF39" s="13">
        <f t="shared" si="37"/>
        <v>26.57937412584554</v>
      </c>
      <c r="BG39" s="20">
        <f t="shared" si="7"/>
        <v>217.66446793584763</v>
      </c>
      <c r="BH39" s="59">
        <f t="shared" si="8"/>
        <v>462.17688617688202</v>
      </c>
      <c r="BI39" s="59">
        <f ca="1">AVERAGE(OFFSET($BH$3,0,0,'Données projet'!$E$11+1,1))-AVERAGE(OFFSET($H$3,0,0,'Données projet'!$E$11+1,1))</f>
        <v>423.80243030843661</v>
      </c>
      <c r="BJ39" s="59">
        <f t="shared" si="38"/>
        <v>260.29028006191834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4.9679747378071353</v>
      </c>
      <c r="BR39" s="21">
        <f>EXP(-LN(2)/2)*BR38+(1-EXP(-LN(2)/2))/(LN(2)/2)*BL39*BO39*VLOOKUP('Données projet'!$B$11,Paramètres!$A$1:$I$89,3,0)*0.475*44/12</f>
        <v>3.9620369375621394</v>
      </c>
      <c r="BS39" s="22">
        <f t="shared" si="9"/>
        <v>8.9300116753692755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16.693750000000001</v>
      </c>
      <c r="BY39" s="12">
        <f>IF('Données projet'!$A$114&gt;35,BY38+BX39-CG38,IF(A39&lt;'Données projet'!$A$114,$BV$205^A39,IF(A39='Données projet'!$A$114,'Données projet'!$B$114,BY38+BX39-CG38)))</f>
        <v>217.27125000000001</v>
      </c>
      <c r="BZ39" s="13">
        <f>BY39*VLOOKUP('Données projet'!$B$12,Paramètres!$A$1:$I$89,3,0)*VLOOKUP('Données projet'!$B$12,Paramètres!$A$1:$I$89,5,0)</f>
        <v>129.92820750000001</v>
      </c>
      <c r="CA39" s="13">
        <f t="shared" si="39"/>
        <v>33.97976966017913</v>
      </c>
      <c r="CB39" s="20">
        <f t="shared" si="10"/>
        <v>285.47306022064532</v>
      </c>
      <c r="CC39" s="59">
        <f t="shared" si="11"/>
        <v>529.9854784616798</v>
      </c>
      <c r="CD39" s="59">
        <f ca="1">AVERAGE(OFFSET($CC$3,0,0,'Données projet'!$E$12+1,1))-AVERAGE(OFFSET($H$3,0,0,'Données projet'!$E$12+1,1))</f>
        <v>373.61861223558259</v>
      </c>
      <c r="CE39" s="59">
        <f t="shared" si="40"/>
        <v>277.62293009761049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10.634883719227338</v>
      </c>
      <c r="CL39" s="21">
        <f>EXP(-LN(2)/25)*CL38+(1-EXP(-LN(2)/25))/(LN(2)/25)*Calculateur!CG39*Calculateur!CI39*VLOOKUP('Données projet'!$B$12,Paramètres!$A$1:$I$89,3,0)*0.475*44/12</f>
        <v>14.692663809738846</v>
      </c>
      <c r="CM39" s="21">
        <f>EXP(-LN(2)/2)*CM38+(1-EXP(-LN(2)/2))/(LN(2)/2)*CG39*CJ39*VLOOKUP('Données projet'!$B$12,Paramètres!$A$1:$I$89,3,0)*0.475*44/12</f>
        <v>5.1271629777558738</v>
      </c>
      <c r="CN39" s="22">
        <f t="shared" si="12"/>
        <v>30.454710506722058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107.10336</v>
      </c>
      <c r="CV39" s="13">
        <f t="shared" si="41"/>
        <v>28.647457255358184</v>
      </c>
      <c r="CW39" s="20">
        <f t="shared" si="13"/>
        <v>236.43267338641553</v>
      </c>
      <c r="CX39" s="59">
        <f t="shared" si="14"/>
        <v>480.94509162744998</v>
      </c>
      <c r="CY39" s="59">
        <f ca="1">AVERAGE(OFFSET($CX$3,0,0,'Données projet'!$E$13+1,1))-AVERAGE(OFFSET($H$3,0,0,'Données projet'!$E$13+1,1))</f>
        <v>287.28439432670405</v>
      </c>
      <c r="CZ39" s="59">
        <f t="shared" si="42"/>
        <v>276.01618888357268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8.5603922028931763</v>
      </c>
      <c r="DH39" s="21">
        <f>EXP(-LN(2)/2)*DH38+(1-EXP(-LN(2)/2))/(LN(2)/2)*DB39*DE39*VLOOKUP('Données projet'!$B$13,Paramètres!$A$1:$I$89,3,0)*0.475*44/12</f>
        <v>3.7133787238649618</v>
      </c>
      <c r="DI39" s="22">
        <f t="shared" si="15"/>
        <v>12.273770926758138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9">
        <f t="shared" si="0"/>
        <v>546.12968066838414</v>
      </c>
      <c r="S40" s="59">
        <f ca="1">AVERAGE(OFFSET($R$3,0,0,'Données projet'!$E$9+1,1))-AVERAGE(OFFSET($H$3,0,0,'Données projet'!$E$9+1,1))</f>
        <v>681.47578137804555</v>
      </c>
      <c r="T40" s="59">
        <f t="shared" si="34"/>
        <v>300.88511065995885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7.7715686274509812</v>
      </c>
      <c r="AI40" s="13">
        <f>IF('Données projet'!$A$62&gt;35,AI39+AH40-AQ39,IF(A40&lt;'Données projet'!$A$62,$AF$205^A40,IF(A40='Données projet'!$A$62,'Données projet'!$B$62,AI39+AH40-AQ39)))</f>
        <v>287.54803921568629</v>
      </c>
      <c r="AJ40" s="13">
        <f>AI40*VLOOKUP('Données projet'!$B$10,Paramètres!$A$1:$I$89,3,0)*VLOOKUP('Données projet'!$B$10,Paramètres!$A$1:$I$89,5,0)</f>
        <v>134.57248235294117</v>
      </c>
      <c r="AK40" s="13">
        <f t="shared" si="35"/>
        <v>35.050790686567069</v>
      </c>
      <c r="AL40" s="20">
        <f t="shared" si="4"/>
        <v>295.42720054381022</v>
      </c>
      <c r="AM40" s="59">
        <f t="shared" si="5"/>
        <v>540.78655251448129</v>
      </c>
      <c r="AN40" s="59">
        <f ca="1">AVERAGE(OFFSET($AM$3,0,0,'Données projet'!$E$10+1,1))-AVERAGE(OFFSET($H$3,0,0,'Données projet'!$E$10+1,1))</f>
        <v>374.38106339726073</v>
      </c>
      <c r="AO40" s="59">
        <f t="shared" si="36"/>
        <v>296.53283288925957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111.80000000000001</v>
      </c>
      <c r="BE40" s="13">
        <f>BD40*VLOOKUP('Données projet'!$B$11,Paramètres!$A$1:$I$89,3,0)*VLOOKUP('Données projet'!$B$11,Paramètres!$A$1:$I$89,5,0)</f>
        <v>106.38888000000001</v>
      </c>
      <c r="BF40" s="13">
        <f t="shared" si="37"/>
        <v>28.478530760975403</v>
      </c>
      <c r="BG40" s="20">
        <f t="shared" si="7"/>
        <v>234.89407374203219</v>
      </c>
      <c r="BH40" s="59">
        <f t="shared" si="8"/>
        <v>480.25342571270329</v>
      </c>
      <c r="BI40" s="59">
        <f ca="1">AVERAGE(OFFSET($BH$3,0,0,'Données projet'!$E$11+1,1))-AVERAGE(OFFSET($H$3,0,0,'Données projet'!$E$11+1,1))</f>
        <v>423.80243030843661</v>
      </c>
      <c r="BJ40" s="59">
        <f t="shared" si="38"/>
        <v>260.29028006191834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4.832125207347362</v>
      </c>
      <c r="BR40" s="21">
        <f>EXP(-LN(2)/2)*BR39+(1-EXP(-LN(2)/2))/(LN(2)/2)*BL40*BO40*VLOOKUP('Données projet'!$B$11,Paramètres!$A$1:$I$89,3,0)*0.475*44/12</f>
        <v>2.8015831858617708</v>
      </c>
      <c r="BS40" s="22">
        <f t="shared" si="9"/>
        <v>7.6337083932091332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16.693750000000001</v>
      </c>
      <c r="BY40" s="12">
        <f>IF('Données projet'!$A$114&gt;35,BY39+BX40-CG39,IF(A40&lt;'Données projet'!$A$114,$BV$205^A40,IF(A40='Données projet'!$A$114,'Données projet'!$B$114,BY39+BX40-CG39)))</f>
        <v>233.965</v>
      </c>
      <c r="BZ40" s="13">
        <f>BY40*VLOOKUP('Données projet'!$B$12,Paramètres!$A$1:$I$89,3,0)*VLOOKUP('Données projet'!$B$12,Paramètres!$A$1:$I$89,5,0)</f>
        <v>139.91107000000002</v>
      </c>
      <c r="CA40" s="13">
        <f t="shared" si="39"/>
        <v>36.276632127461212</v>
      </c>
      <c r="CB40" s="20">
        <f t="shared" si="10"/>
        <v>306.860247871995</v>
      </c>
      <c r="CC40" s="59">
        <f t="shared" si="11"/>
        <v>552.21959984266607</v>
      </c>
      <c r="CD40" s="59">
        <f ca="1">AVERAGE(OFFSET($CC$3,0,0,'Données projet'!$E$12+1,1))-AVERAGE(OFFSET($H$3,0,0,'Données projet'!$E$12+1,1))</f>
        <v>373.61861223558259</v>
      </c>
      <c r="CE40" s="59">
        <f t="shared" si="40"/>
        <v>277.62293009761049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10.426340136131856</v>
      </c>
      <c r="CL40" s="21">
        <f>EXP(-LN(2)/25)*CL39+(1-EXP(-LN(2)/25))/(LN(2)/25)*Calculateur!CG40*Calculateur!CI40*VLOOKUP('Données projet'!$B$12,Paramètres!$A$1:$I$89,3,0)*0.475*44/12</f>
        <v>14.290892145207929</v>
      </c>
      <c r="CM40" s="21">
        <f>EXP(-LN(2)/2)*CM39+(1-EXP(-LN(2)/2))/(LN(2)/2)*CG40*CJ40*VLOOKUP('Données projet'!$B$12,Paramètres!$A$1:$I$89,3,0)*0.475*44/12</f>
        <v>3.6254517098197905</v>
      </c>
      <c r="CN40" s="22">
        <f t="shared" si="12"/>
        <v>28.342683991159575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113.74271999999996</v>
      </c>
      <c r="CV40" s="13">
        <f t="shared" si="41"/>
        <v>30.211074114233345</v>
      </c>
      <c r="CW40" s="20">
        <f t="shared" si="13"/>
        <v>250.71952474895636</v>
      </c>
      <c r="CX40" s="59">
        <f t="shared" si="14"/>
        <v>496.07887671962749</v>
      </c>
      <c r="CY40" s="59">
        <f ca="1">AVERAGE(OFFSET($CX$3,0,0,'Données projet'!$E$13+1,1))-AVERAGE(OFFSET($H$3,0,0,'Données projet'!$E$13+1,1))</f>
        <v>287.28439432670405</v>
      </c>
      <c r="CZ40" s="59">
        <f t="shared" si="42"/>
        <v>276.01618888357268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8.3263078279336007</v>
      </c>
      <c r="DH40" s="21">
        <f>EXP(-LN(2)/2)*DH39+(1-EXP(-LN(2)/2))/(LN(2)/2)*DB40*DE40*VLOOKUP('Données projet'!$B$13,Paramètres!$A$1:$I$89,3,0)*0.475*44/12</f>
        <v>2.6257552767587629</v>
      </c>
      <c r="DI40" s="22">
        <f t="shared" si="15"/>
        <v>10.952063104692364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9">
        <f t="shared" si="0"/>
        <v>554.89335026645574</v>
      </c>
      <c r="S41" s="59">
        <f ca="1">AVERAGE(OFFSET($R$3,0,0,'Données projet'!$E$9+1,1))-AVERAGE(OFFSET($H$3,0,0,'Données projet'!$E$9+1,1))</f>
        <v>681.47578137804555</v>
      </c>
      <c r="T41" s="59">
        <f t="shared" si="34"/>
        <v>300.88511065995885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7.7715686274509812</v>
      </c>
      <c r="AI41" s="13">
        <f>IF('Données projet'!$A$62&gt;35,AI40+AH41-AQ40,IF(A41&lt;'Données projet'!$A$62,$AF$205^A41,IF(A41='Données projet'!$A$62,'Données projet'!$B$62,AI40+AH41-AQ40)))</f>
        <v>295.31960784313725</v>
      </c>
      <c r="AJ41" s="13">
        <f>AI41*VLOOKUP('Données projet'!$B$10,Paramètres!$A$1:$I$89,3,0)*VLOOKUP('Données projet'!$B$10,Paramètres!$A$1:$I$89,5,0)</f>
        <v>138.20957647058825</v>
      </c>
      <c r="AK41" s="13">
        <f t="shared" si="35"/>
        <v>35.886537858926076</v>
      </c>
      <c r="AL41" s="20">
        <f t="shared" si="4"/>
        <v>303.21739912390404</v>
      </c>
      <c r="AM41" s="59">
        <f t="shared" si="5"/>
        <v>549.40899241746274</v>
      </c>
      <c r="AN41" s="59">
        <f ca="1">AVERAGE(OFFSET($AM$3,0,0,'Données projet'!$E$10+1,1))-AVERAGE(OFFSET($H$3,0,0,'Données projet'!$E$10+1,1))</f>
        <v>374.38106339726073</v>
      </c>
      <c r="AO41" s="59">
        <f t="shared" si="36"/>
        <v>296.53283288925957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120.20000000000002</v>
      </c>
      <c r="BE41" s="13">
        <f>BD41*VLOOKUP('Données projet'!$B$11,Paramètres!$A$1:$I$89,3,0)*VLOOKUP('Données projet'!$B$11,Paramètres!$A$1:$I$89,5,0)</f>
        <v>114.38232000000001</v>
      </c>
      <c r="BF41" s="13">
        <f t="shared" si="37"/>
        <v>30.361134085955022</v>
      </c>
      <c r="BG41" s="20">
        <f t="shared" si="7"/>
        <v>252.09484919970498</v>
      </c>
      <c r="BH41" s="59">
        <f t="shared" si="8"/>
        <v>498.28644249326373</v>
      </c>
      <c r="BI41" s="59">
        <f ca="1">AVERAGE(OFFSET($BH$3,0,0,'Données projet'!$E$11+1,1))-AVERAGE(OFFSET($H$3,0,0,'Données projet'!$E$11+1,1))</f>
        <v>423.80243030843661</v>
      </c>
      <c r="BJ41" s="59">
        <f t="shared" si="38"/>
        <v>260.29028006191834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4.6999904894420279</v>
      </c>
      <c r="BR41" s="21">
        <f>EXP(-LN(2)/2)*BR40+(1-EXP(-LN(2)/2))/(LN(2)/2)*BL41*BO41*VLOOKUP('Données projet'!$B$11,Paramètres!$A$1:$I$89,3,0)*0.475*44/12</f>
        <v>1.9810184687810699</v>
      </c>
      <c r="BS41" s="22">
        <f t="shared" si="9"/>
        <v>6.6810089582230976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16.693750000000001</v>
      </c>
      <c r="BY41" s="12">
        <f>IF('Données projet'!$A$114&gt;35,BY40+BX41-CG40,IF(A41&lt;'Données projet'!$A$114,$BV$205^A41,IF(A41='Données projet'!$A$114,'Données projet'!$B$114,BY40+BX41-CG40)))</f>
        <v>250.65875</v>
      </c>
      <c r="BZ41" s="13">
        <f>BY41*VLOOKUP('Données projet'!$B$12,Paramètres!$A$1:$I$89,3,0)*VLOOKUP('Données projet'!$B$12,Paramètres!$A$1:$I$89,5,0)</f>
        <v>149.89393250000001</v>
      </c>
      <c r="CA41" s="13">
        <f t="shared" si="39"/>
        <v>38.554480408619099</v>
      </c>
      <c r="CB41" s="20">
        <f t="shared" si="10"/>
        <v>328.21431914917827</v>
      </c>
      <c r="CC41" s="59">
        <f t="shared" si="11"/>
        <v>574.40591244273696</v>
      </c>
      <c r="CD41" s="59">
        <f ca="1">AVERAGE(OFFSET($CC$3,0,0,'Données projet'!$E$12+1,1))-AVERAGE(OFFSET($H$3,0,0,'Données projet'!$E$12+1,1))</f>
        <v>373.61861223558259</v>
      </c>
      <c r="CE41" s="59">
        <f t="shared" si="40"/>
        <v>277.62293009761049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10.221885965501851</v>
      </c>
      <c r="CL41" s="21">
        <f>EXP(-LN(2)/25)*CL40+(1-EXP(-LN(2)/25))/(LN(2)/25)*Calculateur!CG41*Calculateur!CI41*VLOOKUP('Données projet'!$B$12,Paramètres!$A$1:$I$89,3,0)*0.475*44/12</f>
        <v>13.900106947971862</v>
      </c>
      <c r="CM41" s="21">
        <f>EXP(-LN(2)/2)*CM40+(1-EXP(-LN(2)/2))/(LN(2)/2)*CG41*CJ41*VLOOKUP('Données projet'!$B$12,Paramètres!$A$1:$I$89,3,0)*0.475*44/12</f>
        <v>2.5635814888779374</v>
      </c>
      <c r="CN41" s="22">
        <f t="shared" si="12"/>
        <v>26.685574402351648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120.38207999999997</v>
      </c>
      <c r="CV41" s="13">
        <f t="shared" si="41"/>
        <v>31.764096685603551</v>
      </c>
      <c r="CW41" s="20">
        <f t="shared" si="13"/>
        <v>264.98792439409277</v>
      </c>
      <c r="CX41" s="59">
        <f t="shared" si="14"/>
        <v>511.17951768765147</v>
      </c>
      <c r="CY41" s="59">
        <f ca="1">AVERAGE(OFFSET($CX$3,0,0,'Données projet'!$E$13+1,1))-AVERAGE(OFFSET($H$3,0,0,'Données projet'!$E$13+1,1))</f>
        <v>287.28439432670405</v>
      </c>
      <c r="CZ41" s="59">
        <f t="shared" si="42"/>
        <v>276.01618888357268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8.0986245025172572</v>
      </c>
      <c r="DH41" s="21">
        <f>EXP(-LN(2)/2)*DH40+(1-EXP(-LN(2)/2))/(LN(2)/2)*DB41*DE41*VLOOKUP('Données projet'!$B$13,Paramètres!$A$1:$I$89,3,0)*0.475*44/12</f>
        <v>1.8566893619324811</v>
      </c>
      <c r="DI41" s="22">
        <f t="shared" si="15"/>
        <v>9.9553138644497388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9">
        <f t="shared" si="0"/>
        <v>563.63805706193386</v>
      </c>
      <c r="S42" s="59">
        <f ca="1">AVERAGE(OFFSET($R$3,0,0,'Données projet'!$E$9+1,1))-AVERAGE(OFFSET($H$3,0,0,'Données projet'!$E$9+1,1))</f>
        <v>681.47578137804555</v>
      </c>
      <c r="T42" s="59">
        <f t="shared" si="34"/>
        <v>300.88511065995885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7.7715686274509812</v>
      </c>
      <c r="AI42" s="13">
        <f>IF('Données projet'!$A$62&gt;35,AI41+AH42-AQ41,IF(A42&lt;'Données projet'!$A$62,$AF$205^A42,IF(A42='Données projet'!$A$62,'Données projet'!$B$62,AI41+AH42-AQ41)))</f>
        <v>303.09117647058821</v>
      </c>
      <c r="AJ42" s="13">
        <f>AI42*VLOOKUP('Données projet'!$B$10,Paramètres!$A$1:$I$89,3,0)*VLOOKUP('Données projet'!$B$10,Paramètres!$A$1:$I$89,5,0)</f>
        <v>141.8466705882353</v>
      </c>
      <c r="AK42" s="13">
        <f t="shared" si="35"/>
        <v>36.719728610807536</v>
      </c>
      <c r="AL42" s="20">
        <f t="shared" si="4"/>
        <v>311.00314527166626</v>
      </c>
      <c r="AM42" s="59">
        <f t="shared" si="5"/>
        <v>558.0125423617734</v>
      </c>
      <c r="AN42" s="59">
        <f ca="1">AVERAGE(OFFSET($AM$3,0,0,'Données projet'!$E$10+1,1))-AVERAGE(OFFSET($H$3,0,0,'Données projet'!$E$10+1,1))</f>
        <v>374.38106339726073</v>
      </c>
      <c r="AO42" s="59">
        <f t="shared" si="36"/>
        <v>296.53283288925957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122.37576000000003</v>
      </c>
      <c r="BF42" s="13">
        <f t="shared" si="37"/>
        <v>32.22847248868726</v>
      </c>
      <c r="BG42" s="20">
        <f t="shared" si="7"/>
        <v>269.26903825113033</v>
      </c>
      <c r="BH42" s="59">
        <f t="shared" si="8"/>
        <v>516.27843534123747</v>
      </c>
      <c r="BI42" s="59">
        <f ca="1">AVERAGE(OFFSET($BH$3,0,0,'Données projet'!$E$11+1,1))-AVERAGE(OFFSET($H$3,0,0,'Données projet'!$E$11+1,1))</f>
        <v>423.80243030843661</v>
      </c>
      <c r="BJ42" s="59">
        <f t="shared" si="38"/>
        <v>260.29028006191834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4.5714690023464781</v>
      </c>
      <c r="BR42" s="21">
        <f>EXP(-LN(2)/2)*BR41+(1-EXP(-LN(2)/2))/(LN(2)/2)*BL42*BO42*VLOOKUP('Données projet'!$B$11,Paramètres!$A$1:$I$89,3,0)*0.475*44/12</f>
        <v>1.4007915929308856</v>
      </c>
      <c r="BS42" s="22">
        <f t="shared" si="9"/>
        <v>5.9722605952773637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16.693750000000001</v>
      </c>
      <c r="BY42" s="12">
        <f>IF('Données projet'!$A$114&gt;35,BY41+BX42-CG41,IF(A42&lt;'Données projet'!$A$114,$BV$205^A42,IF(A42='Données projet'!$A$114,'Données projet'!$B$114,BY41+BX42-CG41)))</f>
        <v>267.35250000000002</v>
      </c>
      <c r="BZ42" s="13">
        <f>BY42*VLOOKUP('Données projet'!$B$12,Paramètres!$A$1:$I$89,3,0)*VLOOKUP('Données projet'!$B$12,Paramètres!$A$1:$I$89,5,0)</f>
        <v>159.87679500000002</v>
      </c>
      <c r="CA42" s="13">
        <f t="shared" si="39"/>
        <v>40.814724929285397</v>
      </c>
      <c r="CB42" s="20">
        <f t="shared" si="10"/>
        <v>349.5377305435054</v>
      </c>
      <c r="CC42" s="59">
        <f t="shared" si="11"/>
        <v>596.54712763361249</v>
      </c>
      <c r="CD42" s="59">
        <f ca="1">AVERAGE(OFFSET($CC$3,0,0,'Données projet'!$E$12+1,1))-AVERAGE(OFFSET($H$3,0,0,'Données projet'!$E$12+1,1))</f>
        <v>373.61861223558259</v>
      </c>
      <c r="CE42" s="59">
        <f t="shared" si="40"/>
        <v>277.62293009761049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10.021441016453171</v>
      </c>
      <c r="CL42" s="21">
        <f>EXP(-LN(2)/25)*CL41+(1-EXP(-LN(2)/25))/(LN(2)/25)*Calculateur!CG42*Calculateur!CI42*VLOOKUP('Données projet'!$B$12,Paramètres!$A$1:$I$89,3,0)*0.475*44/12</f>
        <v>13.520007792504716</v>
      </c>
      <c r="CM42" s="21">
        <f>EXP(-LN(2)/2)*CM41+(1-EXP(-LN(2)/2))/(LN(2)/2)*CG42*CJ42*VLOOKUP('Données projet'!$B$12,Paramètres!$A$1:$I$89,3,0)*0.475*44/12</f>
        <v>1.8127258549098955</v>
      </c>
      <c r="CN42" s="22">
        <f t="shared" si="12"/>
        <v>25.354174663867784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127.02143999999997</v>
      </c>
      <c r="CV42" s="13">
        <f t="shared" si="41"/>
        <v>33.307175870664402</v>
      </c>
      <c r="CW42" s="20">
        <f t="shared" si="13"/>
        <v>279.23900597474045</v>
      </c>
      <c r="CX42" s="59">
        <f t="shared" si="14"/>
        <v>526.24840306484759</v>
      </c>
      <c r="CY42" s="59">
        <f ca="1">AVERAGE(OFFSET($CX$3,0,0,'Données projet'!$E$13+1,1))-AVERAGE(OFFSET($H$3,0,0,'Données projet'!$E$13+1,1))</f>
        <v>287.28439432670405</v>
      </c>
      <c r="CZ42" s="59">
        <f t="shared" si="42"/>
        <v>276.01618888357268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7.8771671896077695</v>
      </c>
      <c r="DH42" s="21">
        <f>EXP(-LN(2)/2)*DH41+(1-EXP(-LN(2)/2))/(LN(2)/2)*DB42*DE42*VLOOKUP('Données projet'!$B$13,Paramètres!$A$1:$I$89,3,0)*0.475*44/12</f>
        <v>1.3128776383793817</v>
      </c>
      <c r="DI42" s="22">
        <f t="shared" si="15"/>
        <v>9.1900448279871512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9">
        <f t="shared" si="0"/>
        <v>572.36418088812457</v>
      </c>
      <c r="S43" s="59">
        <f ca="1">AVERAGE(OFFSET($R$3,0,0,'Données projet'!$E$9+1,1))-AVERAGE(OFFSET($H$3,0,0,'Données projet'!$E$9+1,1))</f>
        <v>681.47578137804555</v>
      </c>
      <c r="T43" s="59">
        <f t="shared" si="34"/>
        <v>300.88511065995885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7.7715686274509812</v>
      </c>
      <c r="AI43" s="13">
        <f>IF('Données projet'!$A$62&gt;35,AI42+AH43-AQ42,IF(A43&lt;'Données projet'!$A$62,$AF$205^A43,IF(A43='Données projet'!$A$62,'Données projet'!$B$62,AI42+AH43-AQ42)))</f>
        <v>310.86274509803917</v>
      </c>
      <c r="AJ43" s="13">
        <f>AI43*VLOOKUP('Données projet'!$B$10,Paramètres!$A$1:$I$89,3,0)*VLOOKUP('Données projet'!$B$10,Paramètres!$A$1:$I$89,5,0)</f>
        <v>145.48376470588232</v>
      </c>
      <c r="AK43" s="13">
        <f t="shared" si="35"/>
        <v>37.550436028495511</v>
      </c>
      <c r="AL43" s="20">
        <f t="shared" si="4"/>
        <v>318.78456627904137</v>
      </c>
      <c r="AM43" s="59">
        <f t="shared" si="5"/>
        <v>566.59758009816221</v>
      </c>
      <c r="AN43" s="59">
        <f ca="1">AVERAGE(OFFSET($AM$3,0,0,'Données projet'!$E$10+1,1))-AVERAGE(OFFSET($H$3,0,0,'Données projet'!$E$10+1,1))</f>
        <v>374.38106339726073</v>
      </c>
      <c r="AO43" s="59">
        <f t="shared" si="36"/>
        <v>296.53283288925957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130.36920000000003</v>
      </c>
      <c r="BF43" s="13">
        <f t="shared" si="37"/>
        <v>34.081656526320486</v>
      </c>
      <c r="BG43" s="20">
        <f t="shared" si="7"/>
        <v>286.4185751166749</v>
      </c>
      <c r="BH43" s="59">
        <f t="shared" si="8"/>
        <v>534.23158893579568</v>
      </c>
      <c r="BI43" s="59">
        <f ca="1">AVERAGE(OFFSET($BH$3,0,0,'Données projet'!$E$11+1,1))-AVERAGE(OFFSET($H$3,0,0,'Données projet'!$E$11+1,1))</f>
        <v>423.80243030843661</v>
      </c>
      <c r="BJ43" s="59">
        <f t="shared" si="38"/>
        <v>260.29028006191834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0.1075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6.8119237726090294</v>
      </c>
      <c r="BR43" s="21">
        <f>EXP(-LN(2)/2)*BR42+(1-EXP(-LN(2)/2))/(LN(2)/2)*BL43*BO43*VLOOKUP('Données projet'!$B$11,Paramètres!$A$1:$I$89,3,0)*0.475*44/12</f>
        <v>5.7042753470675942</v>
      </c>
      <c r="BS43" s="22">
        <f t="shared" si="9"/>
        <v>12.516199119676624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16.693750000000001</v>
      </c>
      <c r="BY43" s="12">
        <f>IF('Données projet'!$A$114&gt;35,BY42+BX43-CG42,IF(A43&lt;'Données projet'!$A$114,$BV$205^A43,IF(A43='Données projet'!$A$114,'Données projet'!$B$114,BY42+BX43-CG42)))</f>
        <v>284.04625000000004</v>
      </c>
      <c r="BZ43" s="13">
        <f>BY43*VLOOKUP('Données projet'!$B$12,Paramètres!$A$1:$I$89,3,0)*VLOOKUP('Données projet'!$B$12,Paramètres!$A$1:$I$89,5,0)</f>
        <v>169.85965750000003</v>
      </c>
      <c r="CA43" s="13">
        <f t="shared" si="39"/>
        <v>43.058590023226742</v>
      </c>
      <c r="CB43" s="20">
        <f t="shared" si="10"/>
        <v>370.83261443628663</v>
      </c>
      <c r="CC43" s="59">
        <f t="shared" si="11"/>
        <v>618.64562825540747</v>
      </c>
      <c r="CD43" s="59">
        <f ca="1">AVERAGE(OFFSET($CC$3,0,0,'Données projet'!$E$12+1,1))-AVERAGE(OFFSET($H$3,0,0,'Données projet'!$E$12+1,1))</f>
        <v>373.61861223558259</v>
      </c>
      <c r="CE43" s="59">
        <f t="shared" si="40"/>
        <v>277.62293009761049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9.8249266705959872</v>
      </c>
      <c r="CL43" s="21">
        <f>EXP(-LN(2)/25)*CL42+(1-EXP(-LN(2)/25))/(LN(2)/25)*Calculateur!CG43*Calculateur!CI43*VLOOKUP('Données projet'!$B$12,Paramètres!$A$1:$I$89,3,0)*0.475*44/12</f>
        <v>13.150302468432365</v>
      </c>
      <c r="CM43" s="21">
        <f>EXP(-LN(2)/2)*CM42+(1-EXP(-LN(2)/2))/(LN(2)/2)*CG43*CJ43*VLOOKUP('Données projet'!$B$12,Paramètres!$A$1:$I$89,3,0)*0.475*44/12</f>
        <v>1.2817907444389689</v>
      </c>
      <c r="CN43" s="22">
        <f t="shared" si="12"/>
        <v>24.257019883467319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133.66079999999997</v>
      </c>
      <c r="CV43" s="13">
        <f t="shared" si="41"/>
        <v>34.840890682716719</v>
      </c>
      <c r="CW43" s="20">
        <f t="shared" si="13"/>
        <v>293.47377793906486</v>
      </c>
      <c r="CX43" s="59">
        <f t="shared" si="14"/>
        <v>541.2867917581857</v>
      </c>
      <c r="CY43" s="59">
        <f ca="1">AVERAGE(OFFSET($CX$3,0,0,'Données projet'!$E$13+1,1))-AVERAGE(OFFSET($H$3,0,0,'Données projet'!$E$13+1,1))</f>
        <v>287.28439432670405</v>
      </c>
      <c r="CZ43" s="59">
        <f t="shared" si="42"/>
        <v>276.01618888357268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10.338353786879626</v>
      </c>
      <c r="DH43" s="21">
        <f>EXP(-LN(2)/2)*DH42+(1-EXP(-LN(2)/2))/(LN(2)/2)*DB43*DE43*VLOOKUP('Données projet'!$B$13,Paramètres!$A$1:$I$89,3,0)*0.475*44/12</f>
        <v>5.2557365221123939</v>
      </c>
      <c r="DI43" s="22">
        <f t="shared" si="15"/>
        <v>15.594090308992019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9">
        <f t="shared" si="0"/>
        <v>581.07209039603197</v>
      </c>
      <c r="S44" s="59">
        <f ca="1">AVERAGE(OFFSET($R$3,0,0,'Données projet'!$E$9+1,1))-AVERAGE(OFFSET($H$3,0,0,'Données projet'!$E$9+1,1))</f>
        <v>681.47578137804555</v>
      </c>
      <c r="T44" s="59">
        <f t="shared" si="34"/>
        <v>300.88511065995885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7.7715686274509812</v>
      </c>
      <c r="AI44" s="13">
        <f>IF('Données projet'!$A$62&gt;35,AI43+AH44-AQ43,IF(A44&lt;'Données projet'!$A$62,$AF$205^A44,IF(A44='Données projet'!$A$62,'Données projet'!$B$62,AI43+AH44-AQ43)))</f>
        <v>318.63431372549013</v>
      </c>
      <c r="AJ44" s="13">
        <f>AI44*VLOOKUP('Données projet'!$B$10,Paramètres!$A$1:$I$89,3,0)*VLOOKUP('Données projet'!$B$10,Paramètres!$A$1:$I$89,5,0)</f>
        <v>149.12085882352937</v>
      </c>
      <c r="AK44" s="13">
        <f t="shared" si="35"/>
        <v>38.378729335686863</v>
      </c>
      <c r="AL44" s="20">
        <f t="shared" si="4"/>
        <v>326.56178271063499</v>
      </c>
      <c r="AM44" s="59">
        <f t="shared" si="5"/>
        <v>575.16447230513893</v>
      </c>
      <c r="AN44" s="59">
        <f ca="1">AVERAGE(OFFSET($AM$3,0,0,'Données projet'!$E$10+1,1))-AVERAGE(OFFSET($H$3,0,0,'Données projet'!$E$10+1,1))</f>
        <v>374.38106339726073</v>
      </c>
      <c r="AO44" s="59">
        <f t="shared" si="36"/>
        <v>296.53283288925957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118.37904000000003</v>
      </c>
      <c r="BF44" s="13">
        <f t="shared" si="37"/>
        <v>31.296638268907181</v>
      </c>
      <c r="BG44" s="20">
        <f t="shared" si="7"/>
        <v>260.68513965168</v>
      </c>
      <c r="BH44" s="59">
        <f t="shared" si="8"/>
        <v>509.28782924618395</v>
      </c>
      <c r="BI44" s="59">
        <f ca="1">AVERAGE(OFFSET($BH$3,0,0,'Données projet'!$E$11+1,1))-AVERAGE(OFFSET($H$3,0,0,'Données projet'!$E$11+1,1))</f>
        <v>423.80243030843661</v>
      </c>
      <c r="BJ44" s="59">
        <f t="shared" si="38"/>
        <v>260.29028006191834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6.6256513588235331</v>
      </c>
      <c r="BR44" s="21">
        <f>EXP(-LN(2)/2)*BR43+(1-EXP(-LN(2)/2))/(LN(2)/2)*BL44*BO44*VLOOKUP('Données projet'!$B$11,Paramètres!$A$1:$I$89,3,0)*0.475*44/12</f>
        <v>4.0335317796667427</v>
      </c>
      <c r="BS44" s="22">
        <f t="shared" si="9"/>
        <v>10.659183138490276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300.74</v>
      </c>
      <c r="BW44" s="12">
        <f>VLOOKUP(A44,'Données projet'!$A$113:$I$133,9,0)</f>
        <v>16.693750000000001</v>
      </c>
      <c r="BX44" s="12">
        <f t="array" ref="BX44">INDEX(BW:BW,MIN(IF(ISNUMBER(BW44:BW240),ROW(BW44:BW240),"")))</f>
        <v>16.693750000000001</v>
      </c>
      <c r="BY44" s="12">
        <f>IF('Données projet'!$A$114&gt;35,BY43+BX44-CG43,IF(A44&lt;'Données projet'!$A$114,$BV$205^A44,IF(A44='Données projet'!$A$114,'Données projet'!$B$114,BY43+BX44-CG43)))</f>
        <v>300.74000000000007</v>
      </c>
      <c r="BZ44" s="13">
        <f>BY44*VLOOKUP('Données projet'!$B$12,Paramètres!$A$1:$I$89,3,0)*VLOOKUP('Données projet'!$B$12,Paramètres!$A$1:$I$89,5,0)</f>
        <v>179.84252000000006</v>
      </c>
      <c r="CA44" s="13">
        <f t="shared" si="39"/>
        <v>45.287147983377729</v>
      </c>
      <c r="CB44" s="20">
        <f t="shared" si="10"/>
        <v>392.10083840438301</v>
      </c>
      <c r="CC44" s="59">
        <f t="shared" si="11"/>
        <v>640.70352799888701</v>
      </c>
      <c r="CD44" s="59">
        <f ca="1">AVERAGE(OFFSET($CC$3,0,0,'Données projet'!$E$12+1,1))-AVERAGE(OFFSET($H$3,0,0,'Données projet'!$E$12+1,1))</f>
        <v>373.61861223558259</v>
      </c>
      <c r="CE44" s="59">
        <f t="shared" si="40"/>
        <v>277.62293009761049</v>
      </c>
      <c r="CF44" s="15">
        <f>IF(ISNA(VLOOKUP(A44,'Données projet'!$A$113:$I$133,3,0)),0,VLOOKUP(A44,'Données projet'!$A$113:$I$133,3,0))</f>
        <v>4</v>
      </c>
      <c r="CG44" s="15">
        <f>IF(ISNA(VLOOKUP(A44,'Données projet'!$A$113:$I$133,4,0)),0,VLOOKUP(A44,'Données projet'!$A$113:$I$133,4,0))</f>
        <v>72.16</v>
      </c>
      <c r="CH44" s="16">
        <f>IF(ISNA(VLOOKUP(A44,'Données projet'!$A$113:$I$133,5,0)),0%,VLOOKUP(A44,'Données projet'!$A$113:$I$133,5,0)*VLOOKUP('Données projet'!$B$12,Paramètres!$A$1:$I$89,7,0))</f>
        <v>0.27</v>
      </c>
      <c r="CI44" s="16">
        <f>IF(ISNA(VLOOKUP(A44,'Données projet'!$A$113:$I$133,6,0)),0%,VLOOKUP(A44,'Données projet'!$A$113:$I$133,6,0)*VLOOKUP('Données projet'!$B$12,Paramètres!$A$1:$I$89,7,0))</f>
        <v>9.0000000000000011E-2</v>
      </c>
      <c r="CJ44" s="16">
        <f>IF(ISNA(VLOOKUP(A44,'Données projet'!$A$113:$I$133,7,0)),0%,VLOOKUP(A44,'Données projet'!$A$113:$I$133,7,0))</f>
        <v>0.2</v>
      </c>
      <c r="CK44" s="21">
        <f>EXP(-LN(2)/35)*CK43+(1-EXP(-LN(2)/35))/(LN(2)/35)*CG44*CH44*VLOOKUP('Données projet'!$B$12,Paramètres!$A$1:$I$89,3,0)*0.475*44/12</f>
        <v>25.088006768934498</v>
      </c>
      <c r="CL44" s="21">
        <f>EXP(-LN(2)/25)*CL43+(1-EXP(-LN(2)/25))/(LN(2)/25)*Calculateur!CG44*Calculateur!CI44*VLOOKUP('Données projet'!$B$12,Paramètres!$A$1:$I$89,3,0)*0.475*44/12</f>
        <v>17.922335348103143</v>
      </c>
      <c r="CM44" s="21">
        <f>EXP(-LN(2)/2)*CM43+(1-EXP(-LN(2)/2))/(LN(2)/2)*CG44*CJ44*VLOOKUP('Données projet'!$B$12,Paramètres!$A$1:$I$89,3,0)*0.475*44/12</f>
        <v>10.677908085160318</v>
      </c>
      <c r="CN44" s="22">
        <f t="shared" si="12"/>
        <v>53.688250202197956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120.90623999999997</v>
      </c>
      <c r="CV44" s="13">
        <f t="shared" si="41"/>
        <v>31.886272251257857</v>
      </c>
      <c r="CW44" s="20">
        <f t="shared" si="13"/>
        <v>266.11362550427401</v>
      </c>
      <c r="CX44" s="59">
        <f t="shared" si="14"/>
        <v>514.71631509877795</v>
      </c>
      <c r="CY44" s="59">
        <f ca="1">AVERAGE(OFFSET($CX$3,0,0,'Données projet'!$E$13+1,1))-AVERAGE(OFFSET($H$3,0,0,'Données projet'!$E$13+1,1))</f>
        <v>287.28439432670405</v>
      </c>
      <c r="CZ44" s="59">
        <f t="shared" si="42"/>
        <v>276.01618888357268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10.055650958907005</v>
      </c>
      <c r="DH44" s="21">
        <f>EXP(-LN(2)/2)*DH43+(1-EXP(-LN(2)/2))/(LN(2)/2)*DB44*DE44*VLOOKUP('Données projet'!$B$13,Paramètres!$A$1:$I$89,3,0)*0.475*44/12</f>
        <v>3.7163669349154751</v>
      </c>
      <c r="DI44" s="22">
        <f t="shared" si="15"/>
        <v>13.772017893822481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9">
        <f t="shared" si="0"/>
        <v>589.762143648912</v>
      </c>
      <c r="S45" s="59">
        <f ca="1">AVERAGE(OFFSET($R$3,0,0,'Données projet'!$E$9+1,1))-AVERAGE(OFFSET($H$3,0,0,'Données projet'!$E$9+1,1))</f>
        <v>681.47578137804555</v>
      </c>
      <c r="T45" s="59">
        <f t="shared" si="34"/>
        <v>300.88511065995885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7.7715686274509812</v>
      </c>
      <c r="AI45" s="13">
        <f>IF('Données projet'!$A$62&gt;35,AI44+AH45-AQ44,IF(A45&lt;'Données projet'!$A$62,$AF$205^A45,IF(A45='Données projet'!$A$62,'Données projet'!$B$62,AI44+AH45-AQ44)))</f>
        <v>326.40588235294109</v>
      </c>
      <c r="AJ45" s="13">
        <f>AI45*VLOOKUP('Données projet'!$B$10,Paramètres!$A$1:$I$89,3,0)*VLOOKUP('Données projet'!$B$10,Paramètres!$A$1:$I$89,5,0)</f>
        <v>152.75795294117643</v>
      </c>
      <c r="AK45" s="13">
        <f t="shared" si="35"/>
        <v>39.204674186786249</v>
      </c>
      <c r="AL45" s="20">
        <f t="shared" si="4"/>
        <v>334.33490891453494</v>
      </c>
      <c r="AM45" s="59">
        <f t="shared" si="5"/>
        <v>583.71357517516969</v>
      </c>
      <c r="AN45" s="59">
        <f ca="1">AVERAGE(OFFSET($AM$3,0,0,'Données projet'!$E$10+1,1))-AVERAGE(OFFSET($H$3,0,0,'Données projet'!$E$10+1,1))</f>
        <v>374.38106339726073</v>
      </c>
      <c r="AO45" s="59">
        <f t="shared" si="36"/>
        <v>296.53283288925957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126.37248000000004</v>
      </c>
      <c r="BF45" s="13">
        <f t="shared" si="37"/>
        <v>33.156770349896121</v>
      </c>
      <c r="BG45" s="20">
        <f t="shared" si="7"/>
        <v>277.84677769273577</v>
      </c>
      <c r="BH45" s="59">
        <f t="shared" si="8"/>
        <v>527.22544395337047</v>
      </c>
      <c r="BI45" s="59">
        <f ca="1">AVERAGE(OFFSET($BH$3,0,0,'Données projet'!$E$11+1,1))-AVERAGE(OFFSET($H$3,0,0,'Données projet'!$E$11+1,1))</f>
        <v>423.80243030843661</v>
      </c>
      <c r="BJ45" s="59">
        <f t="shared" si="38"/>
        <v>260.29028006191834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6.4444725739886417</v>
      </c>
      <c r="BR45" s="21">
        <f>EXP(-LN(2)/2)*BR44+(1-EXP(-LN(2)/2))/(LN(2)/2)*BL45*BO45*VLOOKUP('Données projet'!$B$11,Paramètres!$A$1:$I$89,3,0)*0.475*44/12</f>
        <v>2.8521376735337971</v>
      </c>
      <c r="BS45" s="22">
        <f t="shared" si="9"/>
        <v>9.2966102475224393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15.714444444444442</v>
      </c>
      <c r="BY45" s="12">
        <f>IF('Données projet'!$A$114&gt;35,BY44+BX45-CG44,IF(A45&lt;'Données projet'!$A$114,$BV$205^A45,IF(A45='Données projet'!$A$114,'Données projet'!$B$114,BY44+BX45-CG44)))</f>
        <v>244.29444444444451</v>
      </c>
      <c r="BZ45" s="13">
        <f>BY45*VLOOKUP('Données projet'!$B$12,Paramètres!$A$1:$I$89,3,0)*VLOOKUP('Données projet'!$B$12,Paramètres!$A$1:$I$89,5,0)</f>
        <v>146.08807777777784</v>
      </c>
      <c r="CA45" s="13">
        <f t="shared" si="39"/>
        <v>37.688224634642516</v>
      </c>
      <c r="CB45" s="20">
        <f t="shared" si="10"/>
        <v>320.07706003496543</v>
      </c>
      <c r="CC45" s="59">
        <f t="shared" si="11"/>
        <v>569.45572629560013</v>
      </c>
      <c r="CD45" s="59">
        <f ca="1">AVERAGE(OFFSET($CC$3,0,0,'Données projet'!$E$12+1,1))-AVERAGE(OFFSET($H$3,0,0,'Données projet'!$E$12+1,1))</f>
        <v>373.61861223558259</v>
      </c>
      <c r="CE45" s="59">
        <f t="shared" si="40"/>
        <v>277.62293009761049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24.596046258368858</v>
      </c>
      <c r="CL45" s="21">
        <f>EXP(-LN(2)/25)*CL44+(1-EXP(-LN(2)/25))/(LN(2)/25)*Calculateur!CG45*Calculateur!CI45*VLOOKUP('Données projet'!$B$12,Paramètres!$A$1:$I$89,3,0)*0.475*44/12</f>
        <v>17.43224814551461</v>
      </c>
      <c r="CM45" s="21">
        <f>EXP(-LN(2)/2)*CM44+(1-EXP(-LN(2)/2))/(LN(2)/2)*CG45*CJ45*VLOOKUP('Données projet'!$B$12,Paramètres!$A$1:$I$89,3,0)*0.475*44/12</f>
        <v>7.5504212159035244</v>
      </c>
      <c r="CN45" s="22">
        <f t="shared" si="12"/>
        <v>49.57871561978699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126.49727999999998</v>
      </c>
      <c r="CV45" s="13">
        <f t="shared" si="41"/>
        <v>33.185701456959592</v>
      </c>
      <c r="CW45" s="20">
        <f t="shared" si="13"/>
        <v>278.11452603753787</v>
      </c>
      <c r="CX45" s="59">
        <f t="shared" si="14"/>
        <v>527.49319229817263</v>
      </c>
      <c r="CY45" s="59">
        <f ca="1">AVERAGE(OFFSET($CX$3,0,0,'Données projet'!$E$13+1,1))-AVERAGE(OFFSET($H$3,0,0,'Données projet'!$E$13+1,1))</f>
        <v>287.28439432670405</v>
      </c>
      <c r="CZ45" s="59">
        <f t="shared" si="42"/>
        <v>276.01618888357268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9.7806786546319913</v>
      </c>
      <c r="DH45" s="21">
        <f>EXP(-LN(2)/2)*DH44+(1-EXP(-LN(2)/2))/(LN(2)/2)*DB45*DE45*VLOOKUP('Données projet'!$B$13,Paramètres!$A$1:$I$89,3,0)*0.475*44/12</f>
        <v>2.6278682610561974</v>
      </c>
      <c r="DI45" s="22">
        <f t="shared" si="15"/>
        <v>12.408546915688188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9">
        <f t="shared" si="0"/>
        <v>523.89336176039023</v>
      </c>
      <c r="S46" s="59">
        <f ca="1">AVERAGE(OFFSET($R$3,0,0,'Données projet'!$E$9+1,1))-AVERAGE(OFFSET($H$3,0,0,'Données projet'!$E$9+1,1))</f>
        <v>681.47578137804555</v>
      </c>
      <c r="T46" s="59">
        <f t="shared" si="34"/>
        <v>300.88511065995885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7.7715686274509812</v>
      </c>
      <c r="AI46" s="13">
        <f>IF('Données projet'!$A$62&gt;35,AI45+AH46-AQ45,IF(A46&lt;'Données projet'!$A$62,$AF$205^A46,IF(A46='Données projet'!$A$62,'Données projet'!$B$62,AI45+AH46-AQ45)))</f>
        <v>334.17745098039205</v>
      </c>
      <c r="AJ46" s="13">
        <f>AI46*VLOOKUP('Données projet'!$B$10,Paramètres!$A$1:$I$89,3,0)*VLOOKUP('Données projet'!$B$10,Paramètres!$A$1:$I$89,5,0)</f>
        <v>156.39504705882348</v>
      </c>
      <c r="AK46" s="13">
        <f t="shared" si="35"/>
        <v>40.028332931481749</v>
      </c>
      <c r="AL46" s="20">
        <f t="shared" si="4"/>
        <v>342.10405348311491</v>
      </c>
      <c r="AM46" s="59">
        <f t="shared" si="5"/>
        <v>592.24523494954701</v>
      </c>
      <c r="AN46" s="59">
        <f ca="1">AVERAGE(OFFSET($AM$3,0,0,'Données projet'!$E$10+1,1))-AVERAGE(OFFSET($H$3,0,0,'Données projet'!$E$10+1,1))</f>
        <v>374.38106339726073</v>
      </c>
      <c r="AO46" s="59">
        <f t="shared" si="36"/>
        <v>296.53283288925957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134.36592000000005</v>
      </c>
      <c r="BF46" s="13">
        <f t="shared" si="37"/>
        <v>35.003247613199107</v>
      </c>
      <c r="BG46" s="20">
        <f t="shared" si="7"/>
        <v>294.98463359298847</v>
      </c>
      <c r="BH46" s="59">
        <f t="shared" si="8"/>
        <v>545.12581505942057</v>
      </c>
      <c r="BI46" s="59">
        <f ca="1">AVERAGE(OFFSET($BH$3,0,0,'Données projet'!$E$11+1,1))-AVERAGE(OFFSET($H$3,0,0,'Données projet'!$E$11+1,1))</f>
        <v>423.80243030843661</v>
      </c>
      <c r="BJ46" s="59">
        <f t="shared" si="38"/>
        <v>260.29028006191834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6.2682481325528387</v>
      </c>
      <c r="BR46" s="21">
        <f>EXP(-LN(2)/2)*BR45+(1-EXP(-LN(2)/2))/(LN(2)/2)*BL46*BO46*VLOOKUP('Données projet'!$B$11,Paramètres!$A$1:$I$89,3,0)*0.475*44/12</f>
        <v>2.0167658898333714</v>
      </c>
      <c r="BS46" s="22">
        <f t="shared" si="9"/>
        <v>8.2850140223862105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15.714444444444442</v>
      </c>
      <c r="BY46" s="12">
        <f>IF('Données projet'!$A$114&gt;35,BY45+BX46-CG45,IF(A46&lt;'Données projet'!$A$114,$BV$205^A46,IF(A46='Données projet'!$A$114,'Données projet'!$B$114,BY45+BX46-CG45)))</f>
        <v>260.00888888888898</v>
      </c>
      <c r="BZ46" s="13">
        <f>BY46*VLOOKUP('Données projet'!$B$12,Paramètres!$A$1:$I$89,3,0)*VLOOKUP('Données projet'!$B$12,Paramètres!$A$1:$I$89,5,0)</f>
        <v>155.48531555555562</v>
      </c>
      <c r="CA46" s="13">
        <f t="shared" si="39"/>
        <v>39.822525633411466</v>
      </c>
      <c r="CB46" s="20">
        <f t="shared" si="10"/>
        <v>340.16115673745094</v>
      </c>
      <c r="CC46" s="59">
        <f t="shared" si="11"/>
        <v>590.30233820388298</v>
      </c>
      <c r="CD46" s="59">
        <f ca="1">AVERAGE(OFFSET($CC$3,0,0,'Données projet'!$E$12+1,1))-AVERAGE(OFFSET($H$3,0,0,'Données projet'!$E$12+1,1))</f>
        <v>373.61861223558259</v>
      </c>
      <c r="CE46" s="59">
        <f t="shared" si="40"/>
        <v>277.62293009761049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24.113732793349126</v>
      </c>
      <c r="CL46" s="21">
        <f>EXP(-LN(2)/25)*CL45+(1-EXP(-LN(2)/25))/(LN(2)/25)*Calculateur!CG46*Calculateur!CI46*VLOOKUP('Données projet'!$B$12,Paramètres!$A$1:$I$89,3,0)*0.475*44/12</f>
        <v>16.955562403253424</v>
      </c>
      <c r="CM46" s="21">
        <f>EXP(-LN(2)/2)*CM45+(1-EXP(-LN(2)/2))/(LN(2)/2)*CG46*CJ46*VLOOKUP('Données projet'!$B$12,Paramètres!$A$1:$I$89,3,0)*0.475*44/12</f>
        <v>5.33895404258016</v>
      </c>
      <c r="CN46" s="22">
        <f t="shared" si="12"/>
        <v>46.408249239182716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132.08831999999998</v>
      </c>
      <c r="CV46" s="13">
        <f t="shared" si="41"/>
        <v>34.47846029657056</v>
      </c>
      <c r="CW46" s="20">
        <f t="shared" si="13"/>
        <v>290.10380901652701</v>
      </c>
      <c r="CX46" s="59">
        <f t="shared" si="14"/>
        <v>540.24499048295911</v>
      </c>
      <c r="CY46" s="59">
        <f ca="1">AVERAGE(OFFSET($CX$3,0,0,'Données projet'!$E$13+1,1))-AVERAGE(OFFSET($H$3,0,0,'Données projet'!$E$13+1,1))</f>
        <v>287.28439432670405</v>
      </c>
      <c r="CZ46" s="59">
        <f t="shared" si="42"/>
        <v>276.01618888357268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9.5132254824775426</v>
      </c>
      <c r="DH46" s="21">
        <f>EXP(-LN(2)/2)*DH45+(1-EXP(-LN(2)/2))/(LN(2)/2)*DB46*DE46*VLOOKUP('Données projet'!$B$13,Paramètres!$A$1:$I$89,3,0)*0.475*44/12</f>
        <v>1.8581834674577378</v>
      </c>
      <c r="DI46" s="22">
        <f t="shared" si="15"/>
        <v>11.37140894993528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9">
        <f t="shared" si="0"/>
        <v>544.25928256518523</v>
      </c>
      <c r="S47" s="59">
        <f ca="1">AVERAGE(OFFSET($R$3,0,0,'Données projet'!$E$9+1,1))-AVERAGE(OFFSET($H$3,0,0,'Données projet'!$E$9+1,1))</f>
        <v>681.47578137804555</v>
      </c>
      <c r="T47" s="59">
        <f t="shared" si="34"/>
        <v>300.88511065995885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7.7715686274509812</v>
      </c>
      <c r="AI47" s="13">
        <f>IF('Données projet'!$A$62&gt;35,AI46+AH47-AQ46,IF(A47&lt;'Données projet'!$A$62,$AF$205^A47,IF(A47='Données projet'!$A$62,'Données projet'!$B$62,AI46+AH47-AQ46)))</f>
        <v>341.94901960784301</v>
      </c>
      <c r="AJ47" s="13">
        <f>AI47*VLOOKUP('Données projet'!$B$10,Paramètres!$A$1:$I$89,3,0)*VLOOKUP('Données projet'!$B$10,Paramètres!$A$1:$I$89,5,0)</f>
        <v>160.03214117647053</v>
      </c>
      <c r="AK47" s="13">
        <f t="shared" si="35"/>
        <v>40.849764854015</v>
      </c>
      <c r="AL47" s="20">
        <f t="shared" si="4"/>
        <v>349.86931966976226</v>
      </c>
      <c r="AM47" s="59">
        <f t="shared" si="5"/>
        <v>600.75978840789969</v>
      </c>
      <c r="AN47" s="59">
        <f ca="1">AVERAGE(OFFSET($AM$3,0,0,'Données projet'!$E$10+1,1))-AVERAGE(OFFSET($H$3,0,0,'Données projet'!$E$10+1,1))</f>
        <v>374.38106339726073</v>
      </c>
      <c r="AO47" s="59">
        <f t="shared" si="36"/>
        <v>296.53283288925957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142.35936000000004</v>
      </c>
      <c r="BF47" s="13">
        <f t="shared" si="37"/>
        <v>36.836974905762489</v>
      </c>
      <c r="BG47" s="20">
        <f t="shared" si="7"/>
        <v>312.10028329420305</v>
      </c>
      <c r="BH47" s="59">
        <f t="shared" si="8"/>
        <v>562.99075203234042</v>
      </c>
      <c r="BI47" s="59">
        <f ca="1">AVERAGE(OFFSET($BH$3,0,0,'Données projet'!$E$11+1,1))-AVERAGE(OFFSET($H$3,0,0,'Données projet'!$E$11+1,1))</f>
        <v>423.80243030843661</v>
      </c>
      <c r="BJ47" s="59">
        <f t="shared" si="38"/>
        <v>260.29028006191834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6.0968425577353385</v>
      </c>
      <c r="BR47" s="21">
        <f>EXP(-LN(2)/2)*BR46+(1-EXP(-LN(2)/2))/(LN(2)/2)*BL47*BO47*VLOOKUP('Données projet'!$B$11,Paramètres!$A$1:$I$89,3,0)*0.475*44/12</f>
        <v>1.4260688367668986</v>
      </c>
      <c r="BS47" s="22">
        <f t="shared" si="9"/>
        <v>7.5229113945022368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15.714444444444442</v>
      </c>
      <c r="BY47" s="12">
        <f>IF('Données projet'!$A$114&gt;35,BY46+BX47-CG46,IF(A47&lt;'Données projet'!$A$114,$BV$205^A47,IF(A47='Données projet'!$A$114,'Données projet'!$B$114,BY46+BX47-CG46)))</f>
        <v>275.72333333333341</v>
      </c>
      <c r="BZ47" s="13">
        <f>BY47*VLOOKUP('Données projet'!$B$12,Paramètres!$A$1:$I$89,3,0)*VLOOKUP('Données projet'!$B$12,Paramètres!$A$1:$I$89,5,0)</f>
        <v>164.88255333333339</v>
      </c>
      <c r="CA47" s="13">
        <f t="shared" si="39"/>
        <v>41.941854905576896</v>
      </c>
      <c r="CB47" s="20">
        <f t="shared" si="10"/>
        <v>360.2191776827687</v>
      </c>
      <c r="CC47" s="59">
        <f t="shared" si="11"/>
        <v>611.10964642090607</v>
      </c>
      <c r="CD47" s="59">
        <f ca="1">AVERAGE(OFFSET($CC$3,0,0,'Données projet'!$E$12+1,1))-AVERAGE(OFFSET($H$3,0,0,'Données projet'!$E$12+1,1))</f>
        <v>373.61861223558259</v>
      </c>
      <c r="CE47" s="59">
        <f t="shared" si="40"/>
        <v>277.62293009761049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23.640877201196265</v>
      </c>
      <c r="CL47" s="21">
        <f>EXP(-LN(2)/25)*CL46+(1-EXP(-LN(2)/25))/(LN(2)/25)*Calculateur!CG47*Calculateur!CI47*VLOOKUP('Données projet'!$B$12,Paramètres!$A$1:$I$89,3,0)*0.475*44/12</f>
        <v>16.491911657682184</v>
      </c>
      <c r="CM47" s="21">
        <f>EXP(-LN(2)/2)*CM46+(1-EXP(-LN(2)/2))/(LN(2)/2)*CG47*CJ47*VLOOKUP('Données projet'!$B$12,Paramètres!$A$1:$I$89,3,0)*0.475*44/12</f>
        <v>3.7752106079517627</v>
      </c>
      <c r="CN47" s="22">
        <f t="shared" si="12"/>
        <v>43.907999466830212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137.67935999999997</v>
      </c>
      <c r="CV47" s="13">
        <f t="shared" si="41"/>
        <v>35.764863394856881</v>
      </c>
      <c r="CW47" s="20">
        <f t="shared" si="13"/>
        <v>302.08202241270902</v>
      </c>
      <c r="CX47" s="59">
        <f t="shared" si="14"/>
        <v>552.97249115084651</v>
      </c>
      <c r="CY47" s="59">
        <f ca="1">AVERAGE(OFFSET($CX$3,0,0,'Données projet'!$E$13+1,1))-AVERAGE(OFFSET($H$3,0,0,'Données projet'!$E$13+1,1))</f>
        <v>287.28439432670405</v>
      </c>
      <c r="CZ47" s="59">
        <f t="shared" si="42"/>
        <v>276.01618888357268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9.2530858313804085</v>
      </c>
      <c r="DH47" s="21">
        <f>EXP(-LN(2)/2)*DH46+(1-EXP(-LN(2)/2))/(LN(2)/2)*DB47*DE47*VLOOKUP('Données projet'!$B$13,Paramètres!$A$1:$I$89,3,0)*0.475*44/12</f>
        <v>1.3139341305280989</v>
      </c>
      <c r="DI47" s="22">
        <f t="shared" si="15"/>
        <v>10.567019961908507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9">
        <f t="shared" si="0"/>
        <v>564.58293364486485</v>
      </c>
      <c r="S48" s="59">
        <f ca="1">AVERAGE(OFFSET($R$3,0,0,'Données projet'!$E$9+1,1))-AVERAGE(OFFSET($H$3,0,0,'Données projet'!$E$9+1,1))</f>
        <v>681.47578137804555</v>
      </c>
      <c r="T48" s="59">
        <f t="shared" si="34"/>
        <v>300.88511065995885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7.7715686274509812</v>
      </c>
      <c r="AI48" s="13">
        <f>IF('Données projet'!$A$62&gt;35,AI47+AH48-AQ47,IF(A48&lt;'Données projet'!$A$62,$AF$205^A48,IF(A48='Données projet'!$A$62,'Données projet'!$B$62,AI47+AH48-AQ47)))</f>
        <v>349.72058823529397</v>
      </c>
      <c r="AJ48" s="13">
        <f>AI48*VLOOKUP('Données projet'!$B$10,Paramètres!$A$1:$I$89,3,0)*VLOOKUP('Données projet'!$B$10,Paramètres!$A$1:$I$89,5,0)</f>
        <v>163.66923529411758</v>
      </c>
      <c r="AK48" s="13">
        <f t="shared" si="35"/>
        <v>41.669026390086572</v>
      </c>
      <c r="AL48" s="20">
        <f t="shared" si="4"/>
        <v>357.63080576665556</v>
      </c>
      <c r="AM48" s="59">
        <f t="shared" si="5"/>
        <v>609.25756331748971</v>
      </c>
      <c r="AN48" s="59">
        <f ca="1">AVERAGE(OFFSET($AM$3,0,0,'Données projet'!$E$10+1,1))-AVERAGE(OFFSET($H$3,0,0,'Données projet'!$E$10+1,1))</f>
        <v>374.38106339726073</v>
      </c>
      <c r="AO48" s="59">
        <f t="shared" si="36"/>
        <v>296.53283288925957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150.35280000000006</v>
      </c>
      <c r="BF48" s="13">
        <f t="shared" si="37"/>
        <v>38.658749721546236</v>
      </c>
      <c r="BG48" s="20">
        <f t="shared" si="7"/>
        <v>329.19511576502646</v>
      </c>
      <c r="BH48" s="59">
        <f t="shared" si="8"/>
        <v>580.82187331586056</v>
      </c>
      <c r="BI48" s="59">
        <f ca="1">AVERAGE(OFFSET($BH$3,0,0,'Données projet'!$E$11+1,1))-AVERAGE(OFFSET($H$3,0,0,'Données projet'!$E$11+1,1))</f>
        <v>423.80243030843661</v>
      </c>
      <c r="BJ48" s="59">
        <f t="shared" si="38"/>
        <v>260.29028006191834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0.1075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8.2955859079098726</v>
      </c>
      <c r="BR48" s="21">
        <f>EXP(-LN(2)/2)*BR47+(1-EXP(-LN(2)/2))/(LN(2)/2)*BL48*BO48*VLOOKUP('Données projet'!$B$11,Paramètres!$A$1:$I$89,3,0)*0.475*44/12</f>
        <v>5.7221490575937448</v>
      </c>
      <c r="BS48" s="22">
        <f t="shared" si="9"/>
        <v>14.017734965503617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15.714444444444442</v>
      </c>
      <c r="BY48" s="12">
        <f>IF('Données projet'!$A$114&gt;35,BY47+BX48-CG47,IF(A48&lt;'Données projet'!$A$114,$BV$205^A48,IF(A48='Données projet'!$A$114,'Données projet'!$B$114,BY47+BX48-CG47)))</f>
        <v>291.43777777777785</v>
      </c>
      <c r="BZ48" s="13">
        <f>BY48*VLOOKUP('Données projet'!$B$12,Paramètres!$A$1:$I$89,3,0)*VLOOKUP('Données projet'!$B$12,Paramètres!$A$1:$I$89,5,0)</f>
        <v>174.27979111111117</v>
      </c>
      <c r="CA48" s="13">
        <f t="shared" si="39"/>
        <v>44.047162970671543</v>
      </c>
      <c r="CB48" s="20">
        <f t="shared" si="10"/>
        <v>380.25277835910487</v>
      </c>
      <c r="CC48" s="59">
        <f t="shared" si="11"/>
        <v>631.87953590993902</v>
      </c>
      <c r="CD48" s="59">
        <f ca="1">AVERAGE(OFFSET($CC$3,0,0,'Données projet'!$E$12+1,1))-AVERAGE(OFFSET($H$3,0,0,'Données projet'!$E$12+1,1))</f>
        <v>373.61861223558259</v>
      </c>
      <c r="CE48" s="59">
        <f t="shared" si="40"/>
        <v>277.62293009761049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23.17729401879209</v>
      </c>
      <c r="CL48" s="21">
        <f>EXP(-LN(2)/25)*CL47+(1-EXP(-LN(2)/25))/(LN(2)/25)*Calculateur!CG48*Calculateur!CI48*VLOOKUP('Données projet'!$B$12,Paramètres!$A$1:$I$89,3,0)*0.475*44/12</f>
        <v>16.040939466130922</v>
      </c>
      <c r="CM48" s="21">
        <f>EXP(-LN(2)/2)*CM47+(1-EXP(-LN(2)/2))/(LN(2)/2)*CG48*CJ48*VLOOKUP('Données projet'!$B$12,Paramètres!$A$1:$I$89,3,0)*0.475*44/12</f>
        <v>2.6694770212900805</v>
      </c>
      <c r="CN48" s="22">
        <f t="shared" si="12"/>
        <v>41.887710506213089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143.2704</v>
      </c>
      <c r="CV48" s="13">
        <f t="shared" si="41"/>
        <v>37.045198377171303</v>
      </c>
      <c r="CW48" s="20">
        <f t="shared" si="13"/>
        <v>314.04966717357325</v>
      </c>
      <c r="CX48" s="59">
        <f t="shared" si="14"/>
        <v>565.67642472440741</v>
      </c>
      <c r="CY48" s="59">
        <f ca="1">AVERAGE(OFFSET($CX$3,0,0,'Données projet'!$E$13+1,1))-AVERAGE(OFFSET($H$3,0,0,'Données projet'!$E$13+1,1))</f>
        <v>287.28439432670405</v>
      </c>
      <c r="CZ48" s="59">
        <f t="shared" si="42"/>
        <v>276.01618888357268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11.29427812556316</v>
      </c>
      <c r="DH48" s="21">
        <f>EXP(-LN(2)/2)*DH47+(1-EXP(-LN(2)/2))/(LN(2)/2)*DB48*DE48*VLOOKUP('Données projet'!$B$13,Paramètres!$A$1:$I$89,3,0)*0.475*44/12</f>
        <v>4.6382847404255712</v>
      </c>
      <c r="DI48" s="22">
        <f t="shared" si="15"/>
        <v>15.932562865988732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9">
        <f t="shared" si="0"/>
        <v>584.86662957617989</v>
      </c>
      <c r="S49" s="59">
        <f ca="1">AVERAGE(OFFSET($R$3,0,0,'Données projet'!$E$9+1,1))-AVERAGE(OFFSET($H$3,0,0,'Données projet'!$E$9+1,1))</f>
        <v>681.47578137804555</v>
      </c>
      <c r="T49" s="59">
        <f t="shared" si="34"/>
        <v>300.88511065995885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7.7715686274509812</v>
      </c>
      <c r="AI49" s="13">
        <f>IF('Données projet'!$A$62&gt;35,AI48+AH49-AQ48,IF(A49&lt;'Données projet'!$A$62,$AF$205^A49,IF(A49='Données projet'!$A$62,'Données projet'!$B$62,AI48+AH49-AQ48)))</f>
        <v>357.49215686274493</v>
      </c>
      <c r="AJ49" s="13">
        <f>AI49*VLOOKUP('Données projet'!$B$10,Paramètres!$A$1:$I$89,3,0)*VLOOKUP('Données projet'!$B$10,Paramètres!$A$1:$I$89,5,0)</f>
        <v>167.30632941176464</v>
      </c>
      <c r="AK49" s="13">
        <f t="shared" si="35"/>
        <v>42.486171323937178</v>
      </c>
      <c r="AL49" s="20">
        <f t="shared" si="4"/>
        <v>365.388605448014</v>
      </c>
      <c r="AM49" s="59">
        <f t="shared" si="5"/>
        <v>617.73887884673968</v>
      </c>
      <c r="AN49" s="59">
        <f ca="1">AVERAGE(OFFSET($AM$3,0,0,'Données projet'!$E$10+1,1))-AVERAGE(OFFSET($H$3,0,0,'Données projet'!$E$10+1,1))</f>
        <v>374.38106339726073</v>
      </c>
      <c r="AO49" s="59">
        <f t="shared" si="36"/>
        <v>296.53283288925957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138.17232000000004</v>
      </c>
      <c r="BF49" s="13">
        <f t="shared" si="37"/>
        <v>35.877989993863793</v>
      </c>
      <c r="BG49" s="20">
        <f t="shared" si="7"/>
        <v>303.13762323931286</v>
      </c>
      <c r="BH49" s="59">
        <f t="shared" si="8"/>
        <v>555.48789663803848</v>
      </c>
      <c r="BI49" s="59">
        <f ca="1">AVERAGE(OFFSET($BH$3,0,0,'Données projet'!$E$11+1,1))-AVERAGE(OFFSET($H$3,0,0,'Données projet'!$E$11+1,1))</f>
        <v>423.80243030843661</v>
      </c>
      <c r="BJ49" s="59">
        <f t="shared" si="38"/>
        <v>260.29028006191834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8.0687426750121745</v>
      </c>
      <c r="BR49" s="21">
        <f>EXP(-LN(2)/2)*BR48+(1-EXP(-LN(2)/2))/(LN(2)/2)*BL49*BO49*VLOOKUP('Données projet'!$B$11,Paramètres!$A$1:$I$89,3,0)*0.475*44/12</f>
        <v>4.0461704015847495</v>
      </c>
      <c r="BS49" s="22">
        <f t="shared" si="9"/>
        <v>12.114913076596924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15.714444444444442</v>
      </c>
      <c r="BY49" s="12">
        <f>IF('Données projet'!$A$114&gt;35,BY48+BX49-CG48,IF(A49&lt;'Données projet'!$A$114,$BV$205^A49,IF(A49='Données projet'!$A$114,'Données projet'!$B$114,BY48+BX49-CG48)))</f>
        <v>307.15222222222229</v>
      </c>
      <c r="BZ49" s="13">
        <f>BY49*VLOOKUP('Données projet'!$B$12,Paramètres!$A$1:$I$89,3,0)*VLOOKUP('Données projet'!$B$12,Paramètres!$A$1:$I$89,5,0)</f>
        <v>183.67702888888894</v>
      </c>
      <c r="CA49" s="13">
        <f t="shared" si="39"/>
        <v>46.139292054148385</v>
      </c>
      <c r="CB49" s="20">
        <f t="shared" si="10"/>
        <v>400.2634256424567</v>
      </c>
      <c r="CC49" s="59">
        <f t="shared" si="11"/>
        <v>652.61369904118237</v>
      </c>
      <c r="CD49" s="59">
        <f ca="1">AVERAGE(OFFSET($CC$3,0,0,'Données projet'!$E$12+1,1))-AVERAGE(OFFSET($H$3,0,0,'Données projet'!$E$12+1,1))</f>
        <v>373.61861223558259</v>
      </c>
      <c r="CE49" s="59">
        <f t="shared" si="40"/>
        <v>277.62293009761049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22.72280141983704</v>
      </c>
      <c r="CL49" s="21">
        <f>EXP(-LN(2)/25)*CL48+(1-EXP(-LN(2)/25))/(LN(2)/25)*Calculateur!CG49*Calculateur!CI49*VLOOKUP('Données projet'!$B$12,Paramètres!$A$1:$I$89,3,0)*0.475*44/12</f>
        <v>15.602299132873227</v>
      </c>
      <c r="CM49" s="21">
        <f>EXP(-LN(2)/2)*CM48+(1-EXP(-LN(2)/2))/(LN(2)/2)*CG49*CJ49*VLOOKUP('Données projet'!$B$12,Paramètres!$A$1:$I$89,3,0)*0.475*44/12</f>
        <v>1.8876053039758818</v>
      </c>
      <c r="CN49" s="22">
        <f t="shared" si="12"/>
        <v>40.212705856686149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132.43776</v>
      </c>
      <c r="CV49" s="13">
        <f t="shared" si="41"/>
        <v>34.559043580858436</v>
      </c>
      <c r="CW49" s="20">
        <f t="shared" si="13"/>
        <v>290.85276623666175</v>
      </c>
      <c r="CX49" s="59">
        <f t="shared" si="14"/>
        <v>543.20303963538743</v>
      </c>
      <c r="CY49" s="59">
        <f ca="1">AVERAGE(OFFSET($CX$3,0,0,'Données projet'!$E$13+1,1))-AVERAGE(OFFSET($H$3,0,0,'Données projet'!$E$13+1,1))</f>
        <v>287.28439432670405</v>
      </c>
      <c r="CZ49" s="59">
        <f t="shared" si="42"/>
        <v>276.01618888357268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10.985435496279361</v>
      </c>
      <c r="DH49" s="21">
        <f>EXP(-LN(2)/2)*DH48+(1-EXP(-LN(2)/2))/(LN(2)/2)*DB49*DE49*VLOOKUP('Données projet'!$B$13,Paramètres!$A$1:$I$89,3,0)*0.475*44/12</f>
        <v>3.2797625930290071</v>
      </c>
      <c r="DI49" s="22">
        <f t="shared" si="15"/>
        <v>14.265198089308369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9">
        <f t="shared" si="0"/>
        <v>605.11241520790622</v>
      </c>
      <c r="S50" s="59">
        <f ca="1">AVERAGE(OFFSET($R$3,0,0,'Données projet'!$E$9+1,1))-AVERAGE(OFFSET($H$3,0,0,'Données projet'!$E$9+1,1))</f>
        <v>681.47578137804555</v>
      </c>
      <c r="T50" s="59">
        <f t="shared" si="34"/>
        <v>300.88511065995885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7.7715686274509812</v>
      </c>
      <c r="AI50" s="13">
        <f>IF('Données projet'!$A$62&gt;35,AI49+AH50-AQ49,IF(A50&lt;'Données projet'!$A$62,$AF$205^A50,IF(A50='Données projet'!$A$62,'Données projet'!$B$62,AI49+AH50-AQ49)))</f>
        <v>365.2637254901959</v>
      </c>
      <c r="AJ50" s="13">
        <f>AI50*VLOOKUP('Données projet'!$B$10,Paramètres!$A$1:$I$89,3,0)*VLOOKUP('Données projet'!$B$10,Paramètres!$A$1:$I$89,5,0)</f>
        <v>170.94342352941169</v>
      </c>
      <c r="AK50" s="13">
        <f t="shared" si="35"/>
        <v>43.301250967807881</v>
      </c>
      <c r="AL50" s="20">
        <f t="shared" si="4"/>
        <v>373.14280808265738</v>
      </c>
      <c r="AM50" s="59">
        <f t="shared" si="5"/>
        <v>626.20404594685283</v>
      </c>
      <c r="AN50" s="59">
        <f ca="1">AVERAGE(OFFSET($AM$3,0,0,'Données projet'!$E$10+1,1))-AVERAGE(OFFSET($H$3,0,0,'Données projet'!$E$10+1,1))</f>
        <v>374.38106339726073</v>
      </c>
      <c r="AO50" s="59">
        <f t="shared" si="36"/>
        <v>296.53283288925957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145.97544000000002</v>
      </c>
      <c r="BF50" s="13">
        <f t="shared" si="37"/>
        <v>37.662547285900686</v>
      </c>
      <c r="BG50" s="20">
        <f t="shared" si="7"/>
        <v>319.83616118961032</v>
      </c>
      <c r="BH50" s="59">
        <f t="shared" si="8"/>
        <v>572.89739905380566</v>
      </c>
      <c r="BI50" s="59">
        <f ca="1">AVERAGE(OFFSET($BH$3,0,0,'Données projet'!$E$11+1,1))-AVERAGE(OFFSET($H$3,0,0,'Données projet'!$E$11+1,1))</f>
        <v>423.80243030843661</v>
      </c>
      <c r="BJ50" s="59">
        <f t="shared" si="38"/>
        <v>260.29028006191834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7.8481024822472305</v>
      </c>
      <c r="BR50" s="21">
        <f>EXP(-LN(2)/2)*BR49+(1-EXP(-LN(2)/2))/(LN(2)/2)*BL50*BO50*VLOOKUP('Données projet'!$B$11,Paramètres!$A$1:$I$89,3,0)*0.475*44/12</f>
        <v>2.8610745287968729</v>
      </c>
      <c r="BS50" s="22">
        <f t="shared" si="9"/>
        <v>10.709177011044103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15.714444444444442</v>
      </c>
      <c r="BY50" s="12">
        <f>IF('Données projet'!$A$114&gt;35,BY49+BX50-CG49,IF(A50&lt;'Données projet'!$A$114,$BV$205^A50,IF(A50='Données projet'!$A$114,'Données projet'!$B$114,BY49+BX50-CG49)))</f>
        <v>322.86666666666673</v>
      </c>
      <c r="BZ50" s="13">
        <f>BY50*VLOOKUP('Données projet'!$B$12,Paramètres!$A$1:$I$89,3,0)*VLOOKUP('Données projet'!$B$12,Paramètres!$A$1:$I$89,5,0)</f>
        <v>193.07426666666672</v>
      </c>
      <c r="CA50" s="13">
        <f t="shared" si="39"/>
        <v>48.218993334236252</v>
      </c>
      <c r="CB50" s="20">
        <f t="shared" si="10"/>
        <v>420.25242783490597</v>
      </c>
      <c r="CC50" s="59">
        <f t="shared" si="11"/>
        <v>673.31366569910142</v>
      </c>
      <c r="CD50" s="59">
        <f ca="1">AVERAGE(OFFSET($CC$3,0,0,'Données projet'!$E$12+1,1))-AVERAGE(OFFSET($H$3,0,0,'Données projet'!$E$12+1,1))</f>
        <v>373.61861223558259</v>
      </c>
      <c r="CE50" s="59">
        <f t="shared" si="40"/>
        <v>277.62293009761049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22.277221143534387</v>
      </c>
      <c r="CL50" s="21">
        <f>EXP(-LN(2)/25)*CL49+(1-EXP(-LN(2)/25))/(LN(2)/25)*Calculateur!CG50*Calculateur!CI50*VLOOKUP('Données projet'!$B$12,Paramètres!$A$1:$I$89,3,0)*0.475*44/12</f>
        <v>15.175653442595557</v>
      </c>
      <c r="CM50" s="21">
        <f>EXP(-LN(2)/2)*CM49+(1-EXP(-LN(2)/2))/(LN(2)/2)*CG50*CJ50*VLOOKUP('Données projet'!$B$12,Paramètres!$A$1:$I$89,3,0)*0.475*44/12</f>
        <v>1.3347385106450405</v>
      </c>
      <c r="CN50" s="22">
        <f t="shared" si="12"/>
        <v>38.787613096774983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137.32991999999999</v>
      </c>
      <c r="CV50" s="13">
        <f t="shared" si="41"/>
        <v>35.684643836992151</v>
      </c>
      <c r="CW50" s="20">
        <f t="shared" si="13"/>
        <v>301.33369868276128</v>
      </c>
      <c r="CX50" s="59">
        <f t="shared" si="14"/>
        <v>554.39493654695661</v>
      </c>
      <c r="CY50" s="59">
        <f ca="1">AVERAGE(OFFSET($CX$3,0,0,'Données projet'!$E$13+1,1))-AVERAGE(OFFSET($H$3,0,0,'Données projet'!$E$13+1,1))</f>
        <v>287.28439432670405</v>
      </c>
      <c r="CZ50" s="59">
        <f t="shared" si="42"/>
        <v>276.01618888357268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10.685038184934657</v>
      </c>
      <c r="DH50" s="21">
        <f>EXP(-LN(2)/2)*DH49+(1-EXP(-LN(2)/2))/(LN(2)/2)*DB50*DE50*VLOOKUP('Données projet'!$B$13,Paramètres!$A$1:$I$89,3,0)*0.475*44/12</f>
        <v>2.319142370212786</v>
      </c>
      <c r="DI50" s="22">
        <f t="shared" si="15"/>
        <v>13.004180555147443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9">
        <f t="shared" si="0"/>
        <v>625.32211273176426</v>
      </c>
      <c r="S51" s="59">
        <f ca="1">AVERAGE(OFFSET($R$3,0,0,'Données projet'!$E$9+1,1))-AVERAGE(OFFSET($H$3,0,0,'Données projet'!$E$9+1,1))</f>
        <v>681.47578137804555</v>
      </c>
      <c r="T51" s="59">
        <f t="shared" si="34"/>
        <v>300.88511065995885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7.7715686274509812</v>
      </c>
      <c r="AI51" s="13">
        <f>IF('Données projet'!$A$62&gt;35,AI50+AH51-AQ50,IF(A51&lt;'Données projet'!$A$62,$AF$205^A51,IF(A51='Données projet'!$A$62,'Données projet'!$B$62,AI50+AH51-AQ50)))</f>
        <v>373.03529411764686</v>
      </c>
      <c r="AJ51" s="13">
        <f>AI51*VLOOKUP('Données projet'!$B$10,Paramètres!$A$1:$I$89,3,0)*VLOOKUP('Données projet'!$B$10,Paramètres!$A$1:$I$89,5,0)</f>
        <v>174.58051764705874</v>
      </c>
      <c r="AK51" s="13">
        <f t="shared" si="35"/>
        <v>44.114314325696256</v>
      </c>
      <c r="AL51" s="20">
        <f t="shared" si="4"/>
        <v>380.89349901921491</v>
      </c>
      <c r="AM51" s="59">
        <f t="shared" si="5"/>
        <v>634.65336770488261</v>
      </c>
      <c r="AN51" s="59">
        <f ca="1">AVERAGE(OFFSET($AM$3,0,0,'Données projet'!$E$10+1,1))-AVERAGE(OFFSET($H$3,0,0,'Données projet'!$E$10+1,1))</f>
        <v>374.38106339726073</v>
      </c>
      <c r="AO51" s="59">
        <f t="shared" si="36"/>
        <v>296.53283288925957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153.77856000000003</v>
      </c>
      <c r="BF51" s="13">
        <f t="shared" si="37"/>
        <v>39.436029674841947</v>
      </c>
      <c r="BG51" s="20">
        <f t="shared" si="7"/>
        <v>336.51541035034978</v>
      </c>
      <c r="BH51" s="59">
        <f t="shared" si="8"/>
        <v>590.27527903601754</v>
      </c>
      <c r="BI51" s="59">
        <f ca="1">AVERAGE(OFFSET($BH$3,0,0,'Données projet'!$E$11+1,1))-AVERAGE(OFFSET($H$3,0,0,'Données projet'!$E$11+1,1))</f>
        <v>423.80243030843661</v>
      </c>
      <c r="BJ51" s="59">
        <f t="shared" si="38"/>
        <v>260.29028006191834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7.6334957071564071</v>
      </c>
      <c r="BR51" s="21">
        <f>EXP(-LN(2)/2)*BR50+(1-EXP(-LN(2)/2))/(LN(2)/2)*BL51*BO51*VLOOKUP('Données projet'!$B$11,Paramètres!$A$1:$I$89,3,0)*0.475*44/12</f>
        <v>2.0230852007923752</v>
      </c>
      <c r="BS51" s="22">
        <f t="shared" si="9"/>
        <v>9.6565809079487828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15.714444444444442</v>
      </c>
      <c r="BY51" s="12">
        <f>IF('Données projet'!$A$114&gt;35,BY50+BX51-CG50,IF(A51&lt;'Données projet'!$A$114,$BV$205^A51,IF(A51='Données projet'!$A$114,'Données projet'!$B$114,BY50+BX51-CG50)))</f>
        <v>338.58111111111117</v>
      </c>
      <c r="BZ51" s="13">
        <f>BY51*VLOOKUP('Données projet'!$B$12,Paramètres!$A$1:$I$89,3,0)*VLOOKUP('Données projet'!$B$12,Paramètres!$A$1:$I$89,5,0)</f>
        <v>202.47150444444449</v>
      </c>
      <c r="CA51" s="13">
        <f t="shared" si="39"/>
        <v>50.28694073581002</v>
      </c>
      <c r="CB51" s="20">
        <f t="shared" si="10"/>
        <v>440.22095868894326</v>
      </c>
      <c r="CC51" s="59">
        <f t="shared" si="11"/>
        <v>693.98082737461095</v>
      </c>
      <c r="CD51" s="59">
        <f ca="1">AVERAGE(OFFSET($CC$3,0,0,'Données projet'!$E$12+1,1))-AVERAGE(OFFSET($H$3,0,0,'Données projet'!$E$12+1,1))</f>
        <v>373.61861223558259</v>
      </c>
      <c r="CE51" s="59">
        <f t="shared" si="40"/>
        <v>277.62293009761049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21.840378424672895</v>
      </c>
      <c r="CL51" s="21">
        <f>EXP(-LN(2)/25)*CL50+(1-EXP(-LN(2)/25))/(LN(2)/25)*Calculateur!CG51*Calculateur!CI51*VLOOKUP('Données projet'!$B$12,Paramètres!$A$1:$I$89,3,0)*0.475*44/12</f>
        <v>14.760674401154851</v>
      </c>
      <c r="CM51" s="21">
        <f>EXP(-LN(2)/2)*CM50+(1-EXP(-LN(2)/2))/(LN(2)/2)*CG51*CJ51*VLOOKUP('Données projet'!$B$12,Paramètres!$A$1:$I$89,3,0)*0.475*44/12</f>
        <v>0.943802651987941</v>
      </c>
      <c r="CN51" s="22">
        <f t="shared" si="12"/>
        <v>37.544855477815695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142.22207999999998</v>
      </c>
      <c r="CV51" s="13">
        <f t="shared" si="41"/>
        <v>36.805585341198615</v>
      </c>
      <c r="CW51" s="20">
        <f t="shared" si="13"/>
        <v>311.8065171359209</v>
      </c>
      <c r="CX51" s="59">
        <f t="shared" si="14"/>
        <v>565.5663858215886</v>
      </c>
      <c r="CY51" s="59">
        <f ca="1">AVERAGE(OFFSET($CX$3,0,0,'Données projet'!$E$13+1,1))-AVERAGE(OFFSET($H$3,0,0,'Données projet'!$E$13+1,1))</f>
        <v>287.28439432670405</v>
      </c>
      <c r="CZ51" s="59">
        <f t="shared" si="42"/>
        <v>276.01618888357268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10.392855253865882</v>
      </c>
      <c r="DH51" s="21">
        <f>EXP(-LN(2)/2)*DH50+(1-EXP(-LN(2)/2))/(LN(2)/2)*DB51*DE51*VLOOKUP('Données projet'!$B$13,Paramètres!$A$1:$I$89,3,0)*0.475*44/12</f>
        <v>1.6398812965145038</v>
      </c>
      <c r="DI51" s="22">
        <f t="shared" si="15"/>
        <v>12.032736550380386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9">
        <f t="shared" si="0"/>
        <v>645.49735835863021</v>
      </c>
      <c r="S52" s="59">
        <f ca="1">AVERAGE(OFFSET($R$3,0,0,'Données projet'!$E$9+1,1))-AVERAGE(OFFSET($H$3,0,0,'Données projet'!$E$9+1,1))</f>
        <v>681.47578137804555</v>
      </c>
      <c r="T52" s="59">
        <f t="shared" si="34"/>
        <v>300.88511065995885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7.7715686274509812</v>
      </c>
      <c r="AI52" s="13">
        <f>IF('Données projet'!$A$62&gt;35,AI51+AH52-AQ51,IF(A52&lt;'Données projet'!$A$62,$AF$205^A52,IF(A52='Données projet'!$A$62,'Données projet'!$B$62,AI51+AH52-AQ51)))</f>
        <v>380.80686274509782</v>
      </c>
      <c r="AJ52" s="13">
        <f>AI52*VLOOKUP('Données projet'!$B$10,Paramètres!$A$1:$I$89,3,0)*VLOOKUP('Données projet'!$B$10,Paramètres!$A$1:$I$89,5,0)</f>
        <v>178.21761176470577</v>
      </c>
      <c r="AK52" s="13">
        <f t="shared" si="35"/>
        <v>44.925408243080945</v>
      </c>
      <c r="AL52" s="20">
        <f t="shared" si="4"/>
        <v>388.64075984689515</v>
      </c>
      <c r="AM52" s="59">
        <f t="shared" si="5"/>
        <v>643.08713967118706</v>
      </c>
      <c r="AN52" s="59">
        <f ca="1">AVERAGE(OFFSET($AM$3,0,0,'Données projet'!$E$10+1,1))-AVERAGE(OFFSET($H$3,0,0,'Données projet'!$E$10+1,1))</f>
        <v>374.38106339726073</v>
      </c>
      <c r="AO52" s="59">
        <f t="shared" si="36"/>
        <v>296.53283288925957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161.58168000000001</v>
      </c>
      <c r="BF52" s="13">
        <f t="shared" si="37"/>
        <v>41.199063244334951</v>
      </c>
      <c r="BG52" s="20">
        <f t="shared" si="7"/>
        <v>353.17646115055004</v>
      </c>
      <c r="BH52" s="59">
        <f t="shared" si="8"/>
        <v>607.62284097484201</v>
      </c>
      <c r="BI52" s="59">
        <f ca="1">AVERAGE(OFFSET($BH$3,0,0,'Données projet'!$E$11+1,1))-AVERAGE(OFFSET($H$3,0,0,'Données projet'!$E$11+1,1))</f>
        <v>423.80243030843661</v>
      </c>
      <c r="BJ52" s="59">
        <f t="shared" si="38"/>
        <v>260.29028006191834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7.4247573656161228</v>
      </c>
      <c r="BR52" s="21">
        <f>EXP(-LN(2)/2)*BR51+(1-EXP(-LN(2)/2))/(LN(2)/2)*BL52*BO52*VLOOKUP('Données projet'!$B$11,Paramètres!$A$1:$I$89,3,0)*0.475*44/12</f>
        <v>1.4305372643984366</v>
      </c>
      <c r="BS52" s="22">
        <f t="shared" si="9"/>
        <v>8.8552946300145585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15.714444444444442</v>
      </c>
      <c r="BY52" s="12">
        <f>IF('Données projet'!$A$114&gt;35,BY51+BX52-CG51,IF(A52&lt;'Données projet'!$A$114,$BV$205^A52,IF(A52='Données projet'!$A$114,'Données projet'!$B$114,BY51+BX52-CG51)))</f>
        <v>354.29555555555561</v>
      </c>
      <c r="BZ52" s="13">
        <f>BY52*VLOOKUP('Données projet'!$B$12,Paramètres!$A$1:$I$89,3,0)*VLOOKUP('Données projet'!$B$12,Paramètres!$A$1:$I$89,5,0)</f>
        <v>211.86874222222229</v>
      </c>
      <c r="CA52" s="13">
        <f t="shared" si="39"/>
        <v>52.343742090960504</v>
      </c>
      <c r="CB52" s="20">
        <f t="shared" si="10"/>
        <v>460.17007684546002</v>
      </c>
      <c r="CC52" s="59">
        <f t="shared" si="11"/>
        <v>714.61645666975198</v>
      </c>
      <c r="CD52" s="59">
        <f ca="1">AVERAGE(OFFSET($CC$3,0,0,'Données projet'!$E$12+1,1))-AVERAGE(OFFSET($H$3,0,0,'Données projet'!$E$12+1,1))</f>
        <v>373.61861223558259</v>
      </c>
      <c r="CE52" s="59">
        <f t="shared" si="40"/>
        <v>277.62293009761049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21.412101925080528</v>
      </c>
      <c r="CL52" s="21">
        <f>EXP(-LN(2)/25)*CL51+(1-EXP(-LN(2)/25))/(LN(2)/25)*Calculateur!CG52*Calculateur!CI52*VLOOKUP('Données projet'!$B$12,Paramètres!$A$1:$I$89,3,0)*0.475*44/12</f>
        <v>14.357042983425142</v>
      </c>
      <c r="CM52" s="21">
        <f>EXP(-LN(2)/2)*CM51+(1-EXP(-LN(2)/2))/(LN(2)/2)*CG52*CJ52*VLOOKUP('Données projet'!$B$12,Paramètres!$A$1:$I$89,3,0)*0.475*44/12</f>
        <v>0.66736925532252034</v>
      </c>
      <c r="CN52" s="22">
        <f t="shared" si="12"/>
        <v>36.436514163828186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147.11423999999997</v>
      </c>
      <c r="CV52" s="13">
        <f t="shared" si="41"/>
        <v>37.922046712608186</v>
      </c>
      <c r="CW52" s="20">
        <f t="shared" si="13"/>
        <v>322.27153269112586</v>
      </c>
      <c r="CX52" s="59">
        <f t="shared" si="14"/>
        <v>576.71791251541777</v>
      </c>
      <c r="CY52" s="59">
        <f ca="1">AVERAGE(OFFSET($CX$3,0,0,'Données projet'!$E$13+1,1))-AVERAGE(OFFSET($H$3,0,0,'Données projet'!$E$13+1,1))</f>
        <v>287.28439432670405</v>
      </c>
      <c r="CZ52" s="59">
        <f t="shared" si="42"/>
        <v>276.01618888357268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10.108662080412415</v>
      </c>
      <c r="DH52" s="21">
        <f>EXP(-LN(2)/2)*DH51+(1-EXP(-LN(2)/2))/(LN(2)/2)*DB52*DE52*VLOOKUP('Données projet'!$B$13,Paramètres!$A$1:$I$89,3,0)*0.475*44/12</f>
        <v>1.1595711851063932</v>
      </c>
      <c r="DI52" s="22">
        <f t="shared" si="15"/>
        <v>11.268233265518809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9">
        <f t="shared" si="0"/>
        <v>665.63963131211995</v>
      </c>
      <c r="S53" s="59">
        <f ca="1">AVERAGE(OFFSET($R$3,0,0,'Données projet'!$E$9+1,1))-AVERAGE(OFFSET($H$3,0,0,'Données projet'!$E$9+1,1))</f>
        <v>681.47578137804555</v>
      </c>
      <c r="T53" s="59">
        <f t="shared" si="34"/>
        <v>300.88511065995885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7.7715686274509812</v>
      </c>
      <c r="AI53" s="13">
        <f>IF('Données projet'!$A$62&gt;35,AI52+AH53-AQ52,IF(A53&lt;'Données projet'!$A$62,$AF$205^A53,IF(A53='Données projet'!$A$62,'Données projet'!$B$62,AI52+AH53-AQ52)))</f>
        <v>388.57843137254878</v>
      </c>
      <c r="AJ53" s="13">
        <f>AI53*VLOOKUP('Données projet'!$B$10,Paramètres!$A$1:$I$89,3,0)*VLOOKUP('Données projet'!$B$10,Paramètres!$A$1:$I$89,5,0)</f>
        <v>181.85470588235282</v>
      </c>
      <c r="AK53" s="13">
        <f t="shared" si="35"/>
        <v>45.734577544078526</v>
      </c>
      <c r="AL53" s="20">
        <f t="shared" si="4"/>
        <v>396.38466863436787</v>
      </c>
      <c r="AM53" s="59">
        <f t="shared" si="5"/>
        <v>651.50565016383803</v>
      </c>
      <c r="AN53" s="59">
        <f ca="1">AVERAGE(OFFSET($AM$3,0,0,'Données projet'!$E$10+1,1))-AVERAGE(OFFSET($H$3,0,0,'Données projet'!$E$10+1,1))</f>
        <v>374.38106339726073</v>
      </c>
      <c r="AO53" s="59">
        <f t="shared" si="36"/>
        <v>296.53283288925957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169.38480000000001</v>
      </c>
      <c r="BF53" s="13">
        <f t="shared" si="37"/>
        <v>42.952210191662466</v>
      </c>
      <c r="BG53" s="20">
        <f t="shared" si="7"/>
        <v>369.82029275047876</v>
      </c>
      <c r="BH53" s="59">
        <f t="shared" si="8"/>
        <v>624.94127427994886</v>
      </c>
      <c r="BI53" s="59">
        <f ca="1">AVERAGE(OFFSET($BH$3,0,0,'Données projet'!$E$11+1,1))-AVERAGE(OFFSET($H$3,0,0,'Données projet'!$E$11+1,1))</f>
        <v>423.80243030843661</v>
      </c>
      <c r="BJ53" s="59">
        <f t="shared" si="38"/>
        <v>260.29028006191834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0.1075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9.5871888155371519</v>
      </c>
      <c r="BR53" s="21">
        <f>EXP(-LN(2)/2)*BR52+(1-EXP(-LN(2)/2))/(LN(2)/2)*BL53*BO53*VLOOKUP('Données projet'!$B$11,Paramètres!$A$1:$I$89,3,0)*0.475*44/12</f>
        <v>5.7253087130732467</v>
      </c>
      <c r="BS53" s="22">
        <f t="shared" si="9"/>
        <v>15.312497528610399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370.01</v>
      </c>
      <c r="BW53" s="12">
        <f>VLOOKUP(A53,'Données projet'!$A$113:$I$133,9,0)</f>
        <v>15.714444444444442</v>
      </c>
      <c r="BX53" s="12">
        <f t="array" ref="BX53">INDEX(BW:BW,MIN(IF(ISNUMBER(BW53:BW249),ROW(BW53:BW249),"")))</f>
        <v>15.714444444444442</v>
      </c>
      <c r="BY53" s="12">
        <f>IF('Données projet'!$A$114&gt;35,BY52+BX53-CG52,IF(A53&lt;'Données projet'!$A$114,$BV$205^A53,IF(A53='Données projet'!$A$114,'Données projet'!$B$114,BY52+BX53-CG52)))</f>
        <v>370.01000000000005</v>
      </c>
      <c r="BZ53" s="13">
        <f>BY53*VLOOKUP('Données projet'!$B$12,Paramètres!$A$1:$I$89,3,0)*VLOOKUP('Données projet'!$B$12,Paramètres!$A$1:$I$89,5,0)</f>
        <v>221.26598000000004</v>
      </c>
      <c r="CA53" s="13">
        <f t="shared" si="39"/>
        <v>54.389948263584252</v>
      </c>
      <c r="CB53" s="20">
        <f t="shared" si="10"/>
        <v>480.10074172574264</v>
      </c>
      <c r="CC53" s="59">
        <f t="shared" si="11"/>
        <v>735.22172325521274</v>
      </c>
      <c r="CD53" s="59">
        <f ca="1">AVERAGE(OFFSET($CC$3,0,0,'Données projet'!$E$12+1,1))-AVERAGE(OFFSET($H$3,0,0,'Données projet'!$E$12+1,1))</f>
        <v>373.61861223558259</v>
      </c>
      <c r="CE53" s="59">
        <f t="shared" si="40"/>
        <v>277.62293009761049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70.20999999999998</v>
      </c>
      <c r="CH53" s="16">
        <f>IF(ISNA(VLOOKUP(A53,'Données projet'!$A$113:$I$133,5,0)),0%,VLOOKUP(A53,'Données projet'!$A$113:$I$133,5,0)*VLOOKUP('Données projet'!$B$12,Paramètres!$A$1:$I$89,7,0))</f>
        <v>0.27</v>
      </c>
      <c r="CI53" s="16">
        <f>IF(ISNA(VLOOKUP(A53,'Données projet'!$A$113:$I$133,6,0)),0%,VLOOKUP(A53,'Données projet'!$A$113:$I$133,6,0)*VLOOKUP('Données projet'!$B$12,Paramètres!$A$1:$I$89,7,0))</f>
        <v>9.0000000000000011E-2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36.030299745055871</v>
      </c>
      <c r="CL53" s="21">
        <f>EXP(-LN(2)/25)*CL52+(1-EXP(-LN(2)/25))/(LN(2)/25)*Calculateur!CG53*Calculateur!CI53*VLOOKUP('Données projet'!$B$12,Paramètres!$A$1:$I$89,3,0)*0.475*44/12</f>
        <v>18.9574040357579</v>
      </c>
      <c r="CM53" s="21">
        <f>EXP(-LN(2)/2)*CM52+(1-EXP(-LN(2)/2))/(LN(2)/2)*CG53*CJ53*VLOOKUP('Données projet'!$B$12,Paramètres!$A$1:$I$89,3,0)*0.475*44/12</f>
        <v>9.9793872672702157</v>
      </c>
      <c r="CN53" s="22">
        <f t="shared" si="12"/>
        <v>64.967091048083986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152.00639999999999</v>
      </c>
      <c r="CV53" s="13">
        <f t="shared" si="41"/>
        <v>39.03419401656145</v>
      </c>
      <c r="CW53" s="20">
        <f t="shared" si="13"/>
        <v>332.72903457884451</v>
      </c>
      <c r="CX53" s="59">
        <f t="shared" si="14"/>
        <v>587.85001610831455</v>
      </c>
      <c r="CY53" s="59">
        <f ca="1">AVERAGE(OFFSET($CX$3,0,0,'Données projet'!$E$13+1,1))-AVERAGE(OFFSET($H$3,0,0,'Données projet'!$E$13+1,1))</f>
        <v>287.28439432670405</v>
      </c>
      <c r="CZ53" s="59">
        <f t="shared" si="42"/>
        <v>276.01618888357268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0.13250000000000001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1.6634852958320749</v>
      </c>
      <c r="DG53" s="21">
        <f>EXP(-LN(2)/25)*DG52+(1-EXP(-LN(2)/25))/(LN(2)/25)*Calculateur!DB53*Calculateur!DD53*VLOOKUP('Données projet'!$B$13,Paramètres!$A$1:$I$89,3,0)*0.475*44/12</f>
        <v>11.489175704616896</v>
      </c>
      <c r="DH53" s="21">
        <f>EXP(-LN(2)/2)*DH52+(1-EXP(-LN(2)/2))/(LN(2)/2)*DB53*DE53*VLOOKUP('Données projet'!$B$13,Paramètres!$A$1:$I$89,3,0)*0.475*44/12</f>
        <v>3.4988022642048704</v>
      </c>
      <c r="DI53" s="22">
        <f t="shared" si="15"/>
        <v>16.651463264653842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9">
        <f t="shared" si="0"/>
        <v>613.92388973013522</v>
      </c>
      <c r="S54" s="59">
        <f ca="1">AVERAGE(OFFSET($R$3,0,0,'Données projet'!$E$9+1,1))-AVERAGE(OFFSET($H$3,0,0,'Données projet'!$E$9+1,1))</f>
        <v>681.47578137804555</v>
      </c>
      <c r="T54" s="59">
        <f t="shared" si="34"/>
        <v>300.88511065995885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396.35</v>
      </c>
      <c r="AG54" s="12">
        <f>VLOOKUP(A54,'Données projet'!$A$61:$I$81,9,0)</f>
        <v>7.7715686274509812</v>
      </c>
      <c r="AH54" s="12">
        <f t="array" ref="AH54">INDEX(AG:AG,MIN(IF(ISNUMBER(AG54:AG250),ROW(AG54:AG250),"")))</f>
        <v>7.7715686274509812</v>
      </c>
      <c r="AI54" s="13">
        <f>IF('Données projet'!$A$62&gt;35,AI53+AH54-AQ53,IF(A54&lt;'Données projet'!$A$62,$AF$205^A54,IF(A54='Données projet'!$A$62,'Données projet'!$B$62,AI53+AH54-AQ53)))</f>
        <v>396.34999999999974</v>
      </c>
      <c r="AJ54" s="13">
        <f>AI54*VLOOKUP('Données projet'!$B$10,Paramètres!$A$1:$I$89,3,0)*VLOOKUP('Données projet'!$B$10,Paramètres!$A$1:$I$89,5,0)</f>
        <v>185.49179999999987</v>
      </c>
      <c r="AK54" s="13">
        <f t="shared" si="35"/>
        <v>46.541865157318107</v>
      </c>
      <c r="AL54" s="20">
        <f t="shared" si="4"/>
        <v>404.12530014899545</v>
      </c>
      <c r="AM54" s="59">
        <f t="shared" si="5"/>
        <v>659.90918055224233</v>
      </c>
      <c r="AN54" s="59">
        <f ca="1">AVERAGE(OFFSET($AM$3,0,0,'Données projet'!$E$10+1,1))-AVERAGE(OFFSET($H$3,0,0,'Données projet'!$E$10+1,1))</f>
        <v>374.38106339726073</v>
      </c>
      <c r="AO54" s="59">
        <f t="shared" si="36"/>
        <v>296.53283288925957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173.97000000000003</v>
      </c>
      <c r="AR54" s="16">
        <f>IF(ISNA(VLOOKUP(A54,'Données projet'!$A$61:$I$81,5,0)),0%,VLOOKUP(A54,'Données projet'!$A$61:$I$81,5,0)*VLOOKUP('Données projet'!$B$10,Paramètres!$A$1:$I$89,7,0))</f>
        <v>0.13750000000000001</v>
      </c>
      <c r="AS54" s="16">
        <f>IF(ISNA(VLOOKUP(A54,'Données projet'!$A$61:$I$81,6,0)),0%,VLOOKUP(A54,'Données projet'!$A$61:$I$81,6,0)*VLOOKUP('Données projet'!$B$10,Paramètres!$A$1:$I$89,7,0))</f>
        <v>0.20350000000000001</v>
      </c>
      <c r="AT54" s="16">
        <f>IF(ISNA(VLOOKUP(A54,'Données projet'!$A$61:$I$81,7,0)),0%,VLOOKUP(A54,'Données projet'!$A$61:$I$81,7,0))</f>
        <v>0.38</v>
      </c>
      <c r="AU54" s="21">
        <f>EXP(-LN(2)/35)*AU53+(1-EXP(-LN(2)/35))/(LN(2)/35)*AQ54*AR54*VLOOKUP('Données projet'!$B$10,Paramètres!$A$1:$I$89,3,0)*0.475*44/12</f>
        <v>14.850848618429765</v>
      </c>
      <c r="AV54" s="21">
        <f>EXP(-LN(2)/25)*AV53+(1-EXP(-LN(2)/25))/(LN(2)/25)*Calculateur!AQ54*Calculateur!AS54*VLOOKUP('Données projet'!$B$10,Paramètres!$A$1:$I$89,3,0)*0.475*44/12</f>
        <v>21.892715249827038</v>
      </c>
      <c r="AW54" s="21">
        <f>EXP(-LN(2)/2)*AW53+(1-EXP(-LN(2)/2))/(LN(2)/2)*AQ54*AT54*VLOOKUP('Données projet'!$B$10,Paramètres!$A$1:$I$89,3,0)*0.475*44/12</f>
        <v>35.029936686072809</v>
      </c>
      <c r="AX54" s="21">
        <f t="shared" si="6"/>
        <v>71.773500554329615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157.01399999999998</v>
      </c>
      <c r="BF54" s="13">
        <f t="shared" si="37"/>
        <v>40.168278112836184</v>
      </c>
      <c r="BG54" s="20">
        <f t="shared" si="7"/>
        <v>343.42580104652302</v>
      </c>
      <c r="BH54" s="59">
        <f t="shared" si="8"/>
        <v>599.20968144976985</v>
      </c>
      <c r="BI54" s="59">
        <f ca="1">AVERAGE(OFFSET($BH$3,0,0,'Données projet'!$E$11+1,1))-AVERAGE(OFFSET($H$3,0,0,'Données projet'!$E$11+1,1))</f>
        <v>423.80243030843661</v>
      </c>
      <c r="BJ54" s="59">
        <f t="shared" si="38"/>
        <v>260.29028006191834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9.3250266332079406</v>
      </c>
      <c r="BR54" s="21">
        <f>EXP(-LN(2)/2)*BR53+(1-EXP(-LN(2)/2))/(LN(2)/2)*BL54*BO54*VLOOKUP('Données projet'!$B$11,Paramètres!$A$1:$I$89,3,0)*0.475*44/12</f>
        <v>4.0484046154005187</v>
      </c>
      <c r="BS54" s="22">
        <f t="shared" si="9"/>
        <v>13.373431248608458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14.113999999999999</v>
      </c>
      <c r="BY54" s="12">
        <f>IF('Données projet'!$A$114&gt;35,BY53+BX54-CG53,IF(A54&lt;'Données projet'!$A$114,$BV$205^A54,IF(A54='Données projet'!$A$114,'Données projet'!$B$114,BY53+BX54-CG53)))</f>
        <v>313.91400000000004</v>
      </c>
      <c r="BZ54" s="13">
        <f>BY54*VLOOKUP('Données projet'!$B$12,Paramètres!$A$1:$I$89,3,0)*VLOOKUP('Données projet'!$B$12,Paramètres!$A$1:$I$89,5,0)</f>
        <v>187.72057200000006</v>
      </c>
      <c r="CA54" s="13">
        <f t="shared" si="39"/>
        <v>47.035650233472225</v>
      </c>
      <c r="CB54" s="20">
        <f t="shared" si="10"/>
        <v>408.86708705663085</v>
      </c>
      <c r="CC54" s="59">
        <f t="shared" si="11"/>
        <v>664.65096745987762</v>
      </c>
      <c r="CD54" s="59">
        <f ca="1">AVERAGE(OFFSET($CC$3,0,0,'Données projet'!$E$12+1,1))-AVERAGE(OFFSET($H$3,0,0,'Données projet'!$E$12+1,1))</f>
        <v>373.61861223558259</v>
      </c>
      <c r="CE54" s="59">
        <f t="shared" si="40"/>
        <v>277.62293009761049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35.323767543368191</v>
      </c>
      <c r="CL54" s="21">
        <f>EXP(-LN(2)/25)*CL53+(1-EXP(-LN(2)/25))/(LN(2)/25)*Calculateur!CG54*Calculateur!CI54*VLOOKUP('Données projet'!$B$12,Paramètres!$A$1:$I$89,3,0)*0.475*44/12</f>
        <v>18.439012825473551</v>
      </c>
      <c r="CM54" s="21">
        <f>EXP(-LN(2)/2)*CM53+(1-EXP(-LN(2)/2))/(LN(2)/2)*CG54*CJ54*VLOOKUP('Données projet'!$B$12,Paramètres!$A$1:$I$89,3,0)*0.475*44/12</f>
        <v>7.0564924087734591</v>
      </c>
      <c r="CN54" s="22">
        <f t="shared" si="12"/>
        <v>60.819272777615204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144.84287999999998</v>
      </c>
      <c r="CV54" s="13">
        <f t="shared" si="41"/>
        <v>37.40423595784457</v>
      </c>
      <c r="CW54" s="20">
        <f t="shared" si="13"/>
        <v>317.41372695991259</v>
      </c>
      <c r="CX54" s="59">
        <f t="shared" si="14"/>
        <v>573.19760736315948</v>
      </c>
      <c r="CY54" s="59">
        <f ca="1">AVERAGE(OFFSET($CX$3,0,0,'Données projet'!$E$13+1,1))-AVERAGE(OFFSET($H$3,0,0,'Données projet'!$E$13+1,1))</f>
        <v>287.28439432670405</v>
      </c>
      <c r="CZ54" s="59">
        <f t="shared" si="42"/>
        <v>276.01618888357268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1.6308653638066524</v>
      </c>
      <c r="DG54" s="21">
        <f>EXP(-LN(2)/25)*DG53+(1-EXP(-LN(2)/25))/(LN(2)/25)*Calculateur!DB54*Calculateur!DD54*VLOOKUP('Données projet'!$B$13,Paramètres!$A$1:$I$89,3,0)*0.475*44/12</f>
        <v>11.175003590784655</v>
      </c>
      <c r="DH54" s="21">
        <f>EXP(-LN(2)/2)*DH53+(1-EXP(-LN(2)/2))/(LN(2)/2)*DB54*DE54*VLOOKUP('Données projet'!$B$13,Paramètres!$A$1:$I$89,3,0)*0.475*44/12</f>
        <v>2.4740268070501106</v>
      </c>
      <c r="DI54" s="22">
        <f t="shared" si="15"/>
        <v>15.279895761641418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9">
        <f t="shared" si="0"/>
        <v>634.56848482643636</v>
      </c>
      <c r="S55" s="59">
        <f ca="1">AVERAGE(OFFSET($R$3,0,0,'Données projet'!$E$9+1,1))-AVERAGE(OFFSET($H$3,0,0,'Données projet'!$E$9+1,1))</f>
        <v>681.47578137804555</v>
      </c>
      <c r="T55" s="59">
        <f t="shared" si="34"/>
        <v>300.88511065995885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12.999000000000001</v>
      </c>
      <c r="AI55" s="13">
        <f>IF('Données projet'!$A$62&gt;35,AI54+AH55-AQ54,IF(A55&lt;'Données projet'!$A$62,$AF$205^A55,IF(A55='Données projet'!$A$62,'Données projet'!$B$62,AI54+AH55-AQ54)))</f>
        <v>235.37899999999973</v>
      </c>
      <c r="AJ55" s="13">
        <f>AI55*VLOOKUP('Données projet'!$B$10,Paramètres!$A$1:$I$89,3,0)*VLOOKUP('Données projet'!$B$10,Paramètres!$A$1:$I$89,5,0)</f>
        <v>110.15737199999988</v>
      </c>
      <c r="AK55" s="13">
        <f t="shared" si="35"/>
        <v>29.36805955758571</v>
      </c>
      <c r="AL55" s="20">
        <f t="shared" si="4"/>
        <v>243.00679329612822</v>
      </c>
      <c r="AM55" s="59">
        <f t="shared" si="5"/>
        <v>499.44207275971155</v>
      </c>
      <c r="AN55" s="59">
        <f ca="1">AVERAGE(OFFSET($AM$3,0,0,'Données projet'!$E$10+1,1))-AVERAGE(OFFSET($H$3,0,0,'Données projet'!$E$10+1,1))</f>
        <v>374.38106339726073</v>
      </c>
      <c r="AO55" s="59">
        <f t="shared" si="36"/>
        <v>296.53283288925957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14.5596325351456</v>
      </c>
      <c r="AV55" s="21">
        <f>EXP(-LN(2)/25)*AV54+(1-EXP(-LN(2)/25))/(LN(2)/25)*Calculateur!AQ55*Calculateur!AS55*VLOOKUP('Données projet'!$B$10,Paramètres!$A$1:$I$89,3,0)*0.475*44/12</f>
        <v>21.294057800032657</v>
      </c>
      <c r="AW55" s="21">
        <f>EXP(-LN(2)/2)*AW54+(1-EXP(-LN(2)/2))/(LN(2)/2)*AQ55*AT55*VLOOKUP('Données projet'!$B$10,Paramètres!$A$1:$I$89,3,0)*0.475*44/12</f>
        <v>24.769905775257502</v>
      </c>
      <c r="AX55" s="21">
        <f t="shared" si="6"/>
        <v>60.623596110435756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164.6268</v>
      </c>
      <c r="BF55" s="13">
        <f t="shared" si="37"/>
        <v>41.884365321551833</v>
      </c>
      <c r="BG55" s="20">
        <f t="shared" si="7"/>
        <v>359.67361293503609</v>
      </c>
      <c r="BH55" s="59">
        <f t="shared" si="8"/>
        <v>616.10889239861945</v>
      </c>
      <c r="BI55" s="59">
        <f ca="1">AVERAGE(OFFSET($BH$3,0,0,'Données projet'!$E$11+1,1))-AVERAGE(OFFSET($H$3,0,0,'Données projet'!$E$11+1,1))</f>
        <v>423.80243030843661</v>
      </c>
      <c r="BJ55" s="59">
        <f t="shared" si="38"/>
        <v>260.29028006191834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9.0700332895410316</v>
      </c>
      <c r="BR55" s="21">
        <f>EXP(-LN(2)/2)*BR54+(1-EXP(-LN(2)/2))/(LN(2)/2)*BL55*BO55*VLOOKUP('Données projet'!$B$11,Paramètres!$A$1:$I$89,3,0)*0.475*44/12</f>
        <v>2.8626543565366238</v>
      </c>
      <c r="BS55" s="22">
        <f t="shared" si="9"/>
        <v>11.932687646077655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14.113999999999999</v>
      </c>
      <c r="BY55" s="12">
        <f>IF('Données projet'!$A$114&gt;35,BY54+BX55-CG54,IF(A55&lt;'Données projet'!$A$114,$BV$205^A55,IF(A55='Données projet'!$A$114,'Données projet'!$B$114,BY54+BX55-CG54)))</f>
        <v>328.02800000000002</v>
      </c>
      <c r="BZ55" s="13">
        <f>BY55*VLOOKUP('Données projet'!$B$12,Paramètres!$A$1:$I$89,3,0)*VLOOKUP('Données projet'!$B$12,Paramètres!$A$1:$I$89,5,0)</f>
        <v>196.16074400000002</v>
      </c>
      <c r="CA55" s="13">
        <f t="shared" si="39"/>
        <v>48.899465996260361</v>
      </c>
      <c r="CB55" s="20">
        <f t="shared" si="10"/>
        <v>426.81319907682013</v>
      </c>
      <c r="CC55" s="59">
        <f t="shared" si="11"/>
        <v>683.24847854040354</v>
      </c>
      <c r="CD55" s="59">
        <f ca="1">AVERAGE(OFFSET($CC$3,0,0,'Données projet'!$E$12+1,1))-AVERAGE(OFFSET($H$3,0,0,'Données projet'!$E$12+1,1))</f>
        <v>373.61861223558259</v>
      </c>
      <c r="CE55" s="59">
        <f t="shared" si="40"/>
        <v>277.62293009761049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34.631090007213515</v>
      </c>
      <c r="CL55" s="21">
        <f>EXP(-LN(2)/25)*CL54+(1-EXP(-LN(2)/25))/(LN(2)/25)*Calculateur!CG55*Calculateur!CI55*VLOOKUP('Données projet'!$B$12,Paramètres!$A$1:$I$89,3,0)*0.475*44/12</f>
        <v>17.934797050095433</v>
      </c>
      <c r="CM55" s="21">
        <f>EXP(-LN(2)/2)*CM54+(1-EXP(-LN(2)/2))/(LN(2)/2)*CG55*CJ55*VLOOKUP('Données projet'!$B$12,Paramètres!$A$1:$I$89,3,0)*0.475*44/12</f>
        <v>4.9896936336351088</v>
      </c>
      <c r="CN55" s="22">
        <f t="shared" si="12"/>
        <v>57.555580690944055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149.03616</v>
      </c>
      <c r="CV55" s="13">
        <f t="shared" si="41"/>
        <v>38.35946741279561</v>
      </c>
      <c r="CW55" s="20">
        <f t="shared" si="13"/>
        <v>326.38071774395229</v>
      </c>
      <c r="CX55" s="59">
        <f t="shared" si="14"/>
        <v>582.8159972075357</v>
      </c>
      <c r="CY55" s="59">
        <f ca="1">AVERAGE(OFFSET($CX$3,0,0,'Données projet'!$E$13+1,1))-AVERAGE(OFFSET($H$3,0,0,'Données projet'!$E$13+1,1))</f>
        <v>287.28439432670405</v>
      </c>
      <c r="CZ55" s="59">
        <f t="shared" si="42"/>
        <v>276.01618888357268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1.5988850887520545</v>
      </c>
      <c r="DG55" s="21">
        <f>EXP(-LN(2)/25)*DG54+(1-EXP(-LN(2)/25))/(LN(2)/25)*Calculateur!DB55*Calculateur!DD55*VLOOKUP('Données projet'!$B$13,Paramètres!$A$1:$I$89,3,0)*0.475*44/12</f>
        <v>10.869422529926752</v>
      </c>
      <c r="DH55" s="21">
        <f>EXP(-LN(2)/2)*DH54+(1-EXP(-LN(2)/2))/(LN(2)/2)*DB55*DE55*VLOOKUP('Données projet'!$B$13,Paramètres!$A$1:$I$89,3,0)*0.475*44/12</f>
        <v>1.7494011321024354</v>
      </c>
      <c r="DI55" s="22">
        <f t="shared" si="15"/>
        <v>14.217708750781242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9">
        <f t="shared" si="0"/>
        <v>655.17877776242744</v>
      </c>
      <c r="S56" s="59">
        <f ca="1">AVERAGE(OFFSET($R$3,0,0,'Données projet'!$E$9+1,1))-AVERAGE(OFFSET($H$3,0,0,'Données projet'!$E$9+1,1))</f>
        <v>681.47578137804555</v>
      </c>
      <c r="T56" s="59">
        <f t="shared" si="34"/>
        <v>300.88511065995885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12.999000000000001</v>
      </c>
      <c r="AI56" s="13">
        <f>IF('Données projet'!$A$62&gt;35,AI55+AH56-AQ55,IF(A56&lt;'Données projet'!$A$62,$AF$205^A56,IF(A56='Données projet'!$A$62,'Données projet'!$B$62,AI55+AH56-AQ55)))</f>
        <v>248.37799999999973</v>
      </c>
      <c r="AJ56" s="13">
        <f>AI56*VLOOKUP('Données projet'!$B$10,Paramètres!$A$1:$I$89,3,0)*VLOOKUP('Données projet'!$B$10,Paramètres!$A$1:$I$89,5,0)</f>
        <v>116.24090399999987</v>
      </c>
      <c r="AK56" s="13">
        <f t="shared" si="35"/>
        <v>30.796634482547404</v>
      </c>
      <c r="AL56" s="20">
        <f t="shared" si="4"/>
        <v>256.09037952376985</v>
      </c>
      <c r="AM56" s="59">
        <f t="shared" si="5"/>
        <v>513.16575773030308</v>
      </c>
      <c r="AN56" s="59">
        <f ca="1">AVERAGE(OFFSET($AM$3,0,0,'Données projet'!$E$10+1,1))-AVERAGE(OFFSET($H$3,0,0,'Données projet'!$E$10+1,1))</f>
        <v>374.38106339726073</v>
      </c>
      <c r="AO56" s="59">
        <f t="shared" si="36"/>
        <v>296.53283288925957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14.274127021630365</v>
      </c>
      <c r="AV56" s="21">
        <f>EXP(-LN(2)/25)*AV55+(1-EXP(-LN(2)/25))/(LN(2)/25)*Calculateur!AQ56*Calculateur!AS56*VLOOKUP('Données projet'!$B$10,Paramètres!$A$1:$I$89,3,0)*0.475*44/12</f>
        <v>20.711770669684935</v>
      </c>
      <c r="AW56" s="21">
        <f>EXP(-LN(2)/2)*AW55+(1-EXP(-LN(2)/2))/(LN(2)/2)*AQ56*AT56*VLOOKUP('Données projet'!$B$10,Paramètres!$A$1:$I$89,3,0)*0.475*44/12</f>
        <v>17.514968343036408</v>
      </c>
      <c r="AX56" s="21">
        <f t="shared" si="6"/>
        <v>52.500866034351709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172.2396</v>
      </c>
      <c r="BF56" s="13">
        <f t="shared" si="37"/>
        <v>43.591236765546341</v>
      </c>
      <c r="BG56" s="20">
        <f t="shared" si="7"/>
        <v>375.9053740333265</v>
      </c>
      <c r="BH56" s="59">
        <f t="shared" si="8"/>
        <v>632.98075223985973</v>
      </c>
      <c r="BI56" s="59">
        <f ca="1">AVERAGE(OFFSET($BH$3,0,0,'Données projet'!$E$11+1,1))-AVERAGE(OFFSET($H$3,0,0,'Données projet'!$E$11+1,1))</f>
        <v>423.80243030843661</v>
      </c>
      <c r="BJ56" s="59">
        <f t="shared" si="38"/>
        <v>260.29028006191834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8.8220127522662111</v>
      </c>
      <c r="BR56" s="21">
        <f>EXP(-LN(2)/2)*BR55+(1-EXP(-LN(2)/2))/(LN(2)/2)*BL56*BO56*VLOOKUP('Données projet'!$B$11,Paramètres!$A$1:$I$89,3,0)*0.475*44/12</f>
        <v>2.0242023077002598</v>
      </c>
      <c r="BS56" s="22">
        <f t="shared" si="9"/>
        <v>10.846215059966472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14.113999999999999</v>
      </c>
      <c r="BY56" s="12">
        <f>IF('Données projet'!$A$114&gt;35,BY55+BX56-CG55,IF(A56&lt;'Données projet'!$A$114,$BV$205^A56,IF(A56='Données projet'!$A$114,'Données projet'!$B$114,BY55+BX56-CG55)))</f>
        <v>342.142</v>
      </c>
      <c r="BZ56" s="13">
        <f>BY56*VLOOKUP('Données projet'!$B$12,Paramètres!$A$1:$I$89,3,0)*VLOOKUP('Données projet'!$B$12,Paramètres!$A$1:$I$89,5,0)</f>
        <v>204.60091600000001</v>
      </c>
      <c r="CA56" s="13">
        <f t="shared" si="39"/>
        <v>50.753967472357871</v>
      </c>
      <c r="CB56" s="20">
        <f t="shared" si="10"/>
        <v>444.74308871435665</v>
      </c>
      <c r="CC56" s="59">
        <f t="shared" si="11"/>
        <v>701.81846692088993</v>
      </c>
      <c r="CD56" s="59">
        <f ca="1">AVERAGE(OFFSET($CC$3,0,0,'Données projet'!$E$12+1,1))-AVERAGE(OFFSET($H$3,0,0,'Données projet'!$E$12+1,1))</f>
        <v>373.61861223558259</v>
      </c>
      <c r="CE56" s="59">
        <f t="shared" si="40"/>
        <v>277.62293009761049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33.951995455051254</v>
      </c>
      <c r="CL56" s="21">
        <f>EXP(-LN(2)/25)*CL55+(1-EXP(-LN(2)/25))/(LN(2)/25)*Calculateur!CG56*Calculateur!CI56*VLOOKUP('Données projet'!$B$12,Paramètres!$A$1:$I$89,3,0)*0.475*44/12</f>
        <v>17.444369081610589</v>
      </c>
      <c r="CM56" s="21">
        <f>EXP(-LN(2)/2)*CM55+(1-EXP(-LN(2)/2))/(LN(2)/2)*CG56*CJ56*VLOOKUP('Données projet'!$B$12,Paramètres!$A$1:$I$89,3,0)*0.475*44/12</f>
        <v>3.5282462043867304</v>
      </c>
      <c r="CN56" s="22">
        <f t="shared" si="12"/>
        <v>54.924610741048575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153.22943999999998</v>
      </c>
      <c r="CV56" s="13">
        <f t="shared" si="41"/>
        <v>39.311575138468363</v>
      </c>
      <c r="CW56" s="20">
        <f t="shared" si="13"/>
        <v>335.34226803283235</v>
      </c>
      <c r="CX56" s="59">
        <f t="shared" si="14"/>
        <v>592.41764623936558</v>
      </c>
      <c r="CY56" s="59">
        <f ca="1">AVERAGE(OFFSET($CX$3,0,0,'Données projet'!$E$13+1,1))-AVERAGE(OFFSET($H$3,0,0,'Données projet'!$E$13+1,1))</f>
        <v>287.28439432670405</v>
      </c>
      <c r="CZ56" s="59">
        <f t="shared" si="42"/>
        <v>276.01618888357268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1.5675319273852355</v>
      </c>
      <c r="DG56" s="21">
        <f>EXP(-LN(2)/25)*DG55+(1-EXP(-LN(2)/25))/(LN(2)/25)*Calculateur!DB56*Calculateur!DD56*VLOOKUP('Données projet'!$B$13,Paramètres!$A$1:$I$89,3,0)*0.475*44/12</f>
        <v>10.572197599247817</v>
      </c>
      <c r="DH56" s="21">
        <f>EXP(-LN(2)/2)*DH55+(1-EXP(-LN(2)/2))/(LN(2)/2)*DB56*DE56*VLOOKUP('Données projet'!$B$13,Paramètres!$A$1:$I$89,3,0)*0.475*44/12</f>
        <v>1.2370134035250555</v>
      </c>
      <c r="DI56" s="22">
        <f t="shared" si="15"/>
        <v>13.376742930158109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9">
        <f t="shared" si="0"/>
        <v>675.75628009389561</v>
      </c>
      <c r="S57" s="59">
        <f ca="1">AVERAGE(OFFSET($R$3,0,0,'Données projet'!$E$9+1,1))-AVERAGE(OFFSET($H$3,0,0,'Données projet'!$E$9+1,1))</f>
        <v>681.47578137804555</v>
      </c>
      <c r="T57" s="59">
        <f t="shared" si="34"/>
        <v>300.88511065995885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12.999000000000001</v>
      </c>
      <c r="AI57" s="13">
        <f>IF('Données projet'!$A$62&gt;35,AI56+AH57-AQ56,IF(A57&lt;'Données projet'!$A$62,$AF$205^A57,IF(A57='Données projet'!$A$62,'Données projet'!$B$62,AI56+AH57-AQ56)))</f>
        <v>261.37699999999973</v>
      </c>
      <c r="AJ57" s="13">
        <f>AI57*VLOOKUP('Données projet'!$B$10,Paramètres!$A$1:$I$89,3,0)*VLOOKUP('Données projet'!$B$10,Paramètres!$A$1:$I$89,5,0)</f>
        <v>122.32443599999988</v>
      </c>
      <c r="AK57" s="13">
        <f t="shared" si="35"/>
        <v>32.216529002111294</v>
      </c>
      <c r="AL57" s="20">
        <f t="shared" si="4"/>
        <v>269.15884737867697</v>
      </c>
      <c r="AM57" s="59">
        <f t="shared" si="5"/>
        <v>526.86322004601629</v>
      </c>
      <c r="AN57" s="59">
        <f ca="1">AVERAGE(OFFSET($AM$3,0,0,'Données projet'!$E$10+1,1))-AVERAGE(OFFSET($H$3,0,0,'Données projet'!$E$10+1,1))</f>
        <v>374.38106339726073</v>
      </c>
      <c r="AO57" s="59">
        <f t="shared" si="36"/>
        <v>296.53283288925957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13.994220097093995</v>
      </c>
      <c r="AV57" s="21">
        <f>EXP(-LN(2)/25)*AV56+(1-EXP(-LN(2)/25))/(LN(2)/25)*Calculateur!AQ57*Calculateur!AS57*VLOOKUP('Données projet'!$B$10,Paramètres!$A$1:$I$89,3,0)*0.475*44/12</f>
        <v>20.145406211537718</v>
      </c>
      <c r="AW57" s="21">
        <f>EXP(-LN(2)/2)*AW56+(1-EXP(-LN(2)/2))/(LN(2)/2)*AQ57*AT57*VLOOKUP('Données projet'!$B$10,Paramètres!$A$1:$I$89,3,0)*0.475*44/12</f>
        <v>12.384952887628753</v>
      </c>
      <c r="AX57" s="21">
        <f t="shared" si="6"/>
        <v>46.524579196260461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179.85239999999999</v>
      </c>
      <c r="BF57" s="13">
        <f t="shared" si="37"/>
        <v>45.289346318280131</v>
      </c>
      <c r="BG57" s="20">
        <f t="shared" si="7"/>
        <v>392.12187483767121</v>
      </c>
      <c r="BH57" s="59">
        <f t="shared" si="8"/>
        <v>649.82624750501054</v>
      </c>
      <c r="BI57" s="59">
        <f ca="1">AVERAGE(OFFSET($BH$3,0,0,'Données projet'!$E$11+1,1))-AVERAGE(OFFSET($H$3,0,0,'Données projet'!$E$11+1,1))</f>
        <v>423.80243030843661</v>
      </c>
      <c r="BJ57" s="59">
        <f t="shared" si="38"/>
        <v>260.29028006191834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8.5807743496260045</v>
      </c>
      <c r="BR57" s="21">
        <f>EXP(-LN(2)/2)*BR56+(1-EXP(-LN(2)/2))/(LN(2)/2)*BL57*BO57*VLOOKUP('Données projet'!$B$11,Paramètres!$A$1:$I$89,3,0)*0.475*44/12</f>
        <v>1.4313271782683121</v>
      </c>
      <c r="BS57" s="22">
        <f t="shared" si="9"/>
        <v>10.012101527894316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14.113999999999999</v>
      </c>
      <c r="BY57" s="12">
        <f>IF('Données projet'!$A$114&gt;35,BY56+BX57-CG56,IF(A57&lt;'Données projet'!$A$114,$BV$205^A57,IF(A57='Données projet'!$A$114,'Données projet'!$B$114,BY56+BX57-CG56)))</f>
        <v>356.25599999999997</v>
      </c>
      <c r="BZ57" s="13">
        <f>BY57*VLOOKUP('Données projet'!$B$12,Paramètres!$A$1:$I$89,3,0)*VLOOKUP('Données projet'!$B$12,Paramètres!$A$1:$I$89,5,0)</f>
        <v>213.041088</v>
      </c>
      <c r="CA57" s="13">
        <f t="shared" si="39"/>
        <v>52.599582837576946</v>
      </c>
      <c r="CB57" s="20">
        <f t="shared" si="10"/>
        <v>462.65750170877988</v>
      </c>
      <c r="CC57" s="59">
        <f t="shared" si="11"/>
        <v>720.3618743761192</v>
      </c>
      <c r="CD57" s="59">
        <f ca="1">AVERAGE(OFFSET($CC$3,0,0,'Données projet'!$E$12+1,1))-AVERAGE(OFFSET($H$3,0,0,'Données projet'!$E$12+1,1))</f>
        <v>373.61861223558259</v>
      </c>
      <c r="CE57" s="59">
        <f t="shared" si="40"/>
        <v>277.62293009761049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33.286217532850117</v>
      </c>
      <c r="CL57" s="21">
        <f>EXP(-LN(2)/25)*CL56+(1-EXP(-LN(2)/25))/(LN(2)/25)*Calculateur!CG57*Calculateur!CI57*VLOOKUP('Données projet'!$B$12,Paramètres!$A$1:$I$89,3,0)*0.475*44/12</f>
        <v>16.967351891714447</v>
      </c>
      <c r="CM57" s="21">
        <f>EXP(-LN(2)/2)*CM56+(1-EXP(-LN(2)/2))/(LN(2)/2)*CG57*CJ57*VLOOKUP('Données projet'!$B$12,Paramètres!$A$1:$I$89,3,0)*0.475*44/12</f>
        <v>2.4948468168175548</v>
      </c>
      <c r="CN57" s="22">
        <f t="shared" si="12"/>
        <v>52.748416241382117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157.42272000000003</v>
      </c>
      <c r="CV57" s="13">
        <f t="shared" si="41"/>
        <v>40.260654441499831</v>
      </c>
      <c r="CW57" s="20">
        <f t="shared" si="13"/>
        <v>344.29854381894557</v>
      </c>
      <c r="CX57" s="59">
        <f t="shared" si="14"/>
        <v>602.0029164862849</v>
      </c>
      <c r="CY57" s="59">
        <f ca="1">AVERAGE(OFFSET($CX$3,0,0,'Données projet'!$E$13+1,1))-AVERAGE(OFFSET($H$3,0,0,'Données projet'!$E$13+1,1))</f>
        <v>287.28439432670405</v>
      </c>
      <c r="CZ57" s="59">
        <f t="shared" si="42"/>
        <v>276.01618888357268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1.5367935823892798</v>
      </c>
      <c r="DG57" s="21">
        <f>EXP(-LN(2)/25)*DG56+(1-EXP(-LN(2)/25))/(LN(2)/25)*Calculateur!DB57*Calculateur!DD57*VLOOKUP('Données projet'!$B$13,Paramètres!$A$1:$I$89,3,0)*0.475*44/12</f>
        <v>10.283100299928677</v>
      </c>
      <c r="DH57" s="21">
        <f>EXP(-LN(2)/2)*DH56+(1-EXP(-LN(2)/2))/(LN(2)/2)*DB57*DE57*VLOOKUP('Données projet'!$B$13,Paramètres!$A$1:$I$89,3,0)*0.475*44/12</f>
        <v>0.87470056605121793</v>
      </c>
      <c r="DI57" s="22">
        <f t="shared" si="15"/>
        <v>12.694594448369173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9">
        <f t="shared" si="0"/>
        <v>696.30236424606346</v>
      </c>
      <c r="S58" s="59">
        <f ca="1">AVERAGE(OFFSET($R$3,0,0,'Données projet'!$E$9+1,1))-AVERAGE(OFFSET($H$3,0,0,'Données projet'!$E$9+1,1))</f>
        <v>681.47578137804555</v>
      </c>
      <c r="T58" s="59">
        <f t="shared" si="34"/>
        <v>300.88511065995885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12.999000000000001</v>
      </c>
      <c r="AI58" s="13">
        <f>IF('Données projet'!$A$62&gt;35,AI57+AH58-AQ57,IF(A58&lt;'Données projet'!$A$62,$AF$205^A58,IF(A58='Données projet'!$A$62,'Données projet'!$B$62,AI57+AH58-AQ57)))</f>
        <v>274.37599999999975</v>
      </c>
      <c r="AJ58" s="13">
        <f>AI58*VLOOKUP('Données projet'!$B$10,Paramètres!$A$1:$I$89,3,0)*VLOOKUP('Données projet'!$B$10,Paramètres!$A$1:$I$89,5,0)</f>
        <v>128.4079679999999</v>
      </c>
      <c r="AK58" s="13">
        <f t="shared" si="35"/>
        <v>33.628224080487712</v>
      </c>
      <c r="AL58" s="20">
        <f t="shared" si="4"/>
        <v>282.21303454018255</v>
      </c>
      <c r="AM58" s="59">
        <f t="shared" si="5"/>
        <v>540.53549002065392</v>
      </c>
      <c r="AN58" s="59">
        <f ca="1">AVERAGE(OFFSET($AM$3,0,0,'Données projet'!$E$10+1,1))-AVERAGE(OFFSET($H$3,0,0,'Données projet'!$E$10+1,1))</f>
        <v>374.38106339726073</v>
      </c>
      <c r="AO58" s="59">
        <f t="shared" si="36"/>
        <v>296.53283288925957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13.719801976621417</v>
      </c>
      <c r="AV58" s="21">
        <f>EXP(-LN(2)/25)*AV57+(1-EXP(-LN(2)/25))/(LN(2)/25)*Calculateur!AQ58*Calculateur!AS58*VLOOKUP('Données projet'!$B$10,Paramètres!$A$1:$I$89,3,0)*0.475*44/12</f>
        <v>19.594529019282351</v>
      </c>
      <c r="AW58" s="21">
        <f>EXP(-LN(2)/2)*AW57+(1-EXP(-LN(2)/2))/(LN(2)/2)*AQ58*AT58*VLOOKUP('Données projet'!$B$10,Paramètres!$A$1:$I$89,3,0)*0.475*44/12</f>
        <v>8.7574841715182057</v>
      </c>
      <c r="AX58" s="21">
        <f t="shared" si="6"/>
        <v>42.071815167421974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187.46520000000001</v>
      </c>
      <c r="BF58" s="13">
        <f t="shared" si="37"/>
        <v>46.979107256618605</v>
      </c>
      <c r="BG58" s="20">
        <f t="shared" si="7"/>
        <v>408.32383513861078</v>
      </c>
      <c r="BH58" s="59">
        <f t="shared" si="8"/>
        <v>666.64629061908215</v>
      </c>
      <c r="BI58" s="59">
        <f ca="1">AVERAGE(OFFSET($BH$3,0,0,'Données projet'!$E$11+1,1))-AVERAGE(OFFSET($H$3,0,0,'Données projet'!$E$11+1,1))</f>
        <v>423.80243030843661</v>
      </c>
      <c r="BJ58" s="59">
        <f t="shared" si="38"/>
        <v>260.29028006191834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0.1075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10.711594454326994</v>
      </c>
      <c r="BR58" s="21">
        <f>EXP(-LN(2)/2)*BR57+(1-EXP(-LN(2)/2))/(LN(2)/2)*BL58*BO58*VLOOKUP('Données projet'!$B$11,Paramètres!$A$1:$I$89,3,0)*0.475*44/12</f>
        <v>5.7258672665271888</v>
      </c>
      <c r="BS58" s="22">
        <f t="shared" si="9"/>
        <v>16.437461720854181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14.113999999999999</v>
      </c>
      <c r="BY58" s="12">
        <f>IF('Données projet'!$A$114&gt;35,BY57+BX58-CG57,IF(A58&lt;'Données projet'!$A$114,$BV$205^A58,IF(A58='Données projet'!$A$114,'Données projet'!$B$114,BY57+BX58-CG57)))</f>
        <v>370.36999999999995</v>
      </c>
      <c r="BZ58" s="13">
        <f>BY58*VLOOKUP('Données projet'!$B$12,Paramètres!$A$1:$I$89,3,0)*VLOOKUP('Données projet'!$B$12,Paramètres!$A$1:$I$89,5,0)</f>
        <v>221.48125999999999</v>
      </c>
      <c r="CA58" s="13">
        <f t="shared" si="39"/>
        <v>54.436704420571644</v>
      </c>
      <c r="CB58" s="20">
        <f t="shared" si="10"/>
        <v>480.55712136582889</v>
      </c>
      <c r="CC58" s="59">
        <f t="shared" si="11"/>
        <v>738.87957684630032</v>
      </c>
      <c r="CD58" s="59">
        <f ca="1">AVERAGE(OFFSET($CC$3,0,0,'Données projet'!$E$12+1,1))-AVERAGE(OFFSET($H$3,0,0,'Données projet'!$E$12+1,1))</f>
        <v>373.61861223558259</v>
      </c>
      <c r="CE58" s="59">
        <f t="shared" si="40"/>
        <v>277.62293009761049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32.633495109618906</v>
      </c>
      <c r="CL58" s="21">
        <f>EXP(-LN(2)/25)*CL57+(1-EXP(-LN(2)/25))/(LN(2)/25)*Calculateur!CG58*Calculateur!CI58*VLOOKUP('Données projet'!$B$12,Paramètres!$A$1:$I$89,3,0)*0.475*44/12</f>
        <v>16.503378761961258</v>
      </c>
      <c r="CM58" s="21">
        <f>EXP(-LN(2)/2)*CM57+(1-EXP(-LN(2)/2))/(LN(2)/2)*CG58*CJ58*VLOOKUP('Données projet'!$B$12,Paramètres!$A$1:$I$89,3,0)*0.475*44/12</f>
        <v>1.7641231021933654</v>
      </c>
      <c r="CN58" s="22">
        <f t="shared" si="12"/>
        <v>50.90099697377353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161.61600000000001</v>
      </c>
      <c r="CV58" s="13">
        <f t="shared" si="41"/>
        <v>41.20679526204917</v>
      </c>
      <c r="CW58" s="20">
        <f t="shared" si="13"/>
        <v>353.24970174806896</v>
      </c>
      <c r="CX58" s="59">
        <f t="shared" si="14"/>
        <v>611.57215722854039</v>
      </c>
      <c r="CY58" s="59">
        <f ca="1">AVERAGE(OFFSET($CX$3,0,0,'Données projet'!$E$13+1,1))-AVERAGE(OFFSET($H$3,0,0,'Données projet'!$E$13+1,1))</f>
        <v>287.28439432670405</v>
      </c>
      <c r="CZ58" s="59">
        <f t="shared" si="42"/>
        <v>276.01618888357268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0.13250000000000001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2.914222478678834</v>
      </c>
      <c r="DG58" s="21">
        <f>EXP(-LN(2)/25)*DG57+(1-EXP(-LN(2)/25))/(LN(2)/25)*Calculateur!DB58*Calculateur!DD58*VLOOKUP('Données projet'!$B$13,Paramètres!$A$1:$I$89,3,0)*0.475*44/12</f>
        <v>11.403930744864905</v>
      </c>
      <c r="DH58" s="21">
        <f>EXP(-LN(2)/2)*DH57+(1-EXP(-LN(2)/2))/(LN(2)/2)*DB58*DE58*VLOOKUP('Données projet'!$B$13,Paramètres!$A$1:$I$89,3,0)*0.475*44/12</f>
        <v>2.8852357614105131</v>
      </c>
      <c r="DI58" s="22">
        <f t="shared" si="15"/>
        <v>17.203388984954252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9">
        <f t="shared" si="0"/>
        <v>716.81828324162632</v>
      </c>
      <c r="S59" s="59">
        <f ca="1">AVERAGE(OFFSET($R$3,0,0,'Données projet'!$E$9+1,1))-AVERAGE(OFFSET($H$3,0,0,'Données projet'!$E$9+1,1))</f>
        <v>681.47578137804555</v>
      </c>
      <c r="T59" s="59">
        <f t="shared" si="34"/>
        <v>300.88511065995885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12.999000000000001</v>
      </c>
      <c r="AI59" s="13">
        <f>IF('Données projet'!$A$62&gt;35,AI58+AH59-AQ58,IF(A59&lt;'Données projet'!$A$62,$AF$205^A59,IF(A59='Données projet'!$A$62,'Données projet'!$B$62,AI58+AH59-AQ58)))</f>
        <v>287.37499999999977</v>
      </c>
      <c r="AJ59" s="13">
        <f>AI59*VLOOKUP('Données projet'!$B$10,Paramètres!$A$1:$I$89,3,0)*VLOOKUP('Données projet'!$B$10,Paramètres!$A$1:$I$89,5,0)</f>
        <v>134.49149999999989</v>
      </c>
      <c r="AK59" s="13">
        <f t="shared" si="35"/>
        <v>35.032152533778529</v>
      </c>
      <c r="AL59" s="20">
        <f t="shared" si="4"/>
        <v>295.25369482966408</v>
      </c>
      <c r="AM59" s="59">
        <f t="shared" si="5"/>
        <v>554.18351076828583</v>
      </c>
      <c r="AN59" s="59">
        <f ca="1">AVERAGE(OFFSET($AM$3,0,0,'Données projet'!$E$10+1,1))-AVERAGE(OFFSET($H$3,0,0,'Données projet'!$E$10+1,1))</f>
        <v>374.38106339726073</v>
      </c>
      <c r="AO59" s="59">
        <f t="shared" si="36"/>
        <v>296.53283288925957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13.45076502811278</v>
      </c>
      <c r="AV59" s="21">
        <f>EXP(-LN(2)/25)*AV58+(1-EXP(-LN(2)/25))/(LN(2)/25)*Calculateur!AQ59*Calculateur!AS59*VLOOKUP('Données projet'!$B$10,Paramètres!$A$1:$I$89,3,0)*0.475*44/12</f>
        <v>19.058715592818579</v>
      </c>
      <c r="AW59" s="21">
        <f>EXP(-LN(2)/2)*AW58+(1-EXP(-LN(2)/2))/(LN(2)/2)*AQ59*AT59*VLOOKUP('Données projet'!$B$10,Paramètres!$A$1:$I$89,3,0)*0.475*44/12</f>
        <v>6.1924764438143773</v>
      </c>
      <c r="AX59" s="21">
        <f t="shared" si="6"/>
        <v>38.701957064745734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174.71376000000001</v>
      </c>
      <c r="BF59" s="13">
        <f t="shared" si="37"/>
        <v>44.144062647515817</v>
      </c>
      <c r="BG59" s="20">
        <f t="shared" si="7"/>
        <v>381.17737444442338</v>
      </c>
      <c r="BH59" s="59">
        <f t="shared" si="8"/>
        <v>640.10719038304512</v>
      </c>
      <c r="BI59" s="59">
        <f ca="1">AVERAGE(OFFSET($BH$3,0,0,'Données projet'!$E$11+1,1))-AVERAGE(OFFSET($H$3,0,0,'Données projet'!$E$11+1,1))</f>
        <v>423.80243030843661</v>
      </c>
      <c r="BJ59" s="59">
        <f t="shared" si="38"/>
        <v>260.29028006191834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10.418685340675152</v>
      </c>
      <c r="BR59" s="21">
        <f>EXP(-LN(2)/2)*BR58+(1-EXP(-LN(2)/2))/(LN(2)/2)*BL59*BO59*VLOOKUP('Données projet'!$B$11,Paramètres!$A$1:$I$89,3,0)*0.475*44/12</f>
        <v>4.0487995723354562</v>
      </c>
      <c r="BS59" s="22">
        <f t="shared" si="9"/>
        <v>14.467484913010608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14.113999999999999</v>
      </c>
      <c r="BY59" s="12">
        <f>IF('Données projet'!$A$114&gt;35,BY58+BX59-CG58,IF(A59&lt;'Données projet'!$A$114,$BV$205^A59,IF(A59='Données projet'!$A$114,'Données projet'!$B$114,BY58+BX59-CG58)))</f>
        <v>384.48399999999992</v>
      </c>
      <c r="BZ59" s="13">
        <f>BY59*VLOOKUP('Données projet'!$B$12,Paramètres!$A$1:$I$89,3,0)*VLOOKUP('Données projet'!$B$12,Paramètres!$A$1:$I$89,5,0)</f>
        <v>229.92143199999998</v>
      </c>
      <c r="CA59" s="13">
        <f t="shared" si="39"/>
        <v>56.265692954832708</v>
      </c>
      <c r="CB59" s="20">
        <f t="shared" si="10"/>
        <v>498.44257596300025</v>
      </c>
      <c r="CC59" s="59">
        <f t="shared" si="11"/>
        <v>757.372391901622</v>
      </c>
      <c r="CD59" s="59">
        <f ca="1">AVERAGE(OFFSET($CC$3,0,0,'Données projet'!$E$12+1,1))-AVERAGE(OFFSET($H$3,0,0,'Données projet'!$E$12+1,1))</f>
        <v>373.61861223558259</v>
      </c>
      <c r="CE59" s="59">
        <f t="shared" si="40"/>
        <v>277.62293009761049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31.993572174985893</v>
      </c>
      <c r="CL59" s="21">
        <f>EXP(-LN(2)/25)*CL58+(1-EXP(-LN(2)/25))/(LN(2)/25)*Calculateur!CG59*Calculateur!CI59*VLOOKUP('Données projet'!$B$12,Paramètres!$A$1:$I$89,3,0)*0.475*44/12</f>
        <v>16.052093001840458</v>
      </c>
      <c r="CM59" s="21">
        <f>EXP(-LN(2)/2)*CM58+(1-EXP(-LN(2)/2))/(LN(2)/2)*CG59*CJ59*VLOOKUP('Données projet'!$B$12,Paramètres!$A$1:$I$89,3,0)*0.475*44/12</f>
        <v>1.2474234084087776</v>
      </c>
      <c r="CN59" s="22">
        <f t="shared" si="12"/>
        <v>49.293088585235125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155.50080000000003</v>
      </c>
      <c r="CV59" s="13">
        <f t="shared" si="41"/>
        <v>39.826029828200333</v>
      </c>
      <c r="CW59" s="20">
        <f t="shared" si="13"/>
        <v>340.19422861744891</v>
      </c>
      <c r="CX59" s="59">
        <f t="shared" si="14"/>
        <v>599.12404455607066</v>
      </c>
      <c r="CY59" s="59">
        <f ca="1">AVERAGE(OFFSET($CX$3,0,0,'Données projet'!$E$13+1,1))-AVERAGE(OFFSET($H$3,0,0,'Données projet'!$E$13+1,1))</f>
        <v>287.28439432670405</v>
      </c>
      <c r="CZ59" s="59">
        <f t="shared" si="42"/>
        <v>276.01618888357268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2.8570763533721406</v>
      </c>
      <c r="DG59" s="21">
        <f>EXP(-LN(2)/25)*DG58+(1-EXP(-LN(2)/25))/(LN(2)/25)*Calculateur!DB59*Calculateur!DD59*VLOOKUP('Données projet'!$B$13,Paramètres!$A$1:$I$89,3,0)*0.475*44/12</f>
        <v>11.092089658939921</v>
      </c>
      <c r="DH59" s="21">
        <f>EXP(-LN(2)/2)*DH58+(1-EXP(-LN(2)/2))/(LN(2)/2)*DB59*DE59*VLOOKUP('Données projet'!$B$13,Paramètres!$A$1:$I$89,3,0)*0.475*44/12</f>
        <v>2.0401697722153056</v>
      </c>
      <c r="DI59" s="22">
        <f t="shared" si="15"/>
        <v>15.989335784527368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9">
        <f t="shared" si="0"/>
        <v>737.30518682902357</v>
      </c>
      <c r="S60" s="59">
        <f ca="1">AVERAGE(OFFSET($R$3,0,0,'Données projet'!$E$9+1,1))-AVERAGE(OFFSET($H$3,0,0,'Données projet'!$E$9+1,1))</f>
        <v>681.47578137804555</v>
      </c>
      <c r="T60" s="59">
        <f t="shared" si="34"/>
        <v>300.88511065995885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12.999000000000001</v>
      </c>
      <c r="AI60" s="13">
        <f>IF('Données projet'!$A$62&gt;35,AI59+AH60-AQ59,IF(A60&lt;'Données projet'!$A$62,$AF$205^A60,IF(A60='Données projet'!$A$62,'Données projet'!$B$62,AI59+AH60-AQ59)))</f>
        <v>300.3739999999998</v>
      </c>
      <c r="AJ60" s="13">
        <f>AI60*VLOOKUP('Données projet'!$B$10,Paramètres!$A$1:$I$89,3,0)*VLOOKUP('Données projet'!$B$10,Paramètres!$A$1:$I$89,5,0)</f>
        <v>140.57503199999991</v>
      </c>
      <c r="AK60" s="13">
        <f t="shared" si="35"/>
        <v>36.42870580902472</v>
      </c>
      <c r="AL60" s="20">
        <f t="shared" si="4"/>
        <v>308.28151001738462</v>
      </c>
      <c r="AM60" s="59">
        <f t="shared" si="5"/>
        <v>567.80815006806233</v>
      </c>
      <c r="AN60" s="59">
        <f ca="1">AVERAGE(OFFSET($AM$3,0,0,'Données projet'!$E$10+1,1))-AVERAGE(OFFSET($H$3,0,0,'Données projet'!$E$10+1,1))</f>
        <v>374.38106339726073</v>
      </c>
      <c r="AO60" s="59">
        <f t="shared" si="36"/>
        <v>296.53283288925957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13.187003730068062</v>
      </c>
      <c r="AV60" s="21">
        <f>EXP(-LN(2)/25)*AV59+(1-EXP(-LN(2)/25))/(LN(2)/25)*Calculateur!AQ60*Calculateur!AS60*VLOOKUP('Données projet'!$B$10,Paramètres!$A$1:$I$89,3,0)*0.475*44/12</f>
        <v>18.537554012678662</v>
      </c>
      <c r="AW60" s="21">
        <f>EXP(-LN(2)/2)*AW59+(1-EXP(-LN(2)/2))/(LN(2)/2)*AQ60*AT60*VLOOKUP('Données projet'!$B$10,Paramètres!$A$1:$I$89,3,0)*0.475*44/12</f>
        <v>4.3787420857591028</v>
      </c>
      <c r="AX60" s="21">
        <f t="shared" si="6"/>
        <v>36.103299828505826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181.94592</v>
      </c>
      <c r="BF60" s="13">
        <f t="shared" si="37"/>
        <v>45.754846212632849</v>
      </c>
      <c r="BG60" s="20">
        <f t="shared" si="7"/>
        <v>396.57883448700221</v>
      </c>
      <c r="BH60" s="59">
        <f t="shared" si="8"/>
        <v>656.10547453767992</v>
      </c>
      <c r="BI60" s="59">
        <f ca="1">AVERAGE(OFFSET($BH$3,0,0,'Données projet'!$E$11+1,1))-AVERAGE(OFFSET($H$3,0,0,'Données projet'!$E$11+1,1))</f>
        <v>423.80243030843661</v>
      </c>
      <c r="BJ60" s="59">
        <f t="shared" si="38"/>
        <v>260.29028006191834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10.13378584213954</v>
      </c>
      <c r="BR60" s="21">
        <f>EXP(-LN(2)/2)*BR59+(1-EXP(-LN(2)/2))/(LN(2)/2)*BL60*BO60*VLOOKUP('Données projet'!$B$11,Paramètres!$A$1:$I$89,3,0)*0.475*44/12</f>
        <v>2.8629336332635948</v>
      </c>
      <c r="BS60" s="22">
        <f t="shared" si="9"/>
        <v>12.996719475403134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14.113999999999999</v>
      </c>
      <c r="BY60" s="12">
        <f>IF('Données projet'!$A$114&gt;35,BY59+BX60-CG59,IF(A60&lt;'Données projet'!$A$114,$BV$205^A60,IF(A60='Données projet'!$A$114,'Données projet'!$B$114,BY59+BX60-CG59)))</f>
        <v>398.5979999999999</v>
      </c>
      <c r="BZ60" s="13">
        <f>BY60*VLOOKUP('Données projet'!$B$12,Paramètres!$A$1:$I$89,3,0)*VLOOKUP('Données projet'!$B$12,Paramètres!$A$1:$I$89,5,0)</f>
        <v>238.36160399999994</v>
      </c>
      <c r="CA60" s="13">
        <f t="shared" si="39"/>
        <v>58.086881188787437</v>
      </c>
      <c r="CB60" s="20">
        <f t="shared" si="10"/>
        <v>516.31444503713794</v>
      </c>
      <c r="CC60" s="59">
        <f t="shared" si="11"/>
        <v>775.8410850878156</v>
      </c>
      <c r="CD60" s="59">
        <f ca="1">AVERAGE(OFFSET($CC$3,0,0,'Données projet'!$E$12+1,1))-AVERAGE(OFFSET($H$3,0,0,'Données projet'!$E$12+1,1))</f>
        <v>373.61861223558259</v>
      </c>
      <c r="CE60" s="59">
        <f t="shared" si="40"/>
        <v>277.62293009761049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31.366197738786585</v>
      </c>
      <c r="CL60" s="21">
        <f>EXP(-LN(2)/25)*CL59+(1-EXP(-LN(2)/25))/(LN(2)/25)*Calculateur!CG60*Calculateur!CI60*VLOOKUP('Données projet'!$B$12,Paramètres!$A$1:$I$89,3,0)*0.475*44/12</f>
        <v>15.613147674562248</v>
      </c>
      <c r="CM60" s="21">
        <f>EXP(-LN(2)/2)*CM59+(1-EXP(-LN(2)/2))/(LN(2)/2)*CG60*CJ60*VLOOKUP('Données projet'!$B$12,Paramètres!$A$1:$I$89,3,0)*0.475*44/12</f>
        <v>0.88206155109668294</v>
      </c>
      <c r="CN60" s="22">
        <f t="shared" si="12"/>
        <v>47.861406964445514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158.99520000000004</v>
      </c>
      <c r="CV60" s="13">
        <f t="shared" si="41"/>
        <v>40.615796933386044</v>
      </c>
      <c r="CW60" s="20">
        <f t="shared" si="13"/>
        <v>347.65581965898076</v>
      </c>
      <c r="CX60" s="59">
        <f t="shared" si="14"/>
        <v>607.18245970965847</v>
      </c>
      <c r="CY60" s="59">
        <f ca="1">AVERAGE(OFFSET($CX$3,0,0,'Données projet'!$E$13+1,1))-AVERAGE(OFFSET($H$3,0,0,'Données projet'!$E$13+1,1))</f>
        <v>287.28439432670405</v>
      </c>
      <c r="CZ60" s="59">
        <f t="shared" si="42"/>
        <v>276.01618888357268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2.8010508287270168</v>
      </c>
      <c r="DG60" s="21">
        <f>EXP(-LN(2)/25)*DG59+(1-EXP(-LN(2)/25))/(LN(2)/25)*Calculateur!DB60*Calculateur!DD60*VLOOKUP('Données projet'!$B$13,Paramètres!$A$1:$I$89,3,0)*0.475*44/12</f>
        <v>10.788775883908565</v>
      </c>
      <c r="DH60" s="21">
        <f>EXP(-LN(2)/2)*DH59+(1-EXP(-LN(2)/2))/(LN(2)/2)*DB60*DE60*VLOOKUP('Données projet'!$B$13,Paramètres!$A$1:$I$89,3,0)*0.475*44/12</f>
        <v>1.4426178807052568</v>
      </c>
      <c r="DI60" s="22">
        <f t="shared" si="15"/>
        <v>15.032444593340838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9">
        <f t="shared" si="0"/>
        <v>757.76413479475536</v>
      </c>
      <c r="S61" s="59">
        <f ca="1">AVERAGE(OFFSET($R$3,0,0,'Données projet'!$E$9+1,1))-AVERAGE(OFFSET($H$3,0,0,'Données projet'!$E$9+1,1))</f>
        <v>681.47578137804555</v>
      </c>
      <c r="T61" s="59">
        <f t="shared" si="34"/>
        <v>300.88511065995885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12.999000000000001</v>
      </c>
      <c r="AI61" s="13">
        <f>IF('Données projet'!$A$62&gt;35,AI60+AH61-AQ60,IF(A61&lt;'Données projet'!$A$62,$AF$205^A61,IF(A61='Données projet'!$A$62,'Données projet'!$B$62,AI60+AH61-AQ60)))</f>
        <v>313.37299999999982</v>
      </c>
      <c r="AJ61" s="13">
        <f>AI61*VLOOKUP('Données projet'!$B$10,Paramètres!$A$1:$I$89,3,0)*VLOOKUP('Données projet'!$B$10,Paramètres!$A$1:$I$89,5,0)</f>
        <v>146.6585639999999</v>
      </c>
      <c r="AK61" s="13">
        <f t="shared" si="35"/>
        <v>37.81823955666578</v>
      </c>
      <c r="AL61" s="20">
        <f t="shared" si="4"/>
        <v>321.29709952785942</v>
      </c>
      <c r="AM61" s="59">
        <f t="shared" si="5"/>
        <v>581.41021012654778</v>
      </c>
      <c r="AN61" s="59">
        <f ca="1">AVERAGE(OFFSET($AM$3,0,0,'Données projet'!$E$10+1,1))-AVERAGE(OFFSET($H$3,0,0,'Données projet'!$E$10+1,1))</f>
        <v>374.38106339726073</v>
      </c>
      <c r="AO61" s="59">
        <f t="shared" si="36"/>
        <v>296.53283288925957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12.928414630199494</v>
      </c>
      <c r="AV61" s="21">
        <f>EXP(-LN(2)/25)*AV60+(1-EXP(-LN(2)/25))/(LN(2)/25)*Calculateur!AQ61*Calculateur!AS61*VLOOKUP('Données projet'!$B$10,Paramètres!$A$1:$I$89,3,0)*0.475*44/12</f>
        <v>18.030643623354365</v>
      </c>
      <c r="AW61" s="21">
        <f>EXP(-LN(2)/2)*AW60+(1-EXP(-LN(2)/2))/(LN(2)/2)*AQ61*AT61*VLOOKUP('Données projet'!$B$10,Paramètres!$A$1:$I$89,3,0)*0.475*44/12</f>
        <v>3.0962382219071887</v>
      </c>
      <c r="AX61" s="21">
        <f t="shared" si="6"/>
        <v>34.055296475461049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189.17807999999999</v>
      </c>
      <c r="BF61" s="13">
        <f t="shared" si="37"/>
        <v>47.358192185392497</v>
      </c>
      <c r="BG61" s="20">
        <f t="shared" si="7"/>
        <v>411.96734072289183</v>
      </c>
      <c r="BH61" s="59">
        <f t="shared" si="8"/>
        <v>672.08045132158031</v>
      </c>
      <c r="BI61" s="59">
        <f ca="1">AVERAGE(OFFSET($BH$3,0,0,'Données projet'!$E$11+1,1))-AVERAGE(OFFSET($H$3,0,0,'Données projet'!$E$11+1,1))</f>
        <v>423.80243030843661</v>
      </c>
      <c r="BJ61" s="59">
        <f t="shared" si="38"/>
        <v>260.29028006191834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9.8566769353735975</v>
      </c>
      <c r="BR61" s="21">
        <f>EXP(-LN(2)/2)*BR60+(1-EXP(-LN(2)/2))/(LN(2)/2)*BL61*BO61*VLOOKUP('Données projet'!$B$11,Paramètres!$A$1:$I$89,3,0)*0.475*44/12</f>
        <v>2.0243997861677285</v>
      </c>
      <c r="BS61" s="22">
        <f t="shared" si="9"/>
        <v>11.881076721541326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14.113999999999999</v>
      </c>
      <c r="BY61" s="12">
        <f>IF('Données projet'!$A$114&gt;35,BY60+BX61-CG60,IF(A61&lt;'Données projet'!$A$114,$BV$205^A61,IF(A61='Données projet'!$A$114,'Données projet'!$B$114,BY60+BX61-CG60)))</f>
        <v>412.71199999999988</v>
      </c>
      <c r="BZ61" s="13">
        <f>BY61*VLOOKUP('Données projet'!$B$12,Paramètres!$A$1:$I$89,3,0)*VLOOKUP('Données projet'!$B$12,Paramètres!$A$1:$I$89,5,0)</f>
        <v>246.80177599999993</v>
      </c>
      <c r="CA61" s="13">
        <f t="shared" si="39"/>
        <v>59.900576970210864</v>
      </c>
      <c r="CB61" s="20">
        <f t="shared" si="10"/>
        <v>534.17326475645041</v>
      </c>
      <c r="CC61" s="59">
        <f t="shared" si="11"/>
        <v>794.28637535513883</v>
      </c>
      <c r="CD61" s="59">
        <f ca="1">AVERAGE(OFFSET($CC$3,0,0,'Données projet'!$E$12+1,1))-AVERAGE(OFFSET($H$3,0,0,'Données projet'!$E$12+1,1))</f>
        <v>373.61861223558259</v>
      </c>
      <c r="CE61" s="59">
        <f t="shared" si="40"/>
        <v>277.62293009761049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30.751125732620523</v>
      </c>
      <c r="CL61" s="21">
        <f>EXP(-LN(2)/25)*CL60+(1-EXP(-LN(2)/25))/(LN(2)/25)*Calculateur!CG61*Calculateur!CI61*VLOOKUP('Données projet'!$B$12,Paramètres!$A$1:$I$89,3,0)*0.475*44/12</f>
        <v>15.186205330341592</v>
      </c>
      <c r="CM61" s="21">
        <f>EXP(-LN(2)/2)*CM60+(1-EXP(-LN(2)/2))/(LN(2)/2)*CG61*CJ61*VLOOKUP('Données projet'!$B$12,Paramètres!$A$1:$I$89,3,0)*0.475*44/12</f>
        <v>0.62371170420438893</v>
      </c>
      <c r="CN61" s="22">
        <f t="shared" si="12"/>
        <v>46.561042767166505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162.48960000000002</v>
      </c>
      <c r="CV61" s="13">
        <f t="shared" si="41"/>
        <v>41.403546033820696</v>
      </c>
      <c r="CW61" s="20">
        <f t="shared" si="13"/>
        <v>355.11389600890442</v>
      </c>
      <c r="CX61" s="59">
        <f t="shared" si="14"/>
        <v>615.22700660759278</v>
      </c>
      <c r="CY61" s="59">
        <f ca="1">AVERAGE(OFFSET($CX$3,0,0,'Données projet'!$E$13+1,1))-AVERAGE(OFFSET($H$3,0,0,'Données projet'!$E$13+1,1))</f>
        <v>287.28439432670405</v>
      </c>
      <c r="CZ61" s="59">
        <f t="shared" si="42"/>
        <v>276.01618888357268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2.7461239304479879</v>
      </c>
      <c r="DG61" s="21">
        <f>EXP(-LN(2)/25)*DG60+(1-EXP(-LN(2)/25))/(LN(2)/25)*Calculateur!DB61*Calculateur!DD61*VLOOKUP('Données projet'!$B$13,Paramètres!$A$1:$I$89,3,0)*0.475*44/12</f>
        <v>10.49375624000602</v>
      </c>
      <c r="DH61" s="21">
        <f>EXP(-LN(2)/2)*DH60+(1-EXP(-LN(2)/2))/(LN(2)/2)*DB61*DE61*VLOOKUP('Données projet'!$B$13,Paramètres!$A$1:$I$89,3,0)*0.475*44/12</f>
        <v>1.020084886107653</v>
      </c>
      <c r="DI61" s="22">
        <f t="shared" si="15"/>
        <v>14.259965056561661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9">
        <f t="shared" si="0"/>
        <v>685.99760517267418</v>
      </c>
      <c r="S62" s="59">
        <f ca="1">AVERAGE(OFFSET($R$3,0,0,'Données projet'!$E$9+1,1))-AVERAGE(OFFSET($H$3,0,0,'Données projet'!$E$9+1,1))</f>
        <v>681.47578137804555</v>
      </c>
      <c r="T62" s="59">
        <f t="shared" si="34"/>
        <v>300.88511065995885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12.999000000000001</v>
      </c>
      <c r="AI62" s="13">
        <f>IF('Données projet'!$A$62&gt;35,AI61+AH62-AQ61,IF(A62&lt;'Données projet'!$A$62,$AF$205^A62,IF(A62='Données projet'!$A$62,'Données projet'!$B$62,AI61+AH62-AQ61)))</f>
        <v>326.37199999999984</v>
      </c>
      <c r="AJ62" s="13">
        <f>AI62*VLOOKUP('Données projet'!$B$10,Paramètres!$A$1:$I$89,3,0)*VLOOKUP('Données projet'!$B$10,Paramètres!$A$1:$I$89,5,0)</f>
        <v>152.74209599999995</v>
      </c>
      <c r="AK62" s="13">
        <f t="shared" si="35"/>
        <v>39.201078252346029</v>
      </c>
      <c r="AL62" s="20">
        <f t="shared" si="4"/>
        <v>334.30102848950258</v>
      </c>
      <c r="AM62" s="59">
        <f t="shared" si="5"/>
        <v>594.99043568334537</v>
      </c>
      <c r="AN62" s="59">
        <f ca="1">AVERAGE(OFFSET($AM$3,0,0,'Données projet'!$E$10+1,1))-AVERAGE(OFFSET($H$3,0,0,'Données projet'!$E$10+1,1))</f>
        <v>374.38106339726073</v>
      </c>
      <c r="AO62" s="59">
        <f t="shared" si="36"/>
        <v>296.53283288925957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12.674896304855572</v>
      </c>
      <c r="AV62" s="21">
        <f>EXP(-LN(2)/25)*AV61+(1-EXP(-LN(2)/25))/(LN(2)/25)*Calculateur!AQ62*Calculateur!AS62*VLOOKUP('Données projet'!$B$10,Paramètres!$A$1:$I$89,3,0)*0.475*44/12</f>
        <v>17.537594725283402</v>
      </c>
      <c r="AW62" s="21">
        <f>EXP(-LN(2)/2)*AW61+(1-EXP(-LN(2)/2))/(LN(2)/2)*AQ62*AT62*VLOOKUP('Données projet'!$B$10,Paramètres!$A$1:$I$89,3,0)*0.475*44/12</f>
        <v>2.1893710428795514</v>
      </c>
      <c r="AX62" s="21">
        <f t="shared" si="6"/>
        <v>32.401862073018528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196.41023999999999</v>
      </c>
      <c r="BF62" s="13">
        <f t="shared" si="37"/>
        <v>48.954417448783772</v>
      </c>
      <c r="BG62" s="20">
        <f t="shared" si="7"/>
        <v>427.34344505663171</v>
      </c>
      <c r="BH62" s="59">
        <f t="shared" si="8"/>
        <v>688.03285225047443</v>
      </c>
      <c r="BI62" s="59">
        <f ca="1">AVERAGE(OFFSET($BH$3,0,0,'Données projet'!$E$11+1,1))-AVERAGE(OFFSET($H$3,0,0,'Données projet'!$E$11+1,1))</f>
        <v>423.80243030843661</v>
      </c>
      <c r="BJ62" s="59">
        <f t="shared" si="38"/>
        <v>260.29028006191834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9.5871455862356942</v>
      </c>
      <c r="BR62" s="21">
        <f>EXP(-LN(2)/2)*BR61+(1-EXP(-LN(2)/2))/(LN(2)/2)*BL62*BO62*VLOOKUP('Données projet'!$B$11,Paramètres!$A$1:$I$89,3,0)*0.475*44/12</f>
        <v>1.4314668166317976</v>
      </c>
      <c r="BS62" s="22">
        <f t="shared" si="9"/>
        <v>11.018612402867491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14.113999999999999</v>
      </c>
      <c r="BY62" s="12">
        <f>IF('Données projet'!$A$114&gt;35,BY61+BX62-CG61,IF(A62&lt;'Données projet'!$A$114,$BV$205^A62,IF(A62='Données projet'!$A$114,'Données projet'!$B$114,BY61+BX62-CG61)))</f>
        <v>426.82599999999985</v>
      </c>
      <c r="BZ62" s="13">
        <f>BY62*VLOOKUP('Données projet'!$B$12,Paramètres!$A$1:$I$89,3,0)*VLOOKUP('Données projet'!$B$12,Paramètres!$A$1:$I$89,5,0)</f>
        <v>255.24194799999992</v>
      </c>
      <c r="CA62" s="13">
        <f t="shared" si="39"/>
        <v>61.707065896857912</v>
      </c>
      <c r="CB62" s="20">
        <f t="shared" si="10"/>
        <v>552.01953253702732</v>
      </c>
      <c r="CC62" s="59">
        <f t="shared" si="11"/>
        <v>812.70893973087004</v>
      </c>
      <c r="CD62" s="59">
        <f ca="1">AVERAGE(OFFSET($CC$3,0,0,'Données projet'!$E$12+1,1))-AVERAGE(OFFSET($H$3,0,0,'Données projet'!$E$12+1,1))</f>
        <v>373.61861223558259</v>
      </c>
      <c r="CE62" s="59">
        <f t="shared" si="40"/>
        <v>277.62293009761049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30.148114913338496</v>
      </c>
      <c r="CL62" s="21">
        <f>EXP(-LN(2)/25)*CL61+(1-EXP(-LN(2)/25))/(LN(2)/25)*Calculateur!CG62*Calculateur!CI62*VLOOKUP('Données projet'!$B$12,Paramètres!$A$1:$I$89,3,0)*0.475*44/12</f>
        <v>14.770937746975571</v>
      </c>
      <c r="CM62" s="21">
        <f>EXP(-LN(2)/2)*CM61+(1-EXP(-LN(2)/2))/(LN(2)/2)*CG62*CJ62*VLOOKUP('Données projet'!$B$12,Paramètres!$A$1:$I$89,3,0)*0.475*44/12</f>
        <v>0.44103077554834152</v>
      </c>
      <c r="CN62" s="22">
        <f t="shared" si="12"/>
        <v>45.360083435862407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165.98400000000001</v>
      </c>
      <c r="CV62" s="13">
        <f t="shared" si="41"/>
        <v>42.189325525922243</v>
      </c>
      <c r="CW62" s="20">
        <f t="shared" si="13"/>
        <v>362.56854195764794</v>
      </c>
      <c r="CX62" s="59">
        <f t="shared" si="14"/>
        <v>623.25794915149072</v>
      </c>
      <c r="CY62" s="59">
        <f ca="1">AVERAGE(OFFSET($CX$3,0,0,'Données projet'!$E$13+1,1))-AVERAGE(OFFSET($H$3,0,0,'Données projet'!$E$13+1,1))</f>
        <v>287.28439432670405</v>
      </c>
      <c r="CZ62" s="59">
        <f t="shared" si="42"/>
        <v>276.01618888357268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2.6922741151421108</v>
      </c>
      <c r="DG62" s="21">
        <f>EXP(-LN(2)/25)*DG61+(1-EXP(-LN(2)/25))/(LN(2)/25)*Calculateur!DB62*Calculateur!DD62*VLOOKUP('Données projet'!$B$13,Paramètres!$A$1:$I$89,3,0)*0.475*44/12</f>
        <v>10.206803923780399</v>
      </c>
      <c r="DH62" s="21">
        <f>EXP(-LN(2)/2)*DH61+(1-EXP(-LN(2)/2))/(LN(2)/2)*DB62*DE62*VLOOKUP('Données projet'!$B$13,Paramètres!$A$1:$I$89,3,0)*0.475*44/12</f>
        <v>0.72130894035262849</v>
      </c>
      <c r="DI62" s="22">
        <f t="shared" si="15"/>
        <v>13.620386979275137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9">
        <f t="shared" si="0"/>
        <v>705.99239080924474</v>
      </c>
      <c r="S63" s="59">
        <f ca="1">AVERAGE(OFFSET($R$3,0,0,'Données projet'!$E$9+1,1))-AVERAGE(OFFSET($H$3,0,0,'Données projet'!$E$9+1,1))</f>
        <v>681.47578137804555</v>
      </c>
      <c r="T63" s="59">
        <f t="shared" si="34"/>
        <v>300.88511065995885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12.999000000000001</v>
      </c>
      <c r="AI63" s="13">
        <f>IF('Données projet'!$A$62&gt;35,AI62+AH63-AQ62,IF(A63&lt;'Données projet'!$A$62,$AF$205^A63,IF(A63='Données projet'!$A$62,'Données projet'!$B$62,AI62+AH63-AQ62)))</f>
        <v>339.37099999999987</v>
      </c>
      <c r="AJ63" s="13">
        <f>AI63*VLOOKUP('Données projet'!$B$10,Paramètres!$A$1:$I$89,3,0)*VLOOKUP('Données projet'!$B$10,Paramètres!$A$1:$I$89,5,0)</f>
        <v>158.82562799999994</v>
      </c>
      <c r="AK63" s="13">
        <f t="shared" si="35"/>
        <v>40.577519061672213</v>
      </c>
      <c r="AL63" s="20">
        <f t="shared" si="4"/>
        <v>347.2938144657457</v>
      </c>
      <c r="AM63" s="59">
        <f t="shared" si="5"/>
        <v>608.54952079722318</v>
      </c>
      <c r="AN63" s="59">
        <f ca="1">AVERAGE(OFFSET($AM$3,0,0,'Données projet'!$E$10+1,1))-AVERAGE(OFFSET($H$3,0,0,'Données projet'!$E$10+1,1))</f>
        <v>374.38106339726073</v>
      </c>
      <c r="AO63" s="59">
        <f t="shared" si="36"/>
        <v>296.53283288925957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12.426349319240735</v>
      </c>
      <c r="AV63" s="21">
        <f>EXP(-LN(2)/25)*AV62+(1-EXP(-LN(2)/25))/(LN(2)/25)*Calculateur!AQ63*Calculateur!AS63*VLOOKUP('Données projet'!$B$10,Paramètres!$A$1:$I$89,3,0)*0.475*44/12</f>
        <v>17.058028275258504</v>
      </c>
      <c r="AW63" s="21">
        <f>EXP(-LN(2)/2)*AW62+(1-EXP(-LN(2)/2))/(LN(2)/2)*AQ63*AT63*VLOOKUP('Données projet'!$B$10,Paramètres!$A$1:$I$89,3,0)*0.475*44/12</f>
        <v>1.5481191109535943</v>
      </c>
      <c r="AX63" s="21">
        <f t="shared" si="6"/>
        <v>31.032496705452832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203.64239999999998</v>
      </c>
      <c r="BF63" s="13">
        <f t="shared" si="37"/>
        <v>50.543814227115405</v>
      </c>
      <c r="BG63" s="20">
        <f t="shared" si="7"/>
        <v>442.70765644555928</v>
      </c>
      <c r="BH63" s="59">
        <f t="shared" si="8"/>
        <v>703.96336277703676</v>
      </c>
      <c r="BI63" s="59">
        <f ca="1">AVERAGE(OFFSET($BH$3,0,0,'Données projet'!$E$11+1,1))-AVERAGE(OFFSET($H$3,0,0,'Données projet'!$E$11+1,1))</f>
        <v>423.80243030843661</v>
      </c>
      <c r="BJ63" s="59">
        <f t="shared" si="38"/>
        <v>260.29028006191834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0.1075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11.690446416548827</v>
      </c>
      <c r="BR63" s="21">
        <f>EXP(-LN(2)/2)*BR62+(1-EXP(-LN(2)/2))/(LN(2)/2)*BL63*BO63*VLOOKUP('Données projet'!$B$11,Paramètres!$A$1:$I$89,3,0)*0.475*44/12</f>
        <v>5.7259660057609238</v>
      </c>
      <c r="BS63" s="22">
        <f t="shared" si="9"/>
        <v>17.416412422309751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440.94</v>
      </c>
      <c r="BW63" s="12">
        <f>VLOOKUP(A63,'Données projet'!$A$113:$I$133,9,0)</f>
        <v>14.113999999999999</v>
      </c>
      <c r="BX63" s="12">
        <f t="array" ref="BX63">INDEX(BW:BW,MIN(IF(ISNUMBER(BW63:BW259),ROW(BW63:BW259),"")))</f>
        <v>14.113999999999999</v>
      </c>
      <c r="BY63" s="12">
        <f>IF('Données projet'!$A$114&gt;35,BY62+BX63-CG62,IF(A63&lt;'Données projet'!$A$114,$BV$205^A63,IF(A63='Données projet'!$A$114,'Données projet'!$B$114,BY62+BX63-CG62)))</f>
        <v>440.93999999999983</v>
      </c>
      <c r="BZ63" s="13">
        <f>BY63*VLOOKUP('Données projet'!$B$12,Paramètres!$A$1:$I$89,3,0)*VLOOKUP('Données projet'!$B$12,Paramètres!$A$1:$I$89,5,0)</f>
        <v>263.68211999999988</v>
      </c>
      <c r="CA63" s="13">
        <f t="shared" si="39"/>
        <v>63.506613606650006</v>
      </c>
      <c r="CB63" s="20">
        <f t="shared" si="10"/>
        <v>569.85371103158184</v>
      </c>
      <c r="CC63" s="59">
        <f t="shared" si="11"/>
        <v>831.10941736305926</v>
      </c>
      <c r="CD63" s="59">
        <f ca="1">AVERAGE(OFFSET($CC$3,0,0,'Données projet'!$E$12+1,1))-AVERAGE(OFFSET($H$3,0,0,'Données projet'!$E$12+1,1))</f>
        <v>373.61861223558259</v>
      </c>
      <c r="CE63" s="59">
        <f t="shared" si="40"/>
        <v>277.62293009761049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69.839999999999975</v>
      </c>
      <c r="CH63" s="16">
        <f>IF(ISNA(VLOOKUP(A63,'Données projet'!$A$113:$I$133,5,0)),0%,VLOOKUP(A63,'Données projet'!$A$113:$I$133,5,0)*VLOOKUP('Données projet'!$B$12,Paramètres!$A$1:$I$89,7,0))</f>
        <v>0.27</v>
      </c>
      <c r="CI63" s="16">
        <f>IF(ISNA(VLOOKUP(A63,'Données projet'!$A$113:$I$133,6,0)),0%,VLOOKUP(A63,'Données projet'!$A$113:$I$133,6,0)*VLOOKUP('Données projet'!$B$12,Paramètres!$A$1:$I$89,7,0))</f>
        <v>9.0000000000000011E-2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44.515755621175032</v>
      </c>
      <c r="CL63" s="21">
        <f>EXP(-LN(2)/25)*CL62+(1-EXP(-LN(2)/25))/(LN(2)/25)*Calculateur!CG63*Calculateur!CI63*VLOOKUP('Données projet'!$B$12,Paramètres!$A$1:$I$89,3,0)*0.475*44/12</f>
        <v>19.333668428072521</v>
      </c>
      <c r="CM63" s="21">
        <f>EXP(-LN(2)/2)*CM62+(1-EXP(-LN(2)/2))/(LN(2)/2)*CG63*CJ63*VLOOKUP('Données projet'!$B$12,Paramètres!$A$1:$I$89,3,0)*0.475*44/12</f>
        <v>9.7692382497482964</v>
      </c>
      <c r="CN63" s="22">
        <f t="shared" si="12"/>
        <v>73.618662298995844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169.47840000000002</v>
      </c>
      <c r="CV63" s="13">
        <f t="shared" si="41"/>
        <v>42.973181651930332</v>
      </c>
      <c r="CW63" s="20">
        <f t="shared" si="13"/>
        <v>370.01983804377869</v>
      </c>
      <c r="CX63" s="59">
        <f t="shared" si="14"/>
        <v>631.27554437525623</v>
      </c>
      <c r="CY63" s="59">
        <f ca="1">AVERAGE(OFFSET($CX$3,0,0,'Données projet'!$E$13+1,1))-AVERAGE(OFFSET($H$3,0,0,'Données projet'!$E$13+1,1))</f>
        <v>287.28439432670405</v>
      </c>
      <c r="CZ63" s="59">
        <f t="shared" si="42"/>
        <v>276.01618888357268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3.7911239282145202</v>
      </c>
      <c r="DG63" s="21">
        <f>EXP(-LN(2)/25)*DG62+(1-EXP(-LN(2)/25))/(LN(2)/25)*Calculateur!DB63*Calculateur!DD63*VLOOKUP('Données projet'!$B$13,Paramètres!$A$1:$I$89,3,0)*0.475*44/12</f>
        <v>11.074807540152376</v>
      </c>
      <c r="DH63" s="21">
        <f>EXP(-LN(2)/2)*DH62+(1-EXP(-LN(2)/2))/(LN(2)/2)*DB63*DE63*VLOOKUP('Données projet'!$B$13,Paramètres!$A$1:$I$89,3,0)*0.475*44/12</f>
        <v>2.3646389464021778</v>
      </c>
      <c r="DI63" s="22">
        <f t="shared" si="15"/>
        <v>17.230570414769073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9">
        <f t="shared" si="0"/>
        <v>725.95918056238668</v>
      </c>
      <c r="S64" s="59">
        <f ca="1">AVERAGE(OFFSET($R$3,0,0,'Données projet'!$E$9+1,1))-AVERAGE(OFFSET($H$3,0,0,'Données projet'!$E$9+1,1))</f>
        <v>681.47578137804555</v>
      </c>
      <c r="T64" s="59">
        <f t="shared" si="34"/>
        <v>300.88511065995885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>
        <f>VLOOKUP(A64,'Données projet'!$A$61:$I$81,2,0)</f>
        <v>352.37</v>
      </c>
      <c r="AG64" s="12">
        <f>VLOOKUP(A64,'Données projet'!$A$61:$I$81,9,0)</f>
        <v>12.999000000000001</v>
      </c>
      <c r="AH64" s="12">
        <f t="array" ref="AH64">INDEX(AG:AG,MIN(IF(ISNUMBER(AG64:AG260),ROW(AG64:AG260),"")))</f>
        <v>12.999000000000001</v>
      </c>
      <c r="AI64" s="13">
        <f>IF('Données projet'!$A$62&gt;35,AI63+AH64-AQ63,IF(A64&lt;'Données projet'!$A$62,$AF$205^A64,IF(A64='Données projet'!$A$62,'Données projet'!$B$62,AI63+AH64-AQ63)))</f>
        <v>352.36999999999989</v>
      </c>
      <c r="AJ64" s="13">
        <f>AI64*VLOOKUP('Données projet'!$B$10,Paramètres!$A$1:$I$89,3,0)*VLOOKUP('Données projet'!$B$10,Paramètres!$A$1:$I$89,5,0)</f>
        <v>164.90915999999996</v>
      </c>
      <c r="AK64" s="13">
        <f t="shared" si="35"/>
        <v>41.947835096187085</v>
      </c>
      <c r="AL64" s="20">
        <f t="shared" si="4"/>
        <v>360.27593312585913</v>
      </c>
      <c r="AM64" s="59">
        <f t="shared" si="5"/>
        <v>622.08811457098841</v>
      </c>
      <c r="AN64" s="59">
        <f ca="1">AVERAGE(OFFSET($AM$3,0,0,'Données projet'!$E$10+1,1))-AVERAGE(OFFSET($H$3,0,0,'Données projet'!$E$10+1,1))</f>
        <v>374.38106339726073</v>
      </c>
      <c r="AO64" s="59">
        <f t="shared" si="36"/>
        <v>296.53283288925957</v>
      </c>
      <c r="AP64" s="15">
        <f>IF(ISNA(VLOOKUP(A64,'Données projet'!$A$61:$I$81,3,0)),0,VLOOKUP(A64,'Données projet'!$A$61:$I$81,3,0))</f>
        <v>2</v>
      </c>
      <c r="AQ64" s="15">
        <f>IF(ISNA(VLOOKUP(A64,'Données projet'!$A$61:$I$81,4,0)),0,VLOOKUP(A64,'Données projet'!$A$61:$I$81,4,0))</f>
        <v>101.36000000000001</v>
      </c>
      <c r="AR64" s="16">
        <f>IF(ISNA(VLOOKUP(A64,'Données projet'!$A$61:$I$81,5,0)),0%,VLOOKUP(A64,'Données projet'!$A$61:$I$81,5,0)*VLOOKUP('Données projet'!$B$10,Paramètres!$A$1:$I$89,7,0))</f>
        <v>0.33</v>
      </c>
      <c r="AS64" s="16">
        <f>IF(ISNA(VLOOKUP(A64,'Données projet'!$A$61:$I$81,6,0)),0%,VLOOKUP(A64,'Données projet'!$A$61:$I$81,6,0)*VLOOKUP('Données projet'!$B$10,Paramètres!$A$1:$I$89,7,0))</f>
        <v>0.11000000000000001</v>
      </c>
      <c r="AT64" s="16">
        <f>IF(ISNA(VLOOKUP(A64,'Données projet'!$A$61:$I$81,7,0)),0%,VLOOKUP(A64,'Données projet'!$A$61:$I$81,7,0))</f>
        <v>0.2</v>
      </c>
      <c r="AU64" s="21">
        <f>EXP(-LN(2)/35)*AU63+(1-EXP(-LN(2)/35))/(LN(2)/35)*AQ64*AR64*VLOOKUP('Données projet'!$B$10,Paramètres!$A$1:$I$89,3,0)*0.475*44/12</f>
        <v>32.948767113940768</v>
      </c>
      <c r="AV64" s="21">
        <f>EXP(-LN(2)/25)*AV63+(1-EXP(-LN(2)/25))/(LN(2)/25)*Calculateur!AQ64*Calculateur!AS64*VLOOKUP('Données projet'!$B$10,Paramètres!$A$1:$I$89,3,0)*0.475*44/12</f>
        <v>23.486351232712469</v>
      </c>
      <c r="AW64" s="21">
        <f>EXP(-LN(2)/2)*AW63+(1-EXP(-LN(2)/2))/(LN(2)/2)*AQ64*AT64*VLOOKUP('Données projet'!$B$10,Paramètres!$A$1:$I$89,3,0)*0.475*44/12</f>
        <v>11.836508468833424</v>
      </c>
      <c r="AX64" s="21">
        <f t="shared" si="6"/>
        <v>68.27162681548667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190.51031999999995</v>
      </c>
      <c r="BF64" s="13">
        <f t="shared" si="37"/>
        <v>47.652759738576151</v>
      </c>
      <c r="BG64" s="20">
        <f t="shared" si="7"/>
        <v>414.80069721135334</v>
      </c>
      <c r="BH64" s="59">
        <f t="shared" si="8"/>
        <v>676.61287865648274</v>
      </c>
      <c r="BI64" s="59">
        <f ca="1">AVERAGE(OFFSET($BH$3,0,0,'Données projet'!$E$11+1,1))-AVERAGE(OFFSET($H$3,0,0,'Données projet'!$E$11+1,1))</f>
        <v>423.80243030843661</v>
      </c>
      <c r="BJ64" s="59">
        <f t="shared" si="38"/>
        <v>260.29028006191834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11.370770544514441</v>
      </c>
      <c r="BR64" s="21">
        <f>EXP(-LN(2)/2)*BR63+(1-EXP(-LN(2)/2))/(LN(2)/2)*BL64*BO64*VLOOKUP('Données projet'!$B$11,Paramètres!$A$1:$I$89,3,0)*0.475*44/12</f>
        <v>4.0488693915171989</v>
      </c>
      <c r="BS64" s="22">
        <f t="shared" si="9"/>
        <v>15.41963993603164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11.896999999999997</v>
      </c>
      <c r="BY64" s="12">
        <f>IF('Données projet'!$A$114&gt;35,BY63+BX64-CG63,IF(A64&lt;'Données projet'!$A$114,$BV$205^A64,IF(A64='Données projet'!$A$114,'Données projet'!$B$114,BY63+BX64-CG63)))</f>
        <v>382.99699999999984</v>
      </c>
      <c r="BZ64" s="13">
        <f>BY64*VLOOKUP('Données projet'!$B$12,Paramètres!$A$1:$I$89,3,0)*VLOOKUP('Données projet'!$B$12,Paramètres!$A$1:$I$89,5,0)</f>
        <v>229.03220599999992</v>
      </c>
      <c r="CA64" s="13">
        <f t="shared" si="39"/>
        <v>56.073370514455313</v>
      </c>
      <c r="CB64" s="20">
        <f t="shared" si="10"/>
        <v>496.55887909600943</v>
      </c>
      <c r="CC64" s="59">
        <f t="shared" si="11"/>
        <v>758.37106054113883</v>
      </c>
      <c r="CD64" s="59">
        <f ca="1">AVERAGE(OFFSET($CC$3,0,0,'Données projet'!$E$12+1,1))-AVERAGE(OFFSET($H$3,0,0,'Données projet'!$E$12+1,1))</f>
        <v>373.61861223558259</v>
      </c>
      <c r="CE64" s="59">
        <f t="shared" si="40"/>
        <v>277.62293009761049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43.642828805373689</v>
      </c>
      <c r="CL64" s="21">
        <f>EXP(-LN(2)/25)*CL63+(1-EXP(-LN(2)/25))/(LN(2)/25)*Calculateur!CG64*Calculateur!CI64*VLOOKUP('Données projet'!$B$12,Paramètres!$A$1:$I$89,3,0)*0.475*44/12</f>
        <v>18.804988248193443</v>
      </c>
      <c r="CM64" s="21">
        <f>EXP(-LN(2)/2)*CM63+(1-EXP(-LN(2)/2))/(LN(2)/2)*CG64*CJ64*VLOOKUP('Données projet'!$B$12,Paramètres!$A$1:$I$89,3,0)*0.475*44/12</f>
        <v>6.9078946134240198</v>
      </c>
      <c r="CN64" s="22">
        <f t="shared" si="12"/>
        <v>69.355711666991155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164.58624000000003</v>
      </c>
      <c r="CV64" s="13">
        <f t="shared" si="41"/>
        <v>41.875247075991886</v>
      </c>
      <c r="CW64" s="20">
        <f t="shared" si="13"/>
        <v>359.58708999068591</v>
      </c>
      <c r="CX64" s="59">
        <f t="shared" si="14"/>
        <v>621.39927143581531</v>
      </c>
      <c r="CY64" s="59">
        <f ca="1">AVERAGE(OFFSET($CX$3,0,0,'Données projet'!$E$13+1,1))-AVERAGE(OFFSET($H$3,0,0,'Données projet'!$E$13+1,1))</f>
        <v>287.28439432670405</v>
      </c>
      <c r="CZ64" s="59">
        <f t="shared" si="42"/>
        <v>276.01618888357268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3.7167823003395033</v>
      </c>
      <c r="DG64" s="21">
        <f>EXP(-LN(2)/25)*DG63+(1-EXP(-LN(2)/25))/(LN(2)/25)*Calculateur!DB64*Calculateur!DD64*VLOOKUP('Données projet'!$B$13,Paramètres!$A$1:$I$89,3,0)*0.475*44/12</f>
        <v>10.771966345568092</v>
      </c>
      <c r="DH64" s="21">
        <f>EXP(-LN(2)/2)*DH63+(1-EXP(-LN(2)/2))/(LN(2)/2)*DB64*DE64*VLOOKUP('Données projet'!$B$13,Paramètres!$A$1:$I$89,3,0)*0.475*44/12</f>
        <v>1.6720522340587931</v>
      </c>
      <c r="DI64" s="22">
        <f t="shared" si="15"/>
        <v>16.160800879966388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9">
        <f t="shared" si="0"/>
        <v>745.89901124565245</v>
      </c>
      <c r="S65" s="59">
        <f ca="1">AVERAGE(OFFSET($R$3,0,0,'Données projet'!$E$9+1,1))-AVERAGE(OFFSET($H$3,0,0,'Données projet'!$E$9+1,1))</f>
        <v>681.47578137804555</v>
      </c>
      <c r="T65" s="59">
        <f t="shared" si="34"/>
        <v>300.88511065995885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11.997500000000002</v>
      </c>
      <c r="AI65" s="13">
        <f>IF('Données projet'!$A$62&gt;35,AI64+AH65-AQ64,IF(A65&lt;'Données projet'!$A$62,$AF$205^A65,IF(A65='Données projet'!$A$62,'Données projet'!$B$62,AI64+AH65-AQ64)))</f>
        <v>263.00749999999988</v>
      </c>
      <c r="AJ65" s="13">
        <f>AI65*VLOOKUP('Données projet'!$B$10,Paramètres!$A$1:$I$89,3,0)*VLOOKUP('Données projet'!$B$10,Paramètres!$A$1:$I$89,5,0)</f>
        <v>123.08750999999994</v>
      </c>
      <c r="AK65" s="13">
        <f t="shared" si="35"/>
        <v>32.394042160547578</v>
      </c>
      <c r="AL65" s="20">
        <f t="shared" si="4"/>
        <v>270.79703667962025</v>
      </c>
      <c r="AM65" s="59">
        <f t="shared" si="5"/>
        <v>533.15603963927151</v>
      </c>
      <c r="AN65" s="59">
        <f ca="1">AVERAGE(OFFSET($AM$3,0,0,'Données projet'!$E$10+1,1))-AVERAGE(OFFSET($H$3,0,0,'Données projet'!$E$10+1,1))</f>
        <v>374.38106339726073</v>
      </c>
      <c r="AO65" s="59">
        <f t="shared" si="36"/>
        <v>296.53283288925957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32.302661887599939</v>
      </c>
      <c r="AV65" s="21">
        <f>EXP(-LN(2)/25)*AV64+(1-EXP(-LN(2)/25))/(LN(2)/25)*Calculateur!AQ65*Calculateur!AS65*VLOOKUP('Données projet'!$B$10,Paramètres!$A$1:$I$89,3,0)*0.475*44/12</f>
        <v>22.844115723160414</v>
      </c>
      <c r="AW65" s="21">
        <f>EXP(-LN(2)/2)*AW64+(1-EXP(-LN(2)/2))/(LN(2)/2)*AQ65*AT65*VLOOKUP('Données projet'!$B$10,Paramètres!$A$1:$I$89,3,0)*0.475*44/12</f>
        <v>8.3696754038841128</v>
      </c>
      <c r="AX65" s="21">
        <f t="shared" si="6"/>
        <v>63.516453014644469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197.36183999999994</v>
      </c>
      <c r="BF65" s="13">
        <f t="shared" si="37"/>
        <v>49.163932700585988</v>
      </c>
      <c r="BG65" s="20">
        <f t="shared" si="7"/>
        <v>429.36572078685384</v>
      </c>
      <c r="BH65" s="59">
        <f t="shared" si="8"/>
        <v>691.72472374650511</v>
      </c>
      <c r="BI65" s="59">
        <f ca="1">AVERAGE(OFFSET($BH$3,0,0,'Données projet'!$E$11+1,1))-AVERAGE(OFFSET($H$3,0,0,'Données projet'!$E$11+1,1))</f>
        <v>423.80243030843661</v>
      </c>
      <c r="BJ65" s="59">
        <f t="shared" si="38"/>
        <v>260.29028006191834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11.059836226011859</v>
      </c>
      <c r="BR65" s="21">
        <f>EXP(-LN(2)/2)*BR64+(1-EXP(-LN(2)/2))/(LN(2)/2)*BL65*BO65*VLOOKUP('Données projet'!$B$11,Paramètres!$A$1:$I$89,3,0)*0.475*44/12</f>
        <v>2.8629830028804619</v>
      </c>
      <c r="BS65" s="22">
        <f t="shared" si="9"/>
        <v>13.922819228892321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11.896999999999997</v>
      </c>
      <c r="BY65" s="12">
        <f>IF('Données projet'!$A$114&gt;35,BY64+BX65-CG64,IF(A65&lt;'Données projet'!$A$114,$BV$205^A65,IF(A65='Données projet'!$A$114,'Données projet'!$B$114,BY64+BX65-CG64)))</f>
        <v>394.89399999999983</v>
      </c>
      <c r="BZ65" s="13">
        <f>BY65*VLOOKUP('Données projet'!$B$12,Paramètres!$A$1:$I$89,3,0)*VLOOKUP('Données projet'!$B$12,Paramètres!$A$1:$I$89,5,0)</f>
        <v>236.14661199999995</v>
      </c>
      <c r="CA65" s="13">
        <f t="shared" si="39"/>
        <v>57.609675887529612</v>
      </c>
      <c r="CB65" s="20">
        <f t="shared" si="10"/>
        <v>511.6255347374472</v>
      </c>
      <c r="CC65" s="59">
        <f t="shared" si="11"/>
        <v>773.98453769709852</v>
      </c>
      <c r="CD65" s="59">
        <f ca="1">AVERAGE(OFFSET($CC$3,0,0,'Données projet'!$E$12+1,1))-AVERAGE(OFFSET($H$3,0,0,'Données projet'!$E$12+1,1))</f>
        <v>373.61861223558259</v>
      </c>
      <c r="CE65" s="59">
        <f t="shared" si="40"/>
        <v>277.62293009761049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42.787019551997425</v>
      </c>
      <c r="CL65" s="21">
        <f>EXP(-LN(2)/25)*CL64+(1-EXP(-LN(2)/25))/(LN(2)/25)*Calculateur!CG65*Calculateur!CI65*VLOOKUP('Données projet'!$B$12,Paramètres!$A$1:$I$89,3,0)*0.475*44/12</f>
        <v>18.290764855635238</v>
      </c>
      <c r="CM65" s="21">
        <f>EXP(-LN(2)/2)*CM64+(1-EXP(-LN(2)/2))/(LN(2)/2)*CG65*CJ65*VLOOKUP('Données projet'!$B$12,Paramètres!$A$1:$I$89,3,0)*0.475*44/12</f>
        <v>4.8846191248741491</v>
      </c>
      <c r="CN65" s="22">
        <f t="shared" si="12"/>
        <v>65.962403532506812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167.55648000000002</v>
      </c>
      <c r="CV65" s="13">
        <f t="shared" si="41"/>
        <v>42.542296108660942</v>
      </c>
      <c r="CW65" s="20">
        <f t="shared" si="13"/>
        <v>365.92203505591783</v>
      </c>
      <c r="CX65" s="59">
        <f t="shared" si="14"/>
        <v>628.28103801556915</v>
      </c>
      <c r="CY65" s="59">
        <f ca="1">AVERAGE(OFFSET($CX$3,0,0,'Données projet'!$E$13+1,1))-AVERAGE(OFFSET($H$3,0,0,'Données projet'!$E$13+1,1))</f>
        <v>287.28439432670405</v>
      </c>
      <c r="CZ65" s="59">
        <f t="shared" si="42"/>
        <v>276.01618888357268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3.6438984664431997</v>
      </c>
      <c r="DG65" s="21">
        <f>EXP(-LN(2)/25)*DG64+(1-EXP(-LN(2)/25))/(LN(2)/25)*Calculateur!DB65*Calculateur!DD65*VLOOKUP('Données projet'!$B$13,Paramètres!$A$1:$I$89,3,0)*0.475*44/12</f>
        <v>10.477406359375442</v>
      </c>
      <c r="DH65" s="21">
        <f>EXP(-LN(2)/2)*DH64+(1-EXP(-LN(2)/2))/(LN(2)/2)*DB65*DE65*VLOOKUP('Données projet'!$B$13,Paramètres!$A$1:$I$89,3,0)*0.475*44/12</f>
        <v>1.1823194732010891</v>
      </c>
      <c r="DI65" s="22">
        <f t="shared" si="15"/>
        <v>15.303624299019729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9">
        <f t="shared" si="0"/>
        <v>765.81284159595975</v>
      </c>
      <c r="S66" s="59">
        <f ca="1">AVERAGE(OFFSET($R$3,0,0,'Données projet'!$E$9+1,1))-AVERAGE(OFFSET($H$3,0,0,'Données projet'!$E$9+1,1))</f>
        <v>681.47578137804555</v>
      </c>
      <c r="T66" s="59">
        <f t="shared" si="34"/>
        <v>300.88511065995885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11.997500000000002</v>
      </c>
      <c r="AI66" s="13">
        <f>IF('Données projet'!$A$62&gt;35,AI65+AH66-AQ65,IF(A66&lt;'Données projet'!$A$62,$AF$205^A66,IF(A66='Données projet'!$A$62,'Données projet'!$B$62,AI65+AH66-AQ65)))</f>
        <v>275.00499999999988</v>
      </c>
      <c r="AJ66" s="13">
        <f>AI66*VLOOKUP('Données projet'!$B$10,Paramètres!$A$1:$I$89,3,0)*VLOOKUP('Données projet'!$B$10,Paramètres!$A$1:$I$89,5,0)</f>
        <v>128.70233999999996</v>
      </c>
      <c r="AK66" s="13">
        <f t="shared" si="35"/>
        <v>33.69633335682834</v>
      </c>
      <c r="AL66" s="20">
        <f t="shared" si="4"/>
        <v>282.84435609647596</v>
      </c>
      <c r="AM66" s="59">
        <f t="shared" si="5"/>
        <v>545.74069443988208</v>
      </c>
      <c r="AN66" s="59">
        <f ca="1">AVERAGE(OFFSET($AM$3,0,0,'Données projet'!$E$10+1,1))-AVERAGE(OFFSET($H$3,0,0,'Données projet'!$E$10+1,1))</f>
        <v>374.38106339726073</v>
      </c>
      <c r="AO66" s="59">
        <f t="shared" si="36"/>
        <v>296.53283288925957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31.669226390662377</v>
      </c>
      <c r="AV66" s="21">
        <f>EXP(-LN(2)/25)*AV65+(1-EXP(-LN(2)/25))/(LN(2)/25)*Calculateur!AQ66*Calculateur!AS66*VLOOKUP('Données projet'!$B$10,Paramètres!$A$1:$I$89,3,0)*0.475*44/12</f>
        <v>22.219442177390757</v>
      </c>
      <c r="AW66" s="21">
        <f>EXP(-LN(2)/2)*AW65+(1-EXP(-LN(2)/2))/(LN(2)/2)*AQ66*AT66*VLOOKUP('Données projet'!$B$10,Paramètres!$A$1:$I$89,3,0)*0.475*44/12</f>
        <v>5.9182542344167128</v>
      </c>
      <c r="AX66" s="21">
        <f t="shared" si="6"/>
        <v>59.806922802469849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204.21335999999994</v>
      </c>
      <c r="BF66" s="13">
        <f t="shared" si="37"/>
        <v>50.669010210991836</v>
      </c>
      <c r="BG66" s="20">
        <f t="shared" si="7"/>
        <v>443.9201281174773</v>
      </c>
      <c r="BH66" s="59">
        <f t="shared" si="8"/>
        <v>706.81646646088348</v>
      </c>
      <c r="BI66" s="59">
        <f ca="1">AVERAGE(OFFSET($BH$3,0,0,'Données projet'!$E$11+1,1))-AVERAGE(OFFSET($H$3,0,0,'Données projet'!$E$11+1,1))</f>
        <v>423.80243030843661</v>
      </c>
      <c r="BJ66" s="59">
        <f t="shared" si="38"/>
        <v>260.29028006191834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10.757404422800056</v>
      </c>
      <c r="BR66" s="21">
        <f>EXP(-LN(2)/2)*BR65+(1-EXP(-LN(2)/2))/(LN(2)/2)*BL66*BO66*VLOOKUP('Données projet'!$B$11,Paramètres!$A$1:$I$89,3,0)*0.475*44/12</f>
        <v>2.0244346957585995</v>
      </c>
      <c r="BS66" s="22">
        <f t="shared" si="9"/>
        <v>12.781839118558654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11.896999999999997</v>
      </c>
      <c r="BY66" s="12">
        <f>IF('Données projet'!$A$114&gt;35,BY65+BX66-CG65,IF(A66&lt;'Données projet'!$A$114,$BV$205^A66,IF(A66='Données projet'!$A$114,'Données projet'!$B$114,BY65+BX66-CG65)))</f>
        <v>406.79099999999983</v>
      </c>
      <c r="BZ66" s="13">
        <f>BY66*VLOOKUP('Données projet'!$B$12,Paramètres!$A$1:$I$89,3,0)*VLOOKUP('Données projet'!$B$12,Paramètres!$A$1:$I$89,5,0)</f>
        <v>243.26101799999989</v>
      </c>
      <c r="CA66" s="13">
        <f t="shared" si="39"/>
        <v>59.140602334121624</v>
      </c>
      <c r="CB66" s="20">
        <f t="shared" si="10"/>
        <v>526.68282208192829</v>
      </c>
      <c r="CC66" s="59">
        <f t="shared" si="11"/>
        <v>789.57916042533441</v>
      </c>
      <c r="CD66" s="59">
        <f ca="1">AVERAGE(OFFSET($CC$3,0,0,'Données projet'!$E$12+1,1))-AVERAGE(OFFSET($H$3,0,0,'Données projet'!$E$12+1,1))</f>
        <v>373.61861223558259</v>
      </c>
      <c r="CE66" s="59">
        <f t="shared" si="40"/>
        <v>277.62293009761049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41.947992196087768</v>
      </c>
      <c r="CL66" s="21">
        <f>EXP(-LN(2)/25)*CL65+(1-EXP(-LN(2)/25))/(LN(2)/25)*Calculateur!CG66*Calculateur!CI66*VLOOKUP('Données projet'!$B$12,Paramètres!$A$1:$I$89,3,0)*0.475*44/12</f>
        <v>17.790602928788374</v>
      </c>
      <c r="CM66" s="21">
        <f>EXP(-LN(2)/2)*CM65+(1-EXP(-LN(2)/2))/(LN(2)/2)*CG66*CJ66*VLOOKUP('Données projet'!$B$12,Paramètres!$A$1:$I$89,3,0)*0.475*44/12</f>
        <v>3.4539473067120103</v>
      </c>
      <c r="CN66" s="22">
        <f t="shared" si="12"/>
        <v>63.192542431588151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170.52672000000004</v>
      </c>
      <c r="CV66" s="13">
        <f t="shared" si="41"/>
        <v>43.207970095682747</v>
      </c>
      <c r="CW66" s="20">
        <f t="shared" si="13"/>
        <v>372.25458524998089</v>
      </c>
      <c r="CX66" s="59">
        <f t="shared" si="14"/>
        <v>635.15092359338701</v>
      </c>
      <c r="CY66" s="59">
        <f ca="1">AVERAGE(OFFSET($CX$3,0,0,'Données projet'!$E$13+1,1))-AVERAGE(OFFSET($H$3,0,0,'Données projet'!$E$13+1,1))</f>
        <v>287.28439432670405</v>
      </c>
      <c r="CZ66" s="59">
        <f t="shared" si="42"/>
        <v>276.01618888357268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3.5724438400748535</v>
      </c>
      <c r="DG66" s="21">
        <f>EXP(-LN(2)/25)*DG65+(1-EXP(-LN(2)/25))/(LN(2)/25)*Calculateur!DB66*Calculateur!DD66*VLOOKUP('Données projet'!$B$13,Paramètres!$A$1:$I$89,3,0)*0.475*44/12</f>
        <v>10.190901131495465</v>
      </c>
      <c r="DH66" s="21">
        <f>EXP(-LN(2)/2)*DH65+(1-EXP(-LN(2)/2))/(LN(2)/2)*DB66*DE66*VLOOKUP('Données projet'!$B$13,Paramètres!$A$1:$I$89,3,0)*0.475*44/12</f>
        <v>0.83602611702939666</v>
      </c>
      <c r="DI66" s="22">
        <f t="shared" si="15"/>
        <v>14.599371088599716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9">
        <f t="shared" ref="R67:R130" si="55">Q67+(I67+J67)*44/12</f>
        <v>785.70156154047936</v>
      </c>
      <c r="S67" s="59">
        <f ca="1">AVERAGE(OFFSET($R$3,0,0,'Données projet'!$E$9+1,1))-AVERAGE(OFFSET($H$3,0,0,'Données projet'!$E$9+1,1))</f>
        <v>681.47578137804555</v>
      </c>
      <c r="T67" s="59">
        <f t="shared" si="34"/>
        <v>300.88511065995885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11.997500000000002</v>
      </c>
      <c r="AI67" s="13">
        <f>IF('Données projet'!$A$62&gt;35,AI66+AH67-AQ66,IF(A67&lt;'Données projet'!$A$62,$AF$205^A67,IF(A67='Données projet'!$A$62,'Données projet'!$B$62,AI66+AH67-AQ66)))</f>
        <v>287.00249999999988</v>
      </c>
      <c r="AJ67" s="13">
        <f>AI67*VLOOKUP('Données projet'!$B$10,Paramètres!$A$1:$I$89,3,0)*VLOOKUP('Données projet'!$B$10,Paramètres!$A$1:$I$89,5,0)</f>
        <v>134.31716999999995</v>
      </c>
      <c r="AK67" s="13">
        <f t="shared" si="35"/>
        <v>34.992025911781333</v>
      </c>
      <c r="AL67" s="20">
        <f t="shared" si="4"/>
        <v>294.88018287968566</v>
      </c>
      <c r="AM67" s="59">
        <f t="shared" si="5"/>
        <v>558.30453503924036</v>
      </c>
      <c r="AN67" s="59">
        <f ca="1">AVERAGE(OFFSET($AM$3,0,0,'Données projet'!$E$10+1,1))-AVERAGE(OFFSET($H$3,0,0,'Données projet'!$E$10+1,1))</f>
        <v>374.38106339726073</v>
      </c>
      <c r="AO67" s="59">
        <f t="shared" si="36"/>
        <v>296.53283288925957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31.048212177462258</v>
      </c>
      <c r="AV67" s="21">
        <f>EXP(-LN(2)/25)*AV66+(1-EXP(-LN(2)/25))/(LN(2)/25)*Calculateur!AQ67*Calculateur!AS67*VLOOKUP('Données projet'!$B$10,Paramètres!$A$1:$I$89,3,0)*0.475*44/12</f>
        <v>21.611850362580327</v>
      </c>
      <c r="AW67" s="21">
        <f>EXP(-LN(2)/2)*AW66+(1-EXP(-LN(2)/2))/(LN(2)/2)*AQ67*AT67*VLOOKUP('Données projet'!$B$10,Paramètres!$A$1:$I$89,3,0)*0.475*44/12</f>
        <v>4.1848377019420573</v>
      </c>
      <c r="AX67" s="21">
        <f t="shared" si="6"/>
        <v>56.844900241984647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211.06487999999993</v>
      </c>
      <c r="BF67" s="13">
        <f t="shared" si="37"/>
        <v>52.168220223304395</v>
      </c>
      <c r="BG67" s="20">
        <f t="shared" si="7"/>
        <v>458.46431622225504</v>
      </c>
      <c r="BH67" s="59">
        <f t="shared" si="8"/>
        <v>721.88866838180979</v>
      </c>
      <c r="BI67" s="59">
        <f ca="1">AVERAGE(OFFSET($BH$3,0,0,'Données projet'!$E$11+1,1))-AVERAGE(OFFSET($H$3,0,0,'Données projet'!$E$11+1,1))</f>
        <v>423.80243030843661</v>
      </c>
      <c r="BJ67" s="59">
        <f t="shared" si="38"/>
        <v>260.29028006191834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10.463242633151276</v>
      </c>
      <c r="BR67" s="21">
        <f>EXP(-LN(2)/2)*BR66+(1-EXP(-LN(2)/2))/(LN(2)/2)*BL67*BO67*VLOOKUP('Données projet'!$B$11,Paramètres!$A$1:$I$89,3,0)*0.475*44/12</f>
        <v>1.431491501440231</v>
      </c>
      <c r="BS67" s="22">
        <f t="shared" si="9"/>
        <v>11.894734134591507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11.896999999999997</v>
      </c>
      <c r="BY67" s="12">
        <f>IF('Données projet'!$A$114&gt;35,BY66+BX67-CG66,IF(A67&lt;'Données projet'!$A$114,$BV$205^A67,IF(A67='Données projet'!$A$114,'Données projet'!$B$114,BY66+BX67-CG66)))</f>
        <v>418.68799999999982</v>
      </c>
      <c r="BZ67" s="13">
        <f>BY67*VLOOKUP('Données projet'!$B$12,Paramètres!$A$1:$I$89,3,0)*VLOOKUP('Données projet'!$B$12,Paramètres!$A$1:$I$89,5,0)</f>
        <v>250.37542399999992</v>
      </c>
      <c r="CA67" s="13">
        <f t="shared" si="39"/>
        <v>60.666325229387866</v>
      </c>
      <c r="CB67" s="20">
        <f t="shared" si="10"/>
        <v>541.73104657451711</v>
      </c>
      <c r="CC67" s="59">
        <f t="shared" si="11"/>
        <v>805.15539873407192</v>
      </c>
      <c r="CD67" s="59">
        <f ca="1">AVERAGE(OFFSET($CC$3,0,0,'Données projet'!$E$12+1,1))-AVERAGE(OFFSET($H$3,0,0,'Données projet'!$E$12+1,1))</f>
        <v>373.61861223558259</v>
      </c>
      <c r="CE67" s="59">
        <f t="shared" si="40"/>
        <v>277.62293009761049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41.125417654871342</v>
      </c>
      <c r="CL67" s="21">
        <f>EXP(-LN(2)/25)*CL66+(1-EXP(-LN(2)/25))/(LN(2)/25)*Calculateur!CG67*Calculateur!CI67*VLOOKUP('Données projet'!$B$12,Paramètres!$A$1:$I$89,3,0)*0.475*44/12</f>
        <v>17.30411795613351</v>
      </c>
      <c r="CM67" s="21">
        <f>EXP(-LN(2)/2)*CM66+(1-EXP(-LN(2)/2))/(LN(2)/2)*CG67*CJ67*VLOOKUP('Données projet'!$B$12,Paramètres!$A$1:$I$89,3,0)*0.475*44/12</f>
        <v>2.442309562437075</v>
      </c>
      <c r="CN67" s="22">
        <f t="shared" si="12"/>
        <v>60.871845173441926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173.49696000000003</v>
      </c>
      <c r="CV67" s="13">
        <f t="shared" si="41"/>
        <v>43.872295751131787</v>
      </c>
      <c r="CW67" s="20">
        <f t="shared" si="13"/>
        <v>378.58478709988793</v>
      </c>
      <c r="CX67" s="59">
        <f t="shared" si="14"/>
        <v>642.00913925944269</v>
      </c>
      <c r="CY67" s="59">
        <f ca="1">AVERAGE(OFFSET($CX$3,0,0,'Données projet'!$E$13+1,1))-AVERAGE(OFFSET($H$3,0,0,'Données projet'!$E$13+1,1))</f>
        <v>287.28439432670405</v>
      </c>
      <c r="CZ67" s="59">
        <f t="shared" si="42"/>
        <v>276.01618888357268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3.502390395346572</v>
      </c>
      <c r="DG67" s="21">
        <f>EXP(-LN(2)/25)*DG66+(1-EXP(-LN(2)/25))/(LN(2)/25)*Calculateur!DB67*Calculateur!DD67*VLOOKUP('Données projet'!$B$13,Paramètres!$A$1:$I$89,3,0)*0.475*44/12</f>
        <v>9.9122304041385227</v>
      </c>
      <c r="DH67" s="21">
        <f>EXP(-LN(2)/2)*DH66+(1-EXP(-LN(2)/2))/(LN(2)/2)*DB67*DE67*VLOOKUP('Données projet'!$B$13,Paramètres!$A$1:$I$89,3,0)*0.475*44/12</f>
        <v>0.59115973660054455</v>
      </c>
      <c r="DI67" s="22">
        <f t="shared" si="15"/>
        <v>14.00578053608564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9">
        <f t="shared" si="55"/>
        <v>805.5660000255416</v>
      </c>
      <c r="S68" s="59">
        <f ca="1">AVERAGE(OFFSET($R$3,0,0,'Données projet'!$E$9+1,1))-AVERAGE(OFFSET($H$3,0,0,'Données projet'!$E$9+1,1))</f>
        <v>681.47578137804555</v>
      </c>
      <c r="T68" s="59">
        <f t="shared" si="34"/>
        <v>300.88511065995885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11.997500000000002</v>
      </c>
      <c r="AI68" s="13">
        <f>IF('Données projet'!$A$62&gt;35,AI67+AH68-AQ67,IF(A68&lt;'Données projet'!$A$62,$AF$205^A68,IF(A68='Données projet'!$A$62,'Données projet'!$B$62,AI67+AH68-AQ67)))</f>
        <v>298.99999999999989</v>
      </c>
      <c r="AJ68" s="13">
        <f>AI68*VLOOKUP('Données projet'!$B$10,Paramètres!$A$1:$I$89,3,0)*VLOOKUP('Données projet'!$B$10,Paramètres!$A$1:$I$89,5,0)</f>
        <v>139.93199999999996</v>
      </c>
      <c r="AK68" s="13">
        <f t="shared" si="35"/>
        <v>36.281427209452353</v>
      </c>
      <c r="AL68" s="20">
        <f t="shared" ref="AL68:AL131" si="58">(AJ68+AK68)*0.475*44/12</f>
        <v>306.90505238979614</v>
      </c>
      <c r="AM68" s="59">
        <f t="shared" ref="AM68:AM131" si="59">AL68+(AD68+AE68)*44/12</f>
        <v>570.84825850625134</v>
      </c>
      <c r="AN68" s="59">
        <f ca="1">AVERAGE(OFFSET($AM$3,0,0,'Données projet'!$E$10+1,1))-AVERAGE(OFFSET($H$3,0,0,'Données projet'!$E$10+1,1))</f>
        <v>374.38106339726073</v>
      </c>
      <c r="AO68" s="59">
        <f t="shared" si="36"/>
        <v>296.53283288925957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30.439375674201724</v>
      </c>
      <c r="AV68" s="21">
        <f>EXP(-LN(2)/25)*AV67+(1-EXP(-LN(2)/25))/(LN(2)/25)*Calculateur!AQ68*Calculateur!AS68*VLOOKUP('Données projet'!$B$10,Paramètres!$A$1:$I$89,3,0)*0.475*44/12</f>
        <v>21.020873177897752</v>
      </c>
      <c r="AW68" s="21">
        <f>EXP(-LN(2)/2)*AW67+(1-EXP(-LN(2)/2))/(LN(2)/2)*AQ68*AT68*VLOOKUP('Données projet'!$B$10,Paramètres!$A$1:$I$89,3,0)*0.475*44/12</f>
        <v>2.9591271172083569</v>
      </c>
      <c r="AX68" s="21">
        <f t="shared" ref="AX68:AX131" si="60">SUM(AU68:AW68)</f>
        <v>54.419375969307829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217.91639999999992</v>
      </c>
      <c r="BF68" s="13">
        <f t="shared" si="37"/>
        <v>53.661775051402536</v>
      </c>
      <c r="BG68" s="20">
        <f t="shared" ref="BG68:BG131" si="61">(BE68+BF68)*0.475*44/12</f>
        <v>472.99865488119258</v>
      </c>
      <c r="BH68" s="59">
        <f t="shared" ref="BH68:BH131" si="62">BG68+(AY68+AZ68)*44/12</f>
        <v>736.94186099764784</v>
      </c>
      <c r="BI68" s="59">
        <f ca="1">AVERAGE(OFFSET($BH$3,0,0,'Données projet'!$E$11+1,1))-AVERAGE(OFFSET($H$3,0,0,'Données projet'!$E$11+1,1))</f>
        <v>423.80243030843661</v>
      </c>
      <c r="BJ68" s="59">
        <f t="shared" si="38"/>
        <v>260.29028006191834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0.1075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12.542586543644562</v>
      </c>
      <c r="BR68" s="21">
        <f>EXP(-LN(2)/2)*BR67+(1-EXP(-LN(2)/2))/(LN(2)/2)*BL68*BO68*VLOOKUP('Données projet'!$B$11,Paramètres!$A$1:$I$89,3,0)*0.475*44/12</f>
        <v>5.7259834605563587</v>
      </c>
      <c r="BS68" s="22">
        <f t="shared" ref="BS68:BS131" si="63">SUM(BP68:BR68)</f>
        <v>18.268570004200921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11.896999999999997</v>
      </c>
      <c r="BY68" s="12">
        <f>IF('Données projet'!$A$114&gt;35,BY67+BX68-CG67,IF(A68&lt;'Données projet'!$A$114,$BV$205^A68,IF(A68='Données projet'!$A$114,'Données projet'!$B$114,BY67+BX68-CG67)))</f>
        <v>430.58499999999981</v>
      </c>
      <c r="BZ68" s="13">
        <f>BY68*VLOOKUP('Données projet'!$B$12,Paramètres!$A$1:$I$89,3,0)*VLOOKUP('Données projet'!$B$12,Paramètres!$A$1:$I$89,5,0)</f>
        <v>257.48982999999993</v>
      </c>
      <c r="CA68" s="13">
        <f t="shared" si="39"/>
        <v>62.187009415011673</v>
      </c>
      <c r="CB68" s="20">
        <f t="shared" ref="CB68:CB131" si="64">(BZ68+CA68)*0.475*44/12</f>
        <v>556.77049531447858</v>
      </c>
      <c r="CC68" s="59">
        <f t="shared" ref="CC68:CC131" si="65">CB68+(BT68+BU68)*44/12</f>
        <v>820.71370143093372</v>
      </c>
      <c r="CD68" s="59">
        <f ca="1">AVERAGE(OFFSET($CC$3,0,0,'Données projet'!$E$12+1,1))-AVERAGE(OFFSET($H$3,0,0,'Données projet'!$E$12+1,1))</f>
        <v>373.61861223558259</v>
      </c>
      <c r="CE68" s="59">
        <f t="shared" si="40"/>
        <v>277.62293009761049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40.31897329868724</v>
      </c>
      <c r="CL68" s="21">
        <f>EXP(-LN(2)/25)*CL67+(1-EXP(-LN(2)/25))/(LN(2)/25)*Calculateur!CG68*Calculateur!CI68*VLOOKUP('Données projet'!$B$12,Paramètres!$A$1:$I$89,3,0)*0.475*44/12</f>
        <v>16.830935940639026</v>
      </c>
      <c r="CM68" s="21">
        <f>EXP(-LN(2)/2)*CM67+(1-EXP(-LN(2)/2))/(LN(2)/2)*CG68*CJ68*VLOOKUP('Données projet'!$B$12,Paramètres!$A$1:$I$89,3,0)*0.475*44/12</f>
        <v>1.7269736533560056</v>
      </c>
      <c r="CN68" s="22">
        <f t="shared" ref="CN68:CN131" si="66">SUM(CK68:CM68)</f>
        <v>58.876882892682268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176.46720000000005</v>
      </c>
      <c r="CV68" s="13">
        <f t="shared" si="41"/>
        <v>44.535298821989393</v>
      </c>
      <c r="CW68" s="20">
        <f t="shared" ref="CW68:CW131" si="67">(CU68+CV68)*0.475*44/12</f>
        <v>384.91268544829819</v>
      </c>
      <c r="CX68" s="59">
        <f t="shared" ref="CX68:CX131" si="68">CW68+(CO68+CP68)*44/12</f>
        <v>648.85589156475339</v>
      </c>
      <c r="CY68" s="59">
        <f ca="1">AVERAGE(OFFSET($CX$3,0,0,'Données projet'!$E$13+1,1))-AVERAGE(OFFSET($H$3,0,0,'Données projet'!$E$13+1,1))</f>
        <v>287.28439432670405</v>
      </c>
      <c r="CZ68" s="59">
        <f t="shared" si="42"/>
        <v>276.01618888357268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4.457393914914614</v>
      </c>
      <c r="DG68" s="21">
        <f>EXP(-LN(2)/25)*DG67+(1-EXP(-LN(2)/25))/(LN(2)/25)*Calculateur!DB68*Calculateur!DD68*VLOOKUP('Données projet'!$B$13,Paramètres!$A$1:$I$89,3,0)*0.475*44/12</f>
        <v>10.660832570404917</v>
      </c>
      <c r="DH68" s="21">
        <f>EXP(-LN(2)/2)*DH67+(1-EXP(-LN(2)/2))/(LN(2)/2)*DB68*DE68*VLOOKUP('Données projet'!$B$13,Paramètres!$A$1:$I$89,3,0)*0.475*44/12</f>
        <v>2.0665432837132327</v>
      </c>
      <c r="DI68" s="22">
        <f t="shared" ref="DI68:DI131" si="69">SUM(DF68:DH68)</f>
        <v>17.184769769032766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9">
        <f t="shared" si="55"/>
        <v>825.40693167601057</v>
      </c>
      <c r="S69" s="59">
        <f ca="1">AVERAGE(OFFSET($R$3,0,0,'Données projet'!$E$9+1,1))-AVERAGE(OFFSET($H$3,0,0,'Données projet'!$E$9+1,1))</f>
        <v>681.47578137804555</v>
      </c>
      <c r="T69" s="59">
        <f t="shared" ref="T69:T132" si="88">$T$3</f>
        <v>300.88511065995885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11.997500000000002</v>
      </c>
      <c r="AI69" s="13">
        <f>IF('Données projet'!$A$62&gt;35,AI68+AH69-AQ68,IF(A69&lt;'Données projet'!$A$62,$AF$205^A69,IF(A69='Données projet'!$A$62,'Données projet'!$B$62,AI68+AH69-AQ68)))</f>
        <v>310.99749999999989</v>
      </c>
      <c r="AJ69" s="13">
        <f>AI69*VLOOKUP('Données projet'!$B$10,Paramètres!$A$1:$I$89,3,0)*VLOOKUP('Données projet'!$B$10,Paramètres!$A$1:$I$89,5,0)</f>
        <v>145.54682999999994</v>
      </c>
      <c r="AK69" s="13">
        <f t="shared" ref="AK69:AK132" si="89">EXP(-1.0587+0.8836*LN(AJ69)+0.284)</f>
        <v>37.564818569836</v>
      </c>
      <c r="AL69" s="20">
        <f t="shared" si="58"/>
        <v>318.91945459246426</v>
      </c>
      <c r="AM69" s="59">
        <f t="shared" si="59"/>
        <v>583.37251370965134</v>
      </c>
      <c r="AN69" s="59">
        <f ca="1">AVERAGE(OFFSET($AM$3,0,0,'Données projet'!$E$10+1,1))-AVERAGE(OFFSET($H$3,0,0,'Données projet'!$E$10+1,1))</f>
        <v>374.38106339726073</v>
      </c>
      <c r="AO69" s="59">
        <f t="shared" ref="AO69:AO132" si="90">$AO$3</f>
        <v>296.53283288925957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29.84247808341653</v>
      </c>
      <c r="AV69" s="21">
        <f>EXP(-LN(2)/25)*AV68+(1-EXP(-LN(2)/25))/(LN(2)/25)*Calculateur!AQ69*Calculateur!AS69*VLOOKUP('Données projet'!$B$10,Paramètres!$A$1:$I$89,3,0)*0.475*44/12</f>
        <v>20.446056295408461</v>
      </c>
      <c r="AW69" s="21">
        <f>EXP(-LN(2)/2)*AW68+(1-EXP(-LN(2)/2))/(LN(2)/2)*AQ69*AT69*VLOOKUP('Données projet'!$B$10,Paramètres!$A$1:$I$89,3,0)*0.475*44/12</f>
        <v>2.0924188509710291</v>
      </c>
      <c r="AX69" s="21">
        <f t="shared" si="60"/>
        <v>52.38095322979602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204.40367999999995</v>
      </c>
      <c r="BF69" s="13">
        <f t="shared" ref="BF69:BF132" si="91">EXP(-1.0587+0.8836*LN(BE69)+0.284)</f>
        <v>50.710733146553501</v>
      </c>
      <c r="BG69" s="20">
        <f t="shared" si="61"/>
        <v>444.32426956358057</v>
      </c>
      <c r="BH69" s="59">
        <f t="shared" si="62"/>
        <v>708.7773286807676</v>
      </c>
      <c r="BI69" s="59">
        <f ca="1">AVERAGE(OFFSET($BH$3,0,0,'Données projet'!$E$11+1,1))-AVERAGE(OFFSET($H$3,0,0,'Données projet'!$E$11+1,1))</f>
        <v>423.80243030843661</v>
      </c>
      <c r="BJ69" s="59">
        <f t="shared" ref="BJ69:BJ132" si="92">$BJ$3</f>
        <v>260.29028006191834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12.199608855022642</v>
      </c>
      <c r="BR69" s="21">
        <f>EXP(-LN(2)/2)*BR68+(1-EXP(-LN(2)/2))/(LN(2)/2)*BL69*BO69*VLOOKUP('Données projet'!$B$11,Paramètres!$A$1:$I$89,3,0)*0.475*44/12</f>
        <v>4.0488817339214158</v>
      </c>
      <c r="BS69" s="22">
        <f t="shared" si="63"/>
        <v>16.248490588944058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11.896999999999997</v>
      </c>
      <c r="BY69" s="12">
        <f>IF('Données projet'!$A$114&gt;35,BY68+BX69-CG68,IF(A69&lt;'Données projet'!$A$114,$BV$205^A69,IF(A69='Données projet'!$A$114,'Données projet'!$B$114,BY68+BX69-CG68)))</f>
        <v>442.4819999999998</v>
      </c>
      <c r="BZ69" s="13">
        <f>BY69*VLOOKUP('Données projet'!$B$12,Paramètres!$A$1:$I$89,3,0)*VLOOKUP('Données projet'!$B$12,Paramètres!$A$1:$I$89,5,0)</f>
        <v>264.6042359999999</v>
      </c>
      <c r="CA69" s="13">
        <f t="shared" ref="CA69:CA132" si="93">EXP(-1.0587+0.8836*LN(BZ69)+0.284)</f>
        <v>63.702810105204811</v>
      </c>
      <c r="CB69" s="20">
        <f t="shared" si="64"/>
        <v>571.80143863323156</v>
      </c>
      <c r="CC69" s="59">
        <f t="shared" si="65"/>
        <v>836.25449775041864</v>
      </c>
      <c r="CD69" s="59">
        <f ca="1">AVERAGE(OFFSET($CC$3,0,0,'Données projet'!$E$12+1,1))-AVERAGE(OFFSET($H$3,0,0,'Données projet'!$E$12+1,1))</f>
        <v>373.61861223558259</v>
      </c>
      <c r="CE69" s="59">
        <f t="shared" ref="CE69:CE132" si="94">$CE$3</f>
        <v>277.62293009761049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39.528342824445424</v>
      </c>
      <c r="CL69" s="21">
        <f>EXP(-LN(2)/25)*CL68+(1-EXP(-LN(2)/25))/(LN(2)/25)*Calculateur!CG69*Calculateur!CI69*VLOOKUP('Données projet'!$B$12,Paramètres!$A$1:$I$89,3,0)*0.475*44/12</f>
        <v>16.370693112241799</v>
      </c>
      <c r="CM69" s="21">
        <f>EXP(-LN(2)/2)*CM68+(1-EXP(-LN(2)/2))/(LN(2)/2)*CG69*CJ69*VLOOKUP('Données projet'!$B$12,Paramètres!$A$1:$I$89,3,0)*0.475*44/12</f>
        <v>1.2211547812185377</v>
      </c>
      <c r="CN69" s="22">
        <f t="shared" si="66"/>
        <v>57.120190717905764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172.09920000000005</v>
      </c>
      <c r="CV69" s="13">
        <f t="shared" ref="CV69:CV132" si="95">EXP(-1.0587+0.8836*LN(CU69)+0.284)</f>
        <v>43.559838214506989</v>
      </c>
      <c r="CW69" s="20">
        <f t="shared" si="67"/>
        <v>375.60615822359978</v>
      </c>
      <c r="CX69" s="59">
        <f t="shared" si="68"/>
        <v>640.05921734078686</v>
      </c>
      <c r="CY69" s="59">
        <f ca="1">AVERAGE(OFFSET($CX$3,0,0,'Données projet'!$E$13+1,1))-AVERAGE(OFFSET($H$3,0,0,'Données projet'!$E$13+1,1))</f>
        <v>287.28439432670405</v>
      </c>
      <c r="CZ69" s="59">
        <f t="shared" ref="CZ69:CZ132" si="96">$CZ$3</f>
        <v>276.01618888357268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4.3699871389849729</v>
      </c>
      <c r="DG69" s="21">
        <f>EXP(-LN(2)/25)*DG68+(1-EXP(-LN(2)/25))/(LN(2)/25)*Calculateur!DB69*Calculateur!DD69*VLOOKUP('Données projet'!$B$13,Paramètres!$A$1:$I$89,3,0)*0.475*44/12</f>
        <v>10.369311543138375</v>
      </c>
      <c r="DH69" s="21">
        <f>EXP(-LN(2)/2)*DH68+(1-EXP(-LN(2)/2))/(LN(2)/2)*DB69*DE69*VLOOKUP('Données projet'!$B$13,Paramètres!$A$1:$I$89,3,0)*0.475*44/12</f>
        <v>1.4612667695291424</v>
      </c>
      <c r="DI69" s="22">
        <f t="shared" si="69"/>
        <v>16.200565451652491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9">
        <f t="shared" si="55"/>
        <v>741.74944613631033</v>
      </c>
      <c r="S70" s="59">
        <f ca="1">AVERAGE(OFFSET($R$3,0,0,'Données projet'!$E$9+1,1))-AVERAGE(OFFSET($H$3,0,0,'Données projet'!$E$9+1,1))</f>
        <v>681.47578137804555</v>
      </c>
      <c r="T70" s="59">
        <f t="shared" si="88"/>
        <v>300.88511065995885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11.997500000000002</v>
      </c>
      <c r="AI70" s="13">
        <f>IF('Données projet'!$A$62&gt;35,AI69+AH70-AQ69,IF(A70&lt;'Données projet'!$A$62,$AF$205^A70,IF(A70='Données projet'!$A$62,'Données projet'!$B$62,AI69+AH70-AQ69)))</f>
        <v>322.99499999999989</v>
      </c>
      <c r="AJ70" s="13">
        <f>AI70*VLOOKUP('Données projet'!$B$10,Paramètres!$A$1:$I$89,3,0)*VLOOKUP('Données projet'!$B$10,Paramètres!$A$1:$I$89,5,0)</f>
        <v>151.16165999999996</v>
      </c>
      <c r="AK70" s="13">
        <f t="shared" si="89"/>
        <v>38.842458378546986</v>
      </c>
      <c r="AL70" s="20">
        <f t="shared" si="58"/>
        <v>330.92383950930258</v>
      </c>
      <c r="AM70" s="59">
        <f t="shared" si="59"/>
        <v>595.87790681751949</v>
      </c>
      <c r="AN70" s="59">
        <f ca="1">AVERAGE(OFFSET($AM$3,0,0,'Données projet'!$E$10+1,1))-AVERAGE(OFFSET($H$3,0,0,'Données projet'!$E$10+1,1))</f>
        <v>374.38106339726073</v>
      </c>
      <c r="AO70" s="59">
        <f t="shared" si="90"/>
        <v>296.53283288925957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29.257285290315053</v>
      </c>
      <c r="AV70" s="21">
        <f>EXP(-LN(2)/25)*AV69+(1-EXP(-LN(2)/25))/(LN(2)/25)*Calculateur!AQ70*Calculateur!AS70*VLOOKUP('Données projet'!$B$10,Paramètres!$A$1:$I$89,3,0)*0.475*44/12</f>
        <v>19.886957810799146</v>
      </c>
      <c r="AW70" s="21">
        <f>EXP(-LN(2)/2)*AW69+(1-EXP(-LN(2)/2))/(LN(2)/2)*AQ70*AT70*VLOOKUP('Données projet'!$B$10,Paramètres!$A$1:$I$89,3,0)*0.475*44/12</f>
        <v>1.4795635586041787</v>
      </c>
      <c r="AX70" s="21">
        <f t="shared" si="60"/>
        <v>50.623806659718376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210.87455999999995</v>
      </c>
      <c r="BF70" s="13">
        <f t="shared" si="91"/>
        <v>52.126652811854591</v>
      </c>
      <c r="BG70" s="20">
        <f t="shared" si="61"/>
        <v>458.06044564731332</v>
      </c>
      <c r="BH70" s="59">
        <f t="shared" si="62"/>
        <v>723.01451295553022</v>
      </c>
      <c r="BI70" s="59">
        <f ca="1">AVERAGE(OFFSET($BH$3,0,0,'Données projet'!$E$11+1,1))-AVERAGE(OFFSET($H$3,0,0,'Données projet'!$E$11+1,1))</f>
        <v>423.80243030843661</v>
      </c>
      <c r="BJ70" s="59">
        <f t="shared" si="92"/>
        <v>260.29028006191834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11.866009909332501</v>
      </c>
      <c r="BR70" s="21">
        <f>EXP(-LN(2)/2)*BR69+(1-EXP(-LN(2)/2))/(LN(2)/2)*BL70*BO70*VLOOKUP('Données projet'!$B$11,Paramètres!$A$1:$I$89,3,0)*0.475*44/12</f>
        <v>2.8629917302781798</v>
      </c>
      <c r="BS70" s="22">
        <f t="shared" si="63"/>
        <v>14.729001639610681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11.896999999999997</v>
      </c>
      <c r="BY70" s="12">
        <f>IF('Données projet'!$A$114&gt;35,BY69+BX70-CG69,IF(A70&lt;'Données projet'!$A$114,$BV$205^A70,IF(A70='Données projet'!$A$114,'Données projet'!$B$114,BY69+BX70-CG69)))</f>
        <v>454.37899999999979</v>
      </c>
      <c r="BZ70" s="13">
        <f>BY70*VLOOKUP('Données projet'!$B$12,Paramètres!$A$1:$I$89,3,0)*VLOOKUP('Données projet'!$B$12,Paramètres!$A$1:$I$89,5,0)</f>
        <v>271.71864199999993</v>
      </c>
      <c r="CA70" s="13">
        <f t="shared" si="93"/>
        <v>65.213873692530555</v>
      </c>
      <c r="CB70" s="20">
        <f t="shared" si="64"/>
        <v>586.82413149782394</v>
      </c>
      <c r="CC70" s="59">
        <f t="shared" si="65"/>
        <v>851.77819880604079</v>
      </c>
      <c r="CD70" s="59">
        <f ca="1">AVERAGE(OFFSET($CC$3,0,0,'Données projet'!$E$12+1,1))-AVERAGE(OFFSET($H$3,0,0,'Données projet'!$E$12+1,1))</f>
        <v>373.61861223558259</v>
      </c>
      <c r="CE70" s="59">
        <f t="shared" si="94"/>
        <v>277.62293009761049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38.753216131566518</v>
      </c>
      <c r="CL70" s="21">
        <f>EXP(-LN(2)/25)*CL69+(1-EXP(-LN(2)/25))/(LN(2)/25)*Calculateur!CG70*Calculateur!CI70*VLOOKUP('Données projet'!$B$12,Paramètres!$A$1:$I$89,3,0)*0.475*44/12</f>
        <v>15.923035648190211</v>
      </c>
      <c r="CM70" s="21">
        <f>EXP(-LN(2)/2)*CM69+(1-EXP(-LN(2)/2))/(LN(2)/2)*CG70*CJ70*VLOOKUP('Données projet'!$B$12,Paramètres!$A$1:$I$89,3,0)*0.475*44/12</f>
        <v>0.86348682667800292</v>
      </c>
      <c r="CN70" s="22">
        <f t="shared" si="66"/>
        <v>55.539738606434732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174.72000000000006</v>
      </c>
      <c r="CV70" s="13">
        <f t="shared" si="95"/>
        <v>44.145455754865246</v>
      </c>
      <c r="CW70" s="20">
        <f t="shared" si="67"/>
        <v>381.19066877305704</v>
      </c>
      <c r="CX70" s="59">
        <f t="shared" si="68"/>
        <v>646.144736081274</v>
      </c>
      <c r="CY70" s="59">
        <f ca="1">AVERAGE(OFFSET($CX$3,0,0,'Données projet'!$E$13+1,1))-AVERAGE(OFFSET($H$3,0,0,'Données projet'!$E$13+1,1))</f>
        <v>287.28439432670405</v>
      </c>
      <c r="CZ70" s="59">
        <f t="shared" si="96"/>
        <v>276.01618888357268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4.2842943566184433</v>
      </c>
      <c r="DG70" s="21">
        <f>EXP(-LN(2)/25)*DG69+(1-EXP(-LN(2)/25))/(LN(2)/25)*Calculateur!DB70*Calculateur!DD70*VLOOKUP('Données projet'!$B$13,Paramètres!$A$1:$I$89,3,0)*0.475*44/12</f>
        <v>10.085762173692862</v>
      </c>
      <c r="DH70" s="21">
        <f>EXP(-LN(2)/2)*DH69+(1-EXP(-LN(2)/2))/(LN(2)/2)*DB70*DE70*VLOOKUP('Données projet'!$B$13,Paramètres!$A$1:$I$89,3,0)*0.475*44/12</f>
        <v>1.0332716418566166</v>
      </c>
      <c r="DI70" s="22">
        <f t="shared" si="69"/>
        <v>15.403328172167923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9">
        <f t="shared" si="55"/>
        <v>760.9075039416382</v>
      </c>
      <c r="S71" s="59">
        <f ca="1">AVERAGE(OFFSET($R$3,0,0,'Données projet'!$E$9+1,1))-AVERAGE(OFFSET($H$3,0,0,'Données projet'!$E$9+1,1))</f>
        <v>681.47578137804555</v>
      </c>
      <c r="T71" s="59">
        <f t="shared" si="88"/>
        <v>300.88511065995885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11.997500000000002</v>
      </c>
      <c r="AI71" s="13">
        <f>IF('Données projet'!$A$62&gt;35,AI70+AH71-AQ70,IF(A71&lt;'Données projet'!$A$62,$AF$205^A71,IF(A71='Données projet'!$A$62,'Données projet'!$B$62,AI70+AH71-AQ70)))</f>
        <v>334.99249999999989</v>
      </c>
      <c r="AJ71" s="13">
        <f>AI71*VLOOKUP('Données projet'!$B$10,Paramètres!$A$1:$I$89,3,0)*VLOOKUP('Données projet'!$B$10,Paramètres!$A$1:$I$89,5,0)</f>
        <v>156.77648999999997</v>
      </c>
      <c r="AK71" s="13">
        <f t="shared" si="89"/>
        <v>40.114584738417847</v>
      </c>
      <c r="AL71" s="20">
        <f t="shared" si="58"/>
        <v>342.91862183607765</v>
      </c>
      <c r="AM71" s="59">
        <f t="shared" si="59"/>
        <v>608.36500596329643</v>
      </c>
      <c r="AN71" s="59">
        <f ca="1">AVERAGE(OFFSET($AM$3,0,0,'Données projet'!$E$10+1,1))-AVERAGE(OFFSET($H$3,0,0,'Données projet'!$E$10+1,1))</f>
        <v>374.38106339726073</v>
      </c>
      <c r="AO71" s="59">
        <f t="shared" si="90"/>
        <v>296.53283288925957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28.683567770953935</v>
      </c>
      <c r="AV71" s="21">
        <f>EXP(-LN(2)/25)*AV70+(1-EXP(-LN(2)/25))/(LN(2)/25)*Calculateur!AQ71*Calculateur!AS71*VLOOKUP('Données projet'!$B$10,Paramètres!$A$1:$I$89,3,0)*0.475*44/12</f>
        <v>19.343147903653183</v>
      </c>
      <c r="AW71" s="21">
        <f>EXP(-LN(2)/2)*AW70+(1-EXP(-LN(2)/2))/(LN(2)/2)*AQ71*AT71*VLOOKUP('Données projet'!$B$10,Paramètres!$A$1:$I$89,3,0)*0.475*44/12</f>
        <v>1.0462094254855145</v>
      </c>
      <c r="AX71" s="21">
        <f t="shared" si="60"/>
        <v>49.072925100092633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217.34543999999994</v>
      </c>
      <c r="BF71" s="13">
        <f t="shared" si="91"/>
        <v>53.537523221233471</v>
      </c>
      <c r="BG71" s="20">
        <f t="shared" si="61"/>
        <v>471.78782761031488</v>
      </c>
      <c r="BH71" s="59">
        <f t="shared" si="62"/>
        <v>737.23421173753377</v>
      </c>
      <c r="BI71" s="59">
        <f ca="1">AVERAGE(OFFSET($BH$3,0,0,'Données projet'!$E$11+1,1))-AVERAGE(OFFSET($H$3,0,0,'Données projet'!$E$11+1,1))</f>
        <v>423.80243030843661</v>
      </c>
      <c r="BJ71" s="59">
        <f t="shared" si="92"/>
        <v>260.29028006191834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11.541533244355463</v>
      </c>
      <c r="BR71" s="21">
        <f>EXP(-LN(2)/2)*BR70+(1-EXP(-LN(2)/2))/(LN(2)/2)*BL71*BO71*VLOOKUP('Données projet'!$B$11,Paramètres!$A$1:$I$89,3,0)*0.475*44/12</f>
        <v>2.0244408669607079</v>
      </c>
      <c r="BS71" s="22">
        <f t="shared" si="63"/>
        <v>13.565974111316171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11.896999999999997</v>
      </c>
      <c r="BY71" s="12">
        <f>IF('Données projet'!$A$114&gt;35,BY70+BX71-CG70,IF(A71&lt;'Données projet'!$A$114,$BV$205^A71,IF(A71='Données projet'!$A$114,'Données projet'!$B$114,BY70+BX71-CG70)))</f>
        <v>466.27599999999978</v>
      </c>
      <c r="BZ71" s="13">
        <f>BY71*VLOOKUP('Données projet'!$B$12,Paramètres!$A$1:$I$89,3,0)*VLOOKUP('Données projet'!$B$12,Paramètres!$A$1:$I$89,5,0)</f>
        <v>278.83304799999985</v>
      </c>
      <c r="CA71" s="13">
        <f t="shared" si="93"/>
        <v>66.720338466956676</v>
      </c>
      <c r="CB71" s="20">
        <f t="shared" si="64"/>
        <v>601.83881476328258</v>
      </c>
      <c r="CC71" s="59">
        <f t="shared" si="65"/>
        <v>867.28519889050142</v>
      </c>
      <c r="CD71" s="59">
        <f ca="1">AVERAGE(OFFSET($CC$3,0,0,'Données projet'!$E$12+1,1))-AVERAGE(OFFSET($H$3,0,0,'Données projet'!$E$12+1,1))</f>
        <v>373.61861223558259</v>
      </c>
      <c r="CE71" s="59">
        <f t="shared" si="94"/>
        <v>277.62293009761049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37.993289200354369</v>
      </c>
      <c r="CL71" s="21">
        <f>EXP(-LN(2)/25)*CL70+(1-EXP(-LN(2)/25))/(LN(2)/25)*Calculateur!CG71*Calculateur!CI71*VLOOKUP('Données projet'!$B$12,Paramètres!$A$1:$I$89,3,0)*0.475*44/12</f>
        <v>15.487619401034397</v>
      </c>
      <c r="CM71" s="21">
        <f>EXP(-LN(2)/2)*CM70+(1-EXP(-LN(2)/2))/(LN(2)/2)*CG71*CJ71*VLOOKUP('Données projet'!$B$12,Paramètres!$A$1:$I$89,3,0)*0.475*44/12</f>
        <v>0.61057739060926897</v>
      </c>
      <c r="CN71" s="22">
        <f t="shared" si="66"/>
        <v>54.091485991998034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177.34080000000003</v>
      </c>
      <c r="CV71" s="13">
        <f t="shared" si="95"/>
        <v>44.730051658603102</v>
      </c>
      <c r="CW71" s="20">
        <f t="shared" si="67"/>
        <v>386.77339997206712</v>
      </c>
      <c r="CX71" s="59">
        <f t="shared" si="68"/>
        <v>652.21978409928602</v>
      </c>
      <c r="CY71" s="59">
        <f ca="1">AVERAGE(OFFSET($CX$3,0,0,'Données projet'!$E$13+1,1))-AVERAGE(OFFSET($H$3,0,0,'Données projet'!$E$13+1,1))</f>
        <v>287.28439432670405</v>
      </c>
      <c r="CZ71" s="59">
        <f t="shared" si="96"/>
        <v>276.01618888357268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4.200281957446685</v>
      </c>
      <c r="DG71" s="21">
        <f>EXP(-LN(2)/25)*DG70+(1-EXP(-LN(2)/25))/(LN(2)/25)*Calculateur!DB71*Calculateur!DD71*VLOOKUP('Données projet'!$B$13,Paramètres!$A$1:$I$89,3,0)*0.475*44/12</f>
        <v>9.8099664766660499</v>
      </c>
      <c r="DH71" s="21">
        <f>EXP(-LN(2)/2)*DH70+(1-EXP(-LN(2)/2))/(LN(2)/2)*DB71*DE71*VLOOKUP('Données projet'!$B$13,Paramètres!$A$1:$I$89,3,0)*0.475*44/12</f>
        <v>0.73063338476457129</v>
      </c>
      <c r="DI71" s="22">
        <f t="shared" si="69"/>
        <v>14.740881818877307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9">
        <f t="shared" si="55"/>
        <v>780.0421265759544</v>
      </c>
      <c r="S72" s="59">
        <f ca="1">AVERAGE(OFFSET($R$3,0,0,'Données projet'!$E$9+1,1))-AVERAGE(OFFSET($H$3,0,0,'Données projet'!$E$9+1,1))</f>
        <v>681.47578137804555</v>
      </c>
      <c r="T72" s="59">
        <f t="shared" si="88"/>
        <v>300.88511065995885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11.997500000000002</v>
      </c>
      <c r="AI72" s="13">
        <f>IF('Données projet'!$A$62&gt;35,AI71+AH72-AQ71,IF(A72&lt;'Données projet'!$A$62,$AF$205^A72,IF(A72='Données projet'!$A$62,'Données projet'!$B$62,AI71+AH72-AQ71)))</f>
        <v>346.9899999999999</v>
      </c>
      <c r="AJ72" s="13">
        <f>AI72*VLOOKUP('Données projet'!$B$10,Paramètres!$A$1:$I$89,3,0)*VLOOKUP('Données projet'!$B$10,Paramètres!$A$1:$I$89,5,0)</f>
        <v>162.39131999999995</v>
      </c>
      <c r="AK72" s="13">
        <f t="shared" si="89"/>
        <v>41.381417730562205</v>
      </c>
      <c r="AL72" s="20">
        <f t="shared" si="58"/>
        <v>354.90418488072902</v>
      </c>
      <c r="AM72" s="59">
        <f t="shared" si="59"/>
        <v>620.83434523079563</v>
      </c>
      <c r="AN72" s="59">
        <f ca="1">AVERAGE(OFFSET($AM$3,0,0,'Données projet'!$E$10+1,1))-AVERAGE(OFFSET($H$3,0,0,'Données projet'!$E$10+1,1))</f>
        <v>374.38106339726073</v>
      </c>
      <c r="AO72" s="59">
        <f t="shared" si="90"/>
        <v>296.53283288925957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28.121100502214357</v>
      </c>
      <c r="AV72" s="21">
        <f>EXP(-LN(2)/25)*AV71+(1-EXP(-LN(2)/25))/(LN(2)/25)*Calculateur!AQ72*Calculateur!AS72*VLOOKUP('Données projet'!$B$10,Paramètres!$A$1:$I$89,3,0)*0.475*44/12</f>
        <v>18.814208507015849</v>
      </c>
      <c r="AW72" s="21">
        <f>EXP(-LN(2)/2)*AW71+(1-EXP(-LN(2)/2))/(LN(2)/2)*AQ72*AT72*VLOOKUP('Données projet'!$B$10,Paramètres!$A$1:$I$89,3,0)*0.475*44/12</f>
        <v>0.73978177930208933</v>
      </c>
      <c r="AX72" s="21">
        <f t="shared" si="60"/>
        <v>47.675090788532302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223.81631999999999</v>
      </c>
      <c r="BF72" s="13">
        <f t="shared" si="91"/>
        <v>54.94351196072666</v>
      </c>
      <c r="BG72" s="20">
        <f t="shared" si="61"/>
        <v>485.50670733159899</v>
      </c>
      <c r="BH72" s="59">
        <f t="shared" si="62"/>
        <v>751.43686768166549</v>
      </c>
      <c r="BI72" s="59">
        <f ca="1">AVERAGE(OFFSET($BH$3,0,0,'Données projet'!$E$11+1,1))-AVERAGE(OFFSET($H$3,0,0,'Données projet'!$E$11+1,1))</f>
        <v>423.80243030843661</v>
      </c>
      <c r="BJ72" s="59">
        <f t="shared" si="92"/>
        <v>260.29028006191834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11.225929410845708</v>
      </c>
      <c r="BR72" s="21">
        <f>EXP(-LN(2)/2)*BR71+(1-EXP(-LN(2)/2))/(LN(2)/2)*BL72*BO72*VLOOKUP('Données projet'!$B$11,Paramètres!$A$1:$I$89,3,0)*0.475*44/12</f>
        <v>1.4314958651390899</v>
      </c>
      <c r="BS72" s="22">
        <f t="shared" si="63"/>
        <v>12.657425275984798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11.896999999999997</v>
      </c>
      <c r="BY72" s="12">
        <f>IF('Données projet'!$A$114&gt;35,BY71+BX72-CG71,IF(A72&lt;'Données projet'!$A$114,$BV$205^A72,IF(A72='Données projet'!$A$114,'Données projet'!$B$114,BY71+BX72-CG71)))</f>
        <v>478.17299999999977</v>
      </c>
      <c r="BZ72" s="13">
        <f>BY72*VLOOKUP('Données projet'!$B$12,Paramètres!$A$1:$I$89,3,0)*VLOOKUP('Données projet'!$B$12,Paramètres!$A$1:$I$89,5,0)</f>
        <v>285.94745399999988</v>
      </c>
      <c r="CA72" s="13">
        <f t="shared" si="93"/>
        <v>68.222335259457765</v>
      </c>
      <c r="CB72" s="20">
        <f t="shared" si="64"/>
        <v>616.84571629355526</v>
      </c>
      <c r="CC72" s="59">
        <f t="shared" si="65"/>
        <v>882.77587664362181</v>
      </c>
      <c r="CD72" s="59">
        <f ca="1">AVERAGE(OFFSET($CC$3,0,0,'Données projet'!$E$12+1,1))-AVERAGE(OFFSET($H$3,0,0,'Données projet'!$E$12+1,1))</f>
        <v>373.61861223558259</v>
      </c>
      <c r="CE72" s="59">
        <f t="shared" si="94"/>
        <v>277.62293009761049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37.248263972753627</v>
      </c>
      <c r="CL72" s="21">
        <f>EXP(-LN(2)/25)*CL71+(1-EXP(-LN(2)/25))/(LN(2)/25)*Calculateur!CG72*Calculateur!CI72*VLOOKUP('Données projet'!$B$12,Paramètres!$A$1:$I$89,3,0)*0.475*44/12</f>
        <v>15.064109634054605</v>
      </c>
      <c r="CM72" s="21">
        <f>EXP(-LN(2)/2)*CM71+(1-EXP(-LN(2)/2))/(LN(2)/2)*CG72*CJ72*VLOOKUP('Données projet'!$B$12,Paramètres!$A$1:$I$89,3,0)*0.475*44/12</f>
        <v>0.43174341333900151</v>
      </c>
      <c r="CN72" s="22">
        <f t="shared" si="66"/>
        <v>52.744117020147229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179.96160000000006</v>
      </c>
      <c r="CV72" s="13">
        <f t="shared" si="95"/>
        <v>45.313642767960104</v>
      </c>
      <c r="CW72" s="20">
        <f t="shared" si="67"/>
        <v>392.3543811541972</v>
      </c>
      <c r="CX72" s="59">
        <f t="shared" si="68"/>
        <v>658.28454150426376</v>
      </c>
      <c r="CY72" s="59">
        <f ca="1">AVERAGE(OFFSET($CX$3,0,0,'Données projet'!$E$13+1,1))-AVERAGE(OFFSET($H$3,0,0,'Données projet'!$E$13+1,1))</f>
        <v>287.28439432670405</v>
      </c>
      <c r="CZ72" s="59">
        <f t="shared" si="96"/>
        <v>276.01618888357268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4.1179169901801806</v>
      </c>
      <c r="DG72" s="21">
        <f>EXP(-LN(2)/25)*DG71+(1-EXP(-LN(2)/25))/(LN(2)/25)*Calculateur!DB72*Calculateur!DD72*VLOOKUP('Données projet'!$B$13,Paramètres!$A$1:$I$89,3,0)*0.475*44/12</f>
        <v>9.5417124274779006</v>
      </c>
      <c r="DH72" s="21">
        <f>EXP(-LN(2)/2)*DH71+(1-EXP(-LN(2)/2))/(LN(2)/2)*DB72*DE72*VLOOKUP('Données projet'!$B$13,Paramètres!$A$1:$I$89,3,0)*0.475*44/12</f>
        <v>0.51663582092830829</v>
      </c>
      <c r="DI72" s="22">
        <f t="shared" si="69"/>
        <v>14.176265238586389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9">
        <f t="shared" si="55"/>
        <v>799.15407824042381</v>
      </c>
      <c r="S73" s="59">
        <f ca="1">AVERAGE(OFFSET($R$3,0,0,'Données projet'!$E$9+1,1))-AVERAGE(OFFSET($H$3,0,0,'Données projet'!$E$9+1,1))</f>
        <v>681.47578137804555</v>
      </c>
      <c r="T73" s="59">
        <f t="shared" si="88"/>
        <v>300.88511065995885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11.997500000000002</v>
      </c>
      <c r="AI73" s="13">
        <f>IF('Données projet'!$A$62&gt;35,AI72+AH73-AQ72,IF(A73&lt;'Données projet'!$A$62,$AF$205^A73,IF(A73='Données projet'!$A$62,'Données projet'!$B$62,AI72+AH73-AQ72)))</f>
        <v>358.9874999999999</v>
      </c>
      <c r="AJ73" s="13">
        <f>AI73*VLOOKUP('Données projet'!$B$10,Paramètres!$A$1:$I$89,3,0)*VLOOKUP('Données projet'!$B$10,Paramètres!$A$1:$I$89,5,0)</f>
        <v>168.00614999999993</v>
      </c>
      <c r="AK73" s="13">
        <f t="shared" si="89"/>
        <v>42.643161353938929</v>
      </c>
      <c r="AL73" s="20">
        <f t="shared" si="58"/>
        <v>366.88088394144347</v>
      </c>
      <c r="AM73" s="59">
        <f t="shared" si="59"/>
        <v>633.2864280784529</v>
      </c>
      <c r="AN73" s="59">
        <f ca="1">AVERAGE(OFFSET($AM$3,0,0,'Données projet'!$E$10+1,1))-AVERAGE(OFFSET($H$3,0,0,'Données projet'!$E$10+1,1))</f>
        <v>374.38106339726073</v>
      </c>
      <c r="AO73" s="59">
        <f t="shared" si="90"/>
        <v>296.53283288925957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27.569662873543603</v>
      </c>
      <c r="AV73" s="21">
        <f>EXP(-LN(2)/25)*AV72+(1-EXP(-LN(2)/25))/(LN(2)/25)*Calculateur!AQ73*Calculateur!AS73*VLOOKUP('Données projet'!$B$10,Paramètres!$A$1:$I$89,3,0)*0.475*44/12</f>
        <v>18.299732985995277</v>
      </c>
      <c r="AW73" s="21">
        <f>EXP(-LN(2)/2)*AW72+(1-EXP(-LN(2)/2))/(LN(2)/2)*AQ73*AT73*VLOOKUP('Données projet'!$B$10,Paramètres!$A$1:$I$89,3,0)*0.475*44/12</f>
        <v>0.52310471274275727</v>
      </c>
      <c r="AX73" s="21">
        <f t="shared" si="60"/>
        <v>46.392500572281641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230.28719999999998</v>
      </c>
      <c r="BF73" s="13">
        <f t="shared" si="91"/>
        <v>56.344776374959956</v>
      </c>
      <c r="BG73" s="20">
        <f t="shared" si="61"/>
        <v>499.2173588530552</v>
      </c>
      <c r="BH73" s="59">
        <f t="shared" si="62"/>
        <v>765.62290299006463</v>
      </c>
      <c r="BI73" s="59">
        <f ca="1">AVERAGE(OFFSET($BH$3,0,0,'Données projet'!$E$11+1,1))-AVERAGE(OFFSET($H$3,0,0,'Données projet'!$E$11+1,1))</f>
        <v>423.80243030843661</v>
      </c>
      <c r="BJ73" s="59">
        <f t="shared" si="92"/>
        <v>260.29028006191834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0.1075</v>
      </c>
      <c r="BN73" s="16">
        <f>IF(ISNA(VLOOKUP(A73,'Données projet'!$A$87:$I$107,6,0)),0%,VLOOKUP(A73,'Données projet'!$A$87:$I$107,6,0)*VLOOKUP('Données projet'!$B$11,Paramètres!$A$1:$I$89,7,0))</f>
        <v>0.1075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2.3748123717167258</v>
      </c>
      <c r="BQ73" s="21">
        <f>EXP(-LN(2)/25)*BQ72+(1-EXP(-LN(2)/25))/(LN(2)/25)*Calculateur!BL73*Calculateur!BN73*VLOOKUP('Données projet'!$B$11,Paramètres!$A$1:$I$89,3,0)*0.475*44/12</f>
        <v>13.284417611294986</v>
      </c>
      <c r="BR73" s="21">
        <f>EXP(-LN(2)/2)*BR72+(1-EXP(-LN(2)/2))/(LN(2)/2)*BL73*BO73*VLOOKUP('Données projet'!$B$11,Paramètres!$A$1:$I$89,3,0)*0.475*44/12</f>
        <v>5.7259865461574133</v>
      </c>
      <c r="BS73" s="22">
        <f t="shared" si="63"/>
        <v>21.385216529169124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490.07</v>
      </c>
      <c r="BW73" s="12">
        <f>VLOOKUP(A73,'Données projet'!$A$113:$I$133,9,0)</f>
        <v>11.896999999999997</v>
      </c>
      <c r="BX73" s="12">
        <f t="array" ref="BX73">INDEX(BW:BW,MIN(IF(ISNUMBER(BW73:BW269),ROW(BW73:BW269),"")))</f>
        <v>11.896999999999997</v>
      </c>
      <c r="BY73" s="12">
        <f>IF('Données projet'!$A$114&gt;35,BY72+BX73-CG72,IF(A73&lt;'Données projet'!$A$114,$BV$205^A73,IF(A73='Données projet'!$A$114,'Données projet'!$B$114,BY72+BX73-CG72)))</f>
        <v>490.06999999999977</v>
      </c>
      <c r="BZ73" s="13">
        <f>BY73*VLOOKUP('Données projet'!$B$12,Paramètres!$A$1:$I$89,3,0)*VLOOKUP('Données projet'!$B$12,Paramètres!$A$1:$I$89,5,0)</f>
        <v>293.06185999999991</v>
      </c>
      <c r="CA73" s="13">
        <f t="shared" si="93"/>
        <v>69.719988019761743</v>
      </c>
      <c r="CB73" s="20">
        <f t="shared" si="64"/>
        <v>631.84505196775149</v>
      </c>
      <c r="CC73" s="59">
        <f t="shared" si="65"/>
        <v>898.25059610476092</v>
      </c>
      <c r="CD73" s="59">
        <f ca="1">AVERAGE(OFFSET($CC$3,0,0,'Données projet'!$E$12+1,1))-AVERAGE(OFFSET($H$3,0,0,'Données projet'!$E$12+1,1))</f>
        <v>373.61861223558259</v>
      </c>
      <c r="CE73" s="59">
        <f t="shared" si="94"/>
        <v>277.62293009761049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67.88</v>
      </c>
      <c r="CH73" s="16">
        <f>IF(ISNA(VLOOKUP(A73,'Données projet'!$A$113:$I$133,5,0)),0%,VLOOKUP(A73,'Données projet'!$A$113:$I$133,5,0)*VLOOKUP('Données projet'!$B$12,Paramètres!$A$1:$I$89,7,0))</f>
        <v>0.27</v>
      </c>
      <c r="CI73" s="16">
        <f>IF(ISNA(VLOOKUP(A73,'Données projet'!$A$113:$I$133,6,0)),0%,VLOOKUP(A73,'Données projet'!$A$113:$I$133,6,0)*VLOOKUP('Données projet'!$B$12,Paramètres!$A$1:$I$89,7,0))</f>
        <v>9.0000000000000011E-2</v>
      </c>
      <c r="CJ73" s="16">
        <f>IF(ISNA(VLOOKUP(A73,'Données projet'!$A$113:$I$133,7,0)),0%,VLOOKUP(A73,'Données projet'!$A$113:$I$133,7,0))</f>
        <v>0.2</v>
      </c>
      <c r="CK73" s="21">
        <f>EXP(-LN(2)/35)*CK72+(1-EXP(-LN(2)/35))/(LN(2)/35)*CG73*CH73*VLOOKUP('Données projet'!$B$12,Paramètres!$A$1:$I$89,3,0)*0.475*44/12</f>
        <v>51.056868378126822</v>
      </c>
      <c r="CL73" s="21">
        <f>EXP(-LN(2)/25)*CL72+(1-EXP(-LN(2)/25))/(LN(2)/25)*Calculateur!CG73*Calculateur!CI73*VLOOKUP('Données projet'!$B$12,Paramètres!$A$1:$I$89,3,0)*0.475*44/12</f>
        <v>19.479438924117112</v>
      </c>
      <c r="CM73" s="21">
        <f>EXP(-LN(2)/2)*CM72+(1-EXP(-LN(2)/2))/(LN(2)/2)*CG73*CJ73*VLOOKUP('Données projet'!$B$12,Paramètres!$A$1:$I$89,3,0)*0.475*44/12</f>
        <v>9.4972577266937765</v>
      </c>
      <c r="CN73" s="22">
        <f t="shared" si="66"/>
        <v>80.033565028937701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182.58240000000004</v>
      </c>
      <c r="CV73" s="13">
        <f t="shared" si="95"/>
        <v>45.896245406460288</v>
      </c>
      <c r="CW73" s="20">
        <f t="shared" si="67"/>
        <v>397.93364074958504</v>
      </c>
      <c r="CX73" s="59">
        <f t="shared" si="68"/>
        <v>664.33918488659447</v>
      </c>
      <c r="CY73" s="59">
        <f ca="1">AVERAGE(OFFSET($CX$3,0,0,'Données projet'!$E$13+1,1))-AVERAGE(OFFSET($H$3,0,0,'Données projet'!$E$13+1,1))</f>
        <v>287.28439432670405</v>
      </c>
      <c r="CZ73" s="59">
        <f t="shared" si="96"/>
        <v>276.01618888357268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5.0608504086576875</v>
      </c>
      <c r="DG73" s="21">
        <f>EXP(-LN(2)/25)*DG72+(1-EXP(-LN(2)/25))/(LN(2)/25)*Calculateur!DB73*Calculateur!DD73*VLOOKUP('Données projet'!$B$13,Paramètres!$A$1:$I$89,3,0)*0.475*44/12</f>
        <v>10.300446427300773</v>
      </c>
      <c r="DH73" s="21">
        <f>EXP(-LN(2)/2)*DH72+(1-EXP(-LN(2)/2))/(LN(2)/2)*DB73*DE73*VLOOKUP('Données projet'!$B$13,Paramètres!$A$1:$I$89,3,0)*0.475*44/12</f>
        <v>2.0138469175808202</v>
      </c>
      <c r="DI73" s="22">
        <f t="shared" si="69"/>
        <v>17.37514375353928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9">
        <f t="shared" si="55"/>
        <v>818.24407397977234</v>
      </c>
      <c r="S74" s="59">
        <f ca="1">AVERAGE(OFFSET($R$3,0,0,'Données projet'!$E$9+1,1))-AVERAGE(OFFSET($H$3,0,0,'Données projet'!$E$9+1,1))</f>
        <v>681.47578137804555</v>
      </c>
      <c r="T74" s="59">
        <f t="shared" si="88"/>
        <v>300.88511065995885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11.997500000000002</v>
      </c>
      <c r="AI74" s="13">
        <f>IF('Données projet'!$A$62&gt;35,AI73+AH74-AQ73,IF(A74&lt;'Données projet'!$A$62,$AF$205^A74,IF(A74='Données projet'!$A$62,'Données projet'!$B$62,AI73+AH74-AQ73)))</f>
        <v>370.9849999999999</v>
      </c>
      <c r="AJ74" s="13">
        <f>AI74*VLOOKUP('Données projet'!$B$10,Paramètres!$A$1:$I$89,3,0)*VLOOKUP('Données projet'!$B$10,Paramètres!$A$1:$I$89,5,0)</f>
        <v>173.62097999999997</v>
      </c>
      <c r="AK74" s="13">
        <f t="shared" si="89"/>
        <v>43.900005198349035</v>
      </c>
      <c r="AL74" s="20">
        <f t="shared" si="58"/>
        <v>378.84904922045786</v>
      </c>
      <c r="AM74" s="59">
        <f t="shared" si="59"/>
        <v>645.7217302985058</v>
      </c>
      <c r="AN74" s="59">
        <f ca="1">AVERAGE(OFFSET($AM$3,0,0,'Données projet'!$E$10+1,1))-AVERAGE(OFFSET($H$3,0,0,'Données projet'!$E$10+1,1))</f>
        <v>374.38106339726073</v>
      </c>
      <c r="AO74" s="59">
        <f t="shared" si="90"/>
        <v>296.53283288925957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27.029038600427342</v>
      </c>
      <c r="AV74" s="21">
        <f>EXP(-LN(2)/25)*AV73+(1-EXP(-LN(2)/25))/(LN(2)/25)*Calculateur!AQ74*Calculateur!AS74*VLOOKUP('Données projet'!$B$10,Paramètres!$A$1:$I$89,3,0)*0.475*44/12</f>
        <v>17.799325825152103</v>
      </c>
      <c r="AW74" s="21">
        <f>EXP(-LN(2)/2)*AW73+(1-EXP(-LN(2)/2))/(LN(2)/2)*AQ74*AT74*VLOOKUP('Données projet'!$B$10,Paramètres!$A$1:$I$89,3,0)*0.475*44/12</f>
        <v>0.36989088965104466</v>
      </c>
      <c r="AX74" s="21">
        <f t="shared" si="60"/>
        <v>45.19825531523049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216.20351999999997</v>
      </c>
      <c r="BF74" s="13">
        <f t="shared" si="91"/>
        <v>53.288905450648613</v>
      </c>
      <c r="BG74" s="20">
        <f t="shared" si="61"/>
        <v>469.36597432654622</v>
      </c>
      <c r="BH74" s="59">
        <f t="shared" si="62"/>
        <v>736.23865540459417</v>
      </c>
      <c r="BI74" s="59">
        <f ca="1">AVERAGE(OFFSET($BH$3,0,0,'Données projet'!$E$11+1,1))-AVERAGE(OFFSET($H$3,0,0,'Données projet'!$E$11+1,1))</f>
        <v>423.80243030843661</v>
      </c>
      <c r="BJ74" s="59">
        <f t="shared" si="92"/>
        <v>260.29028006191834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2.3282437495998809</v>
      </c>
      <c r="BQ74" s="21">
        <f>EXP(-LN(2)/25)*BQ73+(1-EXP(-LN(2)/25))/(LN(2)/25)*Calculateur!BL74*Calculateur!BN74*VLOOKUP('Données projet'!$B$11,Paramètres!$A$1:$I$89,3,0)*0.475*44/12</f>
        <v>12.921154513116964</v>
      </c>
      <c r="BR74" s="21">
        <f>EXP(-LN(2)/2)*BR73+(1-EXP(-LN(2)/2))/(LN(2)/2)*BL74*BO74*VLOOKUP('Données projet'!$B$11,Paramètres!$A$1:$I$89,3,0)*0.475*44/12</f>
        <v>4.0488839157708449</v>
      </c>
      <c r="BS74" s="22">
        <f t="shared" si="63"/>
        <v>19.298282178487689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9.7839999999999971</v>
      </c>
      <c r="BY74" s="12">
        <f>IF('Données projet'!$A$114&gt;35,BY73+BX74-CG73,IF(A74&lt;'Données projet'!$A$114,$BV$205^A74,IF(A74='Données projet'!$A$114,'Données projet'!$B$114,BY73+BX74-CG73)))</f>
        <v>431.97399999999976</v>
      </c>
      <c r="BZ74" s="13">
        <f>BY74*VLOOKUP('Données projet'!$B$12,Paramètres!$A$1:$I$89,3,0)*VLOOKUP('Données projet'!$B$12,Paramètres!$A$1:$I$89,5,0)</f>
        <v>258.32045199999988</v>
      </c>
      <c r="CA74" s="13">
        <f t="shared" si="93"/>
        <v>62.364231271731597</v>
      </c>
      <c r="CB74" s="20">
        <f t="shared" si="64"/>
        <v>558.52582336493231</v>
      </c>
      <c r="CC74" s="59">
        <f t="shared" si="65"/>
        <v>825.39850444298031</v>
      </c>
      <c r="CD74" s="59">
        <f ca="1">AVERAGE(OFFSET($CC$3,0,0,'Données projet'!$E$12+1,1))-AVERAGE(OFFSET($H$3,0,0,'Données projet'!$E$12+1,1))</f>
        <v>373.61861223558259</v>
      </c>
      <c r="CE74" s="59">
        <f t="shared" si="94"/>
        <v>277.62293009761049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50.055674330846486</v>
      </c>
      <c r="CL74" s="21">
        <f>EXP(-LN(2)/25)*CL73+(1-EXP(-LN(2)/25))/(LN(2)/25)*Calculateur!CG74*Calculateur!CI74*VLOOKUP('Données projet'!$B$12,Paramètres!$A$1:$I$89,3,0)*0.475*44/12</f>
        <v>18.946772642357956</v>
      </c>
      <c r="CM74" s="21">
        <f>EXP(-LN(2)/2)*CM73+(1-EXP(-LN(2)/2))/(LN(2)/2)*CG74*CJ74*VLOOKUP('Données projet'!$B$12,Paramètres!$A$1:$I$89,3,0)*0.475*44/12</f>
        <v>6.7155753412215047</v>
      </c>
      <c r="CN74" s="22">
        <f t="shared" si="66"/>
        <v>75.718022314425951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177.86496000000002</v>
      </c>
      <c r="CV74" s="13">
        <f t="shared" si="95"/>
        <v>44.846849734353761</v>
      </c>
      <c r="CW74" s="20">
        <f t="shared" si="67"/>
        <v>387.88973528733283</v>
      </c>
      <c r="CX74" s="59">
        <f t="shared" si="68"/>
        <v>654.76241636538077</v>
      </c>
      <c r="CY74" s="59">
        <f ca="1">AVERAGE(OFFSET($CX$3,0,0,'Données projet'!$E$13+1,1))-AVERAGE(OFFSET($H$3,0,0,'Données projet'!$E$13+1,1))</f>
        <v>287.28439432670405</v>
      </c>
      <c r="CZ74" s="59">
        <f t="shared" si="96"/>
        <v>276.01618888357268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4.9616102189578619</v>
      </c>
      <c r="DG74" s="21">
        <f>EXP(-LN(2)/25)*DG73+(1-EXP(-LN(2)/25))/(LN(2)/25)*Calculateur!DB74*Calculateur!DD74*VLOOKUP('Données projet'!$B$13,Paramètres!$A$1:$I$89,3,0)*0.475*44/12</f>
        <v>10.018780178069298</v>
      </c>
      <c r="DH74" s="21">
        <f>EXP(-LN(2)/2)*DH73+(1-EXP(-LN(2)/2))/(LN(2)/2)*DB74*DE74*VLOOKUP('Données projet'!$B$13,Paramètres!$A$1:$I$89,3,0)*0.475*44/12</f>
        <v>1.4240048116930244</v>
      </c>
      <c r="DI74" s="22">
        <f t="shared" si="69"/>
        <v>16.404395208720185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9">
        <f t="shared" si="55"/>
        <v>837.31278473637394</v>
      </c>
      <c r="S75" s="59">
        <f ca="1">AVERAGE(OFFSET($R$3,0,0,'Données projet'!$E$9+1,1))-AVERAGE(OFFSET($H$3,0,0,'Données projet'!$E$9+1,1))</f>
        <v>681.47578137804555</v>
      </c>
      <c r="T75" s="59">
        <f t="shared" si="88"/>
        <v>300.88511065995885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11.997500000000002</v>
      </c>
      <c r="AI75" s="13">
        <f>IF('Données projet'!$A$62&gt;35,AI74+AH75-AQ74,IF(A75&lt;'Données projet'!$A$62,$AF$205^A75,IF(A75='Données projet'!$A$62,'Données projet'!$B$62,AI74+AH75-AQ74)))</f>
        <v>382.9824999999999</v>
      </c>
      <c r="AJ75" s="13">
        <f>AI75*VLOOKUP('Données projet'!$B$10,Paramètres!$A$1:$I$89,3,0)*VLOOKUP('Données projet'!$B$10,Paramètres!$A$1:$I$89,5,0)</f>
        <v>179.23580999999996</v>
      </c>
      <c r="AK75" s="13">
        <f t="shared" si="89"/>
        <v>45.152125894936496</v>
      </c>
      <c r="AL75" s="20">
        <f t="shared" si="58"/>
        <v>390.80898835034759</v>
      </c>
      <c r="AM75" s="59">
        <f t="shared" si="59"/>
        <v>658.14070258786865</v>
      </c>
      <c r="AN75" s="59">
        <f ca="1">AVERAGE(OFFSET($AM$3,0,0,'Données projet'!$E$10+1,1))-AVERAGE(OFFSET($H$3,0,0,'Données projet'!$E$10+1,1))</f>
        <v>374.38106339726073</v>
      </c>
      <c r="AO75" s="59">
        <f t="shared" si="90"/>
        <v>296.53283288925957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26.499015639558642</v>
      </c>
      <c r="AV75" s="21">
        <f>EXP(-LN(2)/25)*AV74+(1-EXP(-LN(2)/25))/(LN(2)/25)*Calculateur!AQ75*Calculateur!AS75*VLOOKUP('Données projet'!$B$10,Paramètres!$A$1:$I$89,3,0)*0.475*44/12</f>
        <v>17.312602324437453</v>
      </c>
      <c r="AW75" s="21">
        <f>EXP(-LN(2)/2)*AW74+(1-EXP(-LN(2)/2))/(LN(2)/2)*AQ75*AT75*VLOOKUP('Données projet'!$B$10,Paramètres!$A$1:$I$89,3,0)*0.475*44/12</f>
        <v>0.26155235637137864</v>
      </c>
      <c r="AX75" s="21">
        <f t="shared" si="60"/>
        <v>44.073170320367481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222.10343999999995</v>
      </c>
      <c r="BF75" s="13">
        <f t="shared" si="91"/>
        <v>54.571804516465022</v>
      </c>
      <c r="BG75" s="20">
        <f t="shared" si="61"/>
        <v>481.87605086617651</v>
      </c>
      <c r="BH75" s="59">
        <f t="shared" si="62"/>
        <v>749.20776510369762</v>
      </c>
      <c r="BI75" s="59">
        <f ca="1">AVERAGE(OFFSET($BH$3,0,0,'Données projet'!$E$11+1,1))-AVERAGE(OFFSET($H$3,0,0,'Données projet'!$E$11+1,1))</f>
        <v>423.80243030843661</v>
      </c>
      <c r="BJ75" s="59">
        <f t="shared" si="92"/>
        <v>260.29028006191834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2.2825883097586925</v>
      </c>
      <c r="BQ75" s="21">
        <f>EXP(-LN(2)/25)*BQ74+(1-EXP(-LN(2)/25))/(LN(2)/25)*Calculateur!BL75*Calculateur!BN75*VLOOKUP('Données projet'!$B$11,Paramètres!$A$1:$I$89,3,0)*0.475*44/12</f>
        <v>12.567824863461796</v>
      </c>
      <c r="BR75" s="21">
        <f>EXP(-LN(2)/2)*BR74+(1-EXP(-LN(2)/2))/(LN(2)/2)*BL75*BO75*VLOOKUP('Données projet'!$B$11,Paramètres!$A$1:$I$89,3,0)*0.475*44/12</f>
        <v>2.8629932730787067</v>
      </c>
      <c r="BS75" s="22">
        <f t="shared" si="63"/>
        <v>17.713406446299196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9.7839999999999971</v>
      </c>
      <c r="BY75" s="12">
        <f>IF('Données projet'!$A$114&gt;35,BY74+BX75-CG74,IF(A75&lt;'Données projet'!$A$114,$BV$205^A75,IF(A75='Données projet'!$A$114,'Données projet'!$B$114,BY74+BX75-CG74)))</f>
        <v>441.75799999999975</v>
      </c>
      <c r="BZ75" s="13">
        <f>BY75*VLOOKUP('Données projet'!$B$12,Paramètres!$A$1:$I$89,3,0)*VLOOKUP('Données projet'!$B$12,Paramètres!$A$1:$I$89,5,0)</f>
        <v>264.1712839999999</v>
      </c>
      <c r="CA75" s="13">
        <f t="shared" si="93"/>
        <v>63.610701832955151</v>
      </c>
      <c r="CB75" s="20">
        <f t="shared" si="64"/>
        <v>570.88695865906334</v>
      </c>
      <c r="CC75" s="59">
        <f t="shared" si="65"/>
        <v>838.21867289658439</v>
      </c>
      <c r="CD75" s="59">
        <f ca="1">AVERAGE(OFFSET($CC$3,0,0,'Données projet'!$E$12+1,1))-AVERAGE(OFFSET($H$3,0,0,'Données projet'!$E$12+1,1))</f>
        <v>373.61861223558259</v>
      </c>
      <c r="CE75" s="59">
        <f t="shared" si="94"/>
        <v>277.62293009761049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49.074113088165248</v>
      </c>
      <c r="CL75" s="21">
        <f>EXP(-LN(2)/25)*CL74+(1-EXP(-LN(2)/25))/(LN(2)/25)*Calculateur!CG75*Calculateur!CI75*VLOOKUP('Données projet'!$B$12,Paramètres!$A$1:$I$89,3,0)*0.475*44/12</f>
        <v>18.428672148085209</v>
      </c>
      <c r="CM75" s="21">
        <f>EXP(-LN(2)/2)*CM74+(1-EXP(-LN(2)/2))/(LN(2)/2)*CG75*CJ75*VLOOKUP('Données projet'!$B$12,Paramètres!$A$1:$I$89,3,0)*0.475*44/12</f>
        <v>4.7486288633468892</v>
      </c>
      <c r="CN75" s="22">
        <f t="shared" si="66"/>
        <v>72.251414099597355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180.13632000000004</v>
      </c>
      <c r="CV75" s="13">
        <f t="shared" si="95"/>
        <v>45.352513518602144</v>
      </c>
      <c r="CW75" s="20">
        <f t="shared" si="67"/>
        <v>392.72638504489879</v>
      </c>
      <c r="CX75" s="59">
        <f t="shared" si="68"/>
        <v>660.0580992824199</v>
      </c>
      <c r="CY75" s="59">
        <f ca="1">AVERAGE(OFFSET($CX$3,0,0,'Données projet'!$E$13+1,1))-AVERAGE(OFFSET($H$3,0,0,'Données projet'!$E$13+1,1))</f>
        <v>287.28439432670405</v>
      </c>
      <c r="CZ75" s="59">
        <f t="shared" si="96"/>
        <v>276.01618888357268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4.8643160688475113</v>
      </c>
      <c r="DG75" s="21">
        <f>EXP(-LN(2)/25)*DG74+(1-EXP(-LN(2)/25))/(LN(2)/25)*Calculateur!DB75*Calculateur!DD75*VLOOKUP('Données projet'!$B$13,Paramètres!$A$1:$I$89,3,0)*0.475*44/12</f>
        <v>9.7448161072352413</v>
      </c>
      <c r="DH75" s="21">
        <f>EXP(-LN(2)/2)*DH74+(1-EXP(-LN(2)/2))/(LN(2)/2)*DB75*DE75*VLOOKUP('Données projet'!$B$13,Paramètres!$A$1:$I$89,3,0)*0.475*44/12</f>
        <v>1.0069234587904103</v>
      </c>
      <c r="DI75" s="22">
        <f t="shared" si="69"/>
        <v>15.616055634873163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9">
        <f t="shared" si="55"/>
        <v>856.3608417156413</v>
      </c>
      <c r="S76" s="59">
        <f ca="1">AVERAGE(OFFSET($R$3,0,0,'Données projet'!$E$9+1,1))-AVERAGE(OFFSET($H$3,0,0,'Données projet'!$E$9+1,1))</f>
        <v>681.47578137804555</v>
      </c>
      <c r="T76" s="59">
        <f t="shared" si="88"/>
        <v>300.88511065995885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>
        <f>VLOOKUP(A76,'Données projet'!$A$61:$I$81,2,0)</f>
        <v>394.98</v>
      </c>
      <c r="AG76" s="12">
        <f>VLOOKUP(A76,'Données projet'!$A$61:$I$81,9,0)</f>
        <v>11.997500000000002</v>
      </c>
      <c r="AH76" s="12">
        <f t="array" ref="AH76">INDEX(AG:AG,MIN(IF(ISNUMBER(AG76:AG272),ROW(AG76:AG272),"")))</f>
        <v>11.997500000000002</v>
      </c>
      <c r="AI76" s="13">
        <f>IF('Données projet'!$A$62&gt;35,AI75+AH76-AQ75,IF(A76&lt;'Données projet'!$A$62,$AF$205^A76,IF(A76='Données projet'!$A$62,'Données projet'!$B$62,AI75+AH76-AQ75)))</f>
        <v>394.9799999999999</v>
      </c>
      <c r="AJ76" s="13">
        <f>AI76*VLOOKUP('Données projet'!$B$10,Paramètres!$A$1:$I$89,3,0)*VLOOKUP('Données projet'!$B$10,Paramètres!$A$1:$I$89,5,0)</f>
        <v>184.85063999999994</v>
      </c>
      <c r="AK76" s="13">
        <f t="shared" si="89"/>
        <v>46.399688379827502</v>
      </c>
      <c r="AL76" s="20">
        <f t="shared" si="58"/>
        <v>402.76098859486609</v>
      </c>
      <c r="AM76" s="59">
        <f t="shared" si="59"/>
        <v>670.54377279278788</v>
      </c>
      <c r="AN76" s="59">
        <f ca="1">AVERAGE(OFFSET($AM$3,0,0,'Données projet'!$E$10+1,1))-AVERAGE(OFFSET($H$3,0,0,'Données projet'!$E$10+1,1))</f>
        <v>374.38106339726073</v>
      </c>
      <c r="AO76" s="59">
        <f t="shared" si="90"/>
        <v>296.53283288925957</v>
      </c>
      <c r="AP76" s="15">
        <f>IF(ISNA(VLOOKUP(A76,'Données projet'!$A$61:$I$81,3,0)),0,VLOOKUP(A76,'Données projet'!$A$61:$I$81,3,0))</f>
        <v>3</v>
      </c>
      <c r="AQ76" s="15">
        <f>IF(ISNA(VLOOKUP(A76,'Données projet'!$A$61:$I$81,4,0)),0,VLOOKUP(A76,'Données projet'!$A$61:$I$81,4,0))</f>
        <v>103.23000000000002</v>
      </c>
      <c r="AR76" s="16">
        <f>IF(ISNA(VLOOKUP(A76,'Données projet'!$A$61:$I$81,5,0)),0%,VLOOKUP(A76,'Données projet'!$A$61:$I$81,5,0)*VLOOKUP('Données projet'!$B$10,Paramètres!$A$1:$I$89,7,0))</f>
        <v>0.33</v>
      </c>
      <c r="AS76" s="16">
        <f>IF(ISNA(VLOOKUP(A76,'Données projet'!$A$61:$I$81,6,0)),0%,VLOOKUP(A76,'Données projet'!$A$61:$I$81,6,0)*VLOOKUP('Données projet'!$B$10,Paramètres!$A$1:$I$89,7,0))</f>
        <v>0.11000000000000001</v>
      </c>
      <c r="AT76" s="16">
        <f>IF(ISNA(VLOOKUP(A76,'Données projet'!$A$61:$I$81,7,0)),0%,VLOOKUP(A76,'Données projet'!$A$61:$I$81,7,0))</f>
        <v>0.2</v>
      </c>
      <c r="AU76" s="21">
        <f>EXP(-LN(2)/35)*AU75+(1-EXP(-LN(2)/35))/(LN(2)/35)*AQ76*AR76*VLOOKUP('Données projet'!$B$10,Paramètres!$A$1:$I$89,3,0)*0.475*44/12</f>
        <v>47.128592560307567</v>
      </c>
      <c r="AV76" s="21">
        <f>EXP(-LN(2)/25)*AV75+(1-EXP(-LN(2)/25))/(LN(2)/25)*Calculateur!AQ76*Calculateur!AS76*VLOOKUP('Données projet'!$B$10,Paramètres!$A$1:$I$89,3,0)*0.475*44/12</f>
        <v>23.861166293560768</v>
      </c>
      <c r="AW76" s="21">
        <f>EXP(-LN(2)/2)*AW75+(1-EXP(-LN(2)/2))/(LN(2)/2)*AQ76*AT76*VLOOKUP('Données projet'!$B$10,Paramètres!$A$1:$I$89,3,0)*0.475*44/12</f>
        <v>11.124945275719824</v>
      </c>
      <c r="AX76" s="21">
        <f t="shared" si="60"/>
        <v>82.114704129588162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228.00335999999993</v>
      </c>
      <c r="BF76" s="13">
        <f t="shared" si="91"/>
        <v>55.850742452867522</v>
      </c>
      <c r="BG76" s="20">
        <f t="shared" si="61"/>
        <v>494.37922843874412</v>
      </c>
      <c r="BH76" s="59">
        <f t="shared" si="62"/>
        <v>762.16201263666585</v>
      </c>
      <c r="BI76" s="59">
        <f ca="1">AVERAGE(OFFSET($BH$3,0,0,'Données projet'!$E$11+1,1))-AVERAGE(OFFSET($H$3,0,0,'Données projet'!$E$11+1,1))</f>
        <v>423.80243030843661</v>
      </c>
      <c r="BJ76" s="59">
        <f t="shared" si="92"/>
        <v>260.29028006191834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2.2378281452457212</v>
      </c>
      <c r="BQ76" s="21">
        <f>EXP(-LN(2)/25)*BQ75+(1-EXP(-LN(2)/25))/(LN(2)/25)*Calculateur!BL76*Calculateur!BN76*VLOOKUP('Données projet'!$B$11,Paramètres!$A$1:$I$89,3,0)*0.475*44/12</f>
        <v>12.224157031657247</v>
      </c>
      <c r="BR76" s="21">
        <f>EXP(-LN(2)/2)*BR75+(1-EXP(-LN(2)/2))/(LN(2)/2)*BL76*BO76*VLOOKUP('Données projet'!$B$11,Paramètres!$A$1:$I$89,3,0)*0.475*44/12</f>
        <v>2.0244419578854225</v>
      </c>
      <c r="BS76" s="22">
        <f t="shared" si="63"/>
        <v>16.486427134788393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9.7839999999999971</v>
      </c>
      <c r="BY76" s="12">
        <f>IF('Données projet'!$A$114&gt;35,BY75+BX76-CG75,IF(A76&lt;'Données projet'!$A$114,$BV$205^A76,IF(A76='Données projet'!$A$114,'Données projet'!$B$114,BY75+BX76-CG75)))</f>
        <v>451.54199999999975</v>
      </c>
      <c r="BZ76" s="13">
        <f>BY76*VLOOKUP('Données projet'!$B$12,Paramètres!$A$1:$I$89,3,0)*VLOOKUP('Données projet'!$B$12,Paramètres!$A$1:$I$89,5,0)</f>
        <v>270.02211599999987</v>
      </c>
      <c r="CA76" s="13">
        <f t="shared" si="93"/>
        <v>64.853962838834434</v>
      </c>
      <c r="CB76" s="20">
        <f t="shared" si="64"/>
        <v>583.24250397763637</v>
      </c>
      <c r="CC76" s="59">
        <f t="shared" si="65"/>
        <v>851.02528817555822</v>
      </c>
      <c r="CD76" s="59">
        <f ca="1">AVERAGE(OFFSET($CC$3,0,0,'Données projet'!$E$12+1,1))-AVERAGE(OFFSET($H$3,0,0,'Données projet'!$E$12+1,1))</f>
        <v>373.61861223558259</v>
      </c>
      <c r="CE76" s="59">
        <f t="shared" si="94"/>
        <v>277.62293009761049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48.111799662759744</v>
      </c>
      <c r="CL76" s="21">
        <f>EXP(-LN(2)/25)*CL75+(1-EXP(-LN(2)/25))/(LN(2)/25)*Calculateur!CG76*Calculateur!CI76*VLOOKUP('Données projet'!$B$12,Paramètres!$A$1:$I$89,3,0)*0.475*44/12</f>
        <v>17.92473913907407</v>
      </c>
      <c r="CM76" s="21">
        <f>EXP(-LN(2)/2)*CM75+(1-EXP(-LN(2)/2))/(LN(2)/2)*CG76*CJ76*VLOOKUP('Données projet'!$B$12,Paramètres!$A$1:$I$89,3,0)*0.475*44/12</f>
        <v>3.3577876706107528</v>
      </c>
      <c r="CN76" s="22">
        <f t="shared" si="66"/>
        <v>69.394326472444561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182.40768000000003</v>
      </c>
      <c r="CV76" s="13">
        <f t="shared" si="95"/>
        <v>45.857435663065921</v>
      </c>
      <c r="CW76" s="20">
        <f t="shared" si="67"/>
        <v>397.56174311317318</v>
      </c>
      <c r="CX76" s="59">
        <f t="shared" si="68"/>
        <v>665.34452731109491</v>
      </c>
      <c r="CY76" s="59">
        <f ca="1">AVERAGE(OFFSET($CX$3,0,0,'Données projet'!$E$13+1,1))-AVERAGE(OFFSET($H$3,0,0,'Données projet'!$E$13+1,1))</f>
        <v>287.28439432670405</v>
      </c>
      <c r="CZ76" s="59">
        <f t="shared" si="96"/>
        <v>276.01618888357268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4.7689297976772522</v>
      </c>
      <c r="DG76" s="21">
        <f>EXP(-LN(2)/25)*DG75+(1-EXP(-LN(2)/25))/(LN(2)/25)*Calculateur!DB76*Calculateur!DD76*VLOOKUP('Données projet'!$B$13,Paramètres!$A$1:$I$89,3,0)*0.475*44/12</f>
        <v>9.4783435983252868</v>
      </c>
      <c r="DH76" s="21">
        <f>EXP(-LN(2)/2)*DH75+(1-EXP(-LN(2)/2))/(LN(2)/2)*DB76*DE76*VLOOKUP('Données projet'!$B$13,Paramètres!$A$1:$I$89,3,0)*0.475*44/12</f>
        <v>0.71200240584651231</v>
      </c>
      <c r="DI76" s="22">
        <f t="shared" si="69"/>
        <v>14.959275801849051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9">
        <f t="shared" si="55"/>
        <v>875.38884017638168</v>
      </c>
      <c r="S77" s="59">
        <f ca="1">AVERAGE(OFFSET($R$3,0,0,'Données projet'!$E$9+1,1))-AVERAGE(OFFSET($H$3,0,0,'Données projet'!$E$9+1,1))</f>
        <v>681.47578137804555</v>
      </c>
      <c r="T77" s="59">
        <f t="shared" si="88"/>
        <v>300.88511065995885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11.117500000000001</v>
      </c>
      <c r="AI77" s="13">
        <f>IF('Données projet'!$A$62&gt;35,AI76+AH77-AQ76,IF(A77&lt;'Données projet'!$A$62,$AF$205^A77,IF(A77='Données projet'!$A$62,'Données projet'!$B$62,AI76+AH77-AQ76)))</f>
        <v>302.86749999999989</v>
      </c>
      <c r="AJ77" s="13">
        <f>AI77*VLOOKUP('Données projet'!$B$10,Paramètres!$A$1:$I$89,3,0)*VLOOKUP('Données projet'!$B$10,Paramètres!$A$1:$I$89,5,0)</f>
        <v>141.74198999999996</v>
      </c>
      <c r="AK77" s="13">
        <f t="shared" si="89"/>
        <v>36.695783280300503</v>
      </c>
      <c r="AL77" s="20">
        <f t="shared" si="58"/>
        <v>310.77912179652327</v>
      </c>
      <c r="AM77" s="59">
        <f t="shared" si="59"/>
        <v>579.00515089947407</v>
      </c>
      <c r="AN77" s="59">
        <f ca="1">AVERAGE(OFFSET($AM$3,0,0,'Données projet'!$E$10+1,1))-AVERAGE(OFFSET($H$3,0,0,'Données projet'!$E$10+1,1))</f>
        <v>374.38106339726073</v>
      </c>
      <c r="AO77" s="59">
        <f t="shared" si="90"/>
        <v>296.53283288925957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46.204429605803007</v>
      </c>
      <c r="AV77" s="21">
        <f>EXP(-LN(2)/25)*AV76+(1-EXP(-LN(2)/25))/(LN(2)/25)*Calculateur!AQ77*Calculateur!AS77*VLOOKUP('Données projet'!$B$10,Paramètres!$A$1:$I$89,3,0)*0.475*44/12</f>
        <v>23.208681446459149</v>
      </c>
      <c r="AW77" s="21">
        <f>EXP(-LN(2)/2)*AW76+(1-EXP(-LN(2)/2))/(LN(2)/2)*AQ77*AT77*VLOOKUP('Données projet'!$B$10,Paramètres!$A$1:$I$89,3,0)*0.475*44/12</f>
        <v>7.8665242447907335</v>
      </c>
      <c r="AX77" s="21">
        <f t="shared" si="60"/>
        <v>77.279635297052891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233.90327999999994</v>
      </c>
      <c r="BF77" s="13">
        <f t="shared" si="91"/>
        <v>57.125833544518095</v>
      </c>
      <c r="BG77" s="20">
        <f t="shared" si="61"/>
        <v>506.87570609003552</v>
      </c>
      <c r="BH77" s="59">
        <f t="shared" si="62"/>
        <v>775.10173519298633</v>
      </c>
      <c r="BI77" s="59">
        <f ca="1">AVERAGE(OFFSET($BH$3,0,0,'Données projet'!$E$11+1,1))-AVERAGE(OFFSET($H$3,0,0,'Données projet'!$E$11+1,1))</f>
        <v>423.80243030843661</v>
      </c>
      <c r="BJ77" s="59">
        <f t="shared" si="92"/>
        <v>260.29028006191834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2.1939457002578444</v>
      </c>
      <c r="BQ77" s="21">
        <f>EXP(-LN(2)/25)*BQ76+(1-EXP(-LN(2)/25))/(LN(2)/25)*Calculateur!BL77*Calculateur!BN77*VLOOKUP('Données projet'!$B$11,Paramètres!$A$1:$I$89,3,0)*0.475*44/12</f>
        <v>11.889886814786101</v>
      </c>
      <c r="BR77" s="21">
        <f>EXP(-LN(2)/2)*BR76+(1-EXP(-LN(2)/2))/(LN(2)/2)*BL77*BO77*VLOOKUP('Données projet'!$B$11,Paramètres!$A$1:$I$89,3,0)*0.475*44/12</f>
        <v>1.4314966365393533</v>
      </c>
      <c r="BS77" s="22">
        <f t="shared" si="63"/>
        <v>15.515329151583298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9.7839999999999971</v>
      </c>
      <c r="BY77" s="12">
        <f>IF('Données projet'!$A$114&gt;35,BY76+BX77-CG76,IF(A77&lt;'Données projet'!$A$114,$BV$205^A77,IF(A77='Données projet'!$A$114,'Données projet'!$B$114,BY76+BX77-CG76)))</f>
        <v>461.32599999999974</v>
      </c>
      <c r="BZ77" s="13">
        <f>BY77*VLOOKUP('Données projet'!$B$12,Paramètres!$A$1:$I$89,3,0)*VLOOKUP('Données projet'!$B$12,Paramètres!$A$1:$I$89,5,0)</f>
        <v>275.87294799999984</v>
      </c>
      <c r="CA77" s="13">
        <f t="shared" si="93"/>
        <v>66.094091843346078</v>
      </c>
      <c r="CB77" s="20">
        <f t="shared" si="64"/>
        <v>595.59259439382743</v>
      </c>
      <c r="CC77" s="59">
        <f t="shared" si="65"/>
        <v>863.81862349677829</v>
      </c>
      <c r="CD77" s="59">
        <f ca="1">AVERAGE(OFFSET($CC$3,0,0,'Données projet'!$E$12+1,1))-AVERAGE(OFFSET($H$3,0,0,'Données projet'!$E$12+1,1))</f>
        <v>373.61861223558259</v>
      </c>
      <c r="CE77" s="59">
        <f t="shared" si="94"/>
        <v>277.62293009761049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47.168356616673215</v>
      </c>
      <c r="CL77" s="21">
        <f>EXP(-LN(2)/25)*CL76+(1-EXP(-LN(2)/25))/(LN(2)/25)*Calculateur!CG77*Calculateur!CI77*VLOOKUP('Données projet'!$B$12,Paramètres!$A$1:$I$89,3,0)*0.475*44/12</f>
        <v>17.434586204695027</v>
      </c>
      <c r="CM77" s="21">
        <f>EXP(-LN(2)/2)*CM76+(1-EXP(-LN(2)/2))/(LN(2)/2)*CG77*CJ77*VLOOKUP('Données projet'!$B$12,Paramètres!$A$1:$I$89,3,0)*0.475*44/12</f>
        <v>2.374314431673445</v>
      </c>
      <c r="CN77" s="22">
        <f t="shared" si="66"/>
        <v>66.977257253041685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184.67904000000004</v>
      </c>
      <c r="CV77" s="13">
        <f t="shared" si="95"/>
        <v>46.361626470742223</v>
      </c>
      <c r="CW77" s="20">
        <f t="shared" si="67"/>
        <v>402.39582743654279</v>
      </c>
      <c r="CX77" s="59">
        <f t="shared" si="68"/>
        <v>670.62185653949359</v>
      </c>
      <c r="CY77" s="59">
        <f ca="1">AVERAGE(OFFSET($CX$3,0,0,'Données projet'!$E$13+1,1))-AVERAGE(OFFSET($H$3,0,0,'Données projet'!$E$13+1,1))</f>
        <v>287.28439432670405</v>
      </c>
      <c r="CZ77" s="59">
        <f t="shared" si="96"/>
        <v>276.01618888357268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4.6754139931047618</v>
      </c>
      <c r="DG77" s="21">
        <f>EXP(-LN(2)/25)*DG76+(1-EXP(-LN(2)/25))/(LN(2)/25)*Calculateur!DB77*Calculateur!DD77*VLOOKUP('Données projet'!$B$13,Paramètres!$A$1:$I$89,3,0)*0.475*44/12</f>
        <v>9.219157794184655</v>
      </c>
      <c r="DH77" s="21">
        <f>EXP(-LN(2)/2)*DH76+(1-EXP(-LN(2)/2))/(LN(2)/2)*DB77*DE77*VLOOKUP('Données projet'!$B$13,Paramètres!$A$1:$I$89,3,0)*0.475*44/12</f>
        <v>0.50346172939520517</v>
      </c>
      <c r="DI77" s="22">
        <f t="shared" si="69"/>
        <v>14.398033516684622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9">
        <f t="shared" si="55"/>
        <v>795.93954137716287</v>
      </c>
      <c r="S78" s="59">
        <f ca="1">AVERAGE(OFFSET($R$3,0,0,'Données projet'!$E$9+1,1))-AVERAGE(OFFSET($H$3,0,0,'Données projet'!$E$9+1,1))</f>
        <v>681.47578137804555</v>
      </c>
      <c r="T78" s="59">
        <f t="shared" si="88"/>
        <v>300.88511065995885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11.117500000000001</v>
      </c>
      <c r="AI78" s="13">
        <f>IF('Données projet'!$A$62&gt;35,AI77+AH78-AQ77,IF(A78&lt;'Données projet'!$A$62,$AF$205^A78,IF(A78='Données projet'!$A$62,'Données projet'!$B$62,AI77+AH78-AQ77)))</f>
        <v>313.9849999999999</v>
      </c>
      <c r="AJ78" s="13">
        <f>AI78*VLOOKUP('Données projet'!$B$10,Paramètres!$A$1:$I$89,3,0)*VLOOKUP('Données projet'!$B$10,Paramètres!$A$1:$I$89,5,0)</f>
        <v>146.94497999999996</v>
      </c>
      <c r="AK78" s="13">
        <f t="shared" si="89"/>
        <v>37.883492113436546</v>
      </c>
      <c r="AL78" s="20">
        <f t="shared" si="58"/>
        <v>321.90958893090192</v>
      </c>
      <c r="AM78" s="59">
        <f t="shared" si="59"/>
        <v>590.57117363072666</v>
      </c>
      <c r="AN78" s="59">
        <f ca="1">AVERAGE(OFFSET($AM$3,0,0,'Données projet'!$E$10+1,1))-AVERAGE(OFFSET($H$3,0,0,'Données projet'!$E$10+1,1))</f>
        <v>374.38106339726073</v>
      </c>
      <c r="AO78" s="59">
        <f t="shared" si="90"/>
        <v>296.53283288925957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45.298388923152537</v>
      </c>
      <c r="AV78" s="21">
        <f>EXP(-LN(2)/25)*AV77+(1-EXP(-LN(2)/25))/(LN(2)/25)*Calculateur!AQ78*Calculateur!AS78*VLOOKUP('Données projet'!$B$10,Paramètres!$A$1:$I$89,3,0)*0.475*44/12</f>
        <v>22.57403883181421</v>
      </c>
      <c r="AW78" s="21">
        <f>EXP(-LN(2)/2)*AW77+(1-EXP(-LN(2)/2))/(LN(2)/2)*AQ78*AT78*VLOOKUP('Données projet'!$B$10,Paramètres!$A$1:$I$89,3,0)*0.475*44/12</f>
        <v>5.562472637859913</v>
      </c>
      <c r="AX78" s="21">
        <f t="shared" si="60"/>
        <v>73.434900392826663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239.80319999999992</v>
      </c>
      <c r="BF78" s="13">
        <f t="shared" si="91"/>
        <v>58.397185982155214</v>
      </c>
      <c r="BG78" s="20">
        <f t="shared" si="61"/>
        <v>519.36567225225349</v>
      </c>
      <c r="BH78" s="59">
        <f t="shared" si="62"/>
        <v>788.02725695207823</v>
      </c>
      <c r="BI78" s="59">
        <f ca="1">AVERAGE(OFFSET($BH$3,0,0,'Données projet'!$E$11+1,1))-AVERAGE(OFFSET($H$3,0,0,'Données projet'!$E$11+1,1))</f>
        <v>423.80243030843661</v>
      </c>
      <c r="BJ78" s="59">
        <f t="shared" si="92"/>
        <v>260.29028006191834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0.1075</v>
      </c>
      <c r="BN78" s="16">
        <f>IF(ISNA(VLOOKUP(A78,'Données projet'!$A$87:$I$107,6,0)),0%,VLOOKUP(A78,'Données projet'!$A$87:$I$107,6,0)*VLOOKUP('Données projet'!$B$11,Paramètres!$A$1:$I$89,7,0))</f>
        <v>0.1075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4.5257361349672571</v>
      </c>
      <c r="BQ78" s="21">
        <f>EXP(-LN(2)/25)*BQ77+(1-EXP(-LN(2)/25))/(LN(2)/25)*Calculateur!BL78*Calculateur!BN78*VLOOKUP('Données projet'!$B$11,Paramètres!$A$1:$I$89,3,0)*0.475*44/12</f>
        <v>13.930219065108625</v>
      </c>
      <c r="BR78" s="21">
        <f>EXP(-LN(2)/2)*BR77+(1-EXP(-LN(2)/2))/(LN(2)/2)*BL78*BO78*VLOOKUP('Données projet'!$B$11,Paramètres!$A$1:$I$89,3,0)*0.475*44/12</f>
        <v>5.7259870916197704</v>
      </c>
      <c r="BS78" s="22">
        <f t="shared" si="63"/>
        <v>24.181942291695655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9.7839999999999971</v>
      </c>
      <c r="BY78" s="12">
        <f>IF('Données projet'!$A$114&gt;35,BY77+BX78-CG77,IF(A78&lt;'Données projet'!$A$114,$BV$205^A78,IF(A78='Données projet'!$A$114,'Données projet'!$B$114,BY77+BX78-CG77)))</f>
        <v>471.10999999999973</v>
      </c>
      <c r="BZ78" s="13">
        <f>BY78*VLOOKUP('Données projet'!$B$12,Paramètres!$A$1:$I$89,3,0)*VLOOKUP('Données projet'!$B$12,Paramètres!$A$1:$I$89,5,0)</f>
        <v>281.72377999999986</v>
      </c>
      <c r="CA78" s="13">
        <f t="shared" si="93"/>
        <v>67.331162922926637</v>
      </c>
      <c r="CB78" s="20">
        <f t="shared" si="64"/>
        <v>607.93735892409688</v>
      </c>
      <c r="CC78" s="59">
        <f t="shared" si="65"/>
        <v>876.59894362392174</v>
      </c>
      <c r="CD78" s="59">
        <f ca="1">AVERAGE(OFFSET($CC$3,0,0,'Données projet'!$E$12+1,1))-AVERAGE(OFFSET($H$3,0,0,'Données projet'!$E$12+1,1))</f>
        <v>373.61861223558259</v>
      </c>
      <c r="CE78" s="59">
        <f t="shared" si="94"/>
        <v>277.62293009761049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46.243413913277003</v>
      </c>
      <c r="CL78" s="21">
        <f>EXP(-LN(2)/25)*CL77+(1-EXP(-LN(2)/25))/(LN(2)/25)*Calculateur!CG78*Calculateur!CI78*VLOOKUP('Données projet'!$B$12,Paramètres!$A$1:$I$89,3,0)*0.475*44/12</f>
        <v>16.957836528082598</v>
      </c>
      <c r="CM78" s="21">
        <f>EXP(-LN(2)/2)*CM77+(1-EXP(-LN(2)/2))/(LN(2)/2)*CG78*CJ78*VLOOKUP('Données projet'!$B$12,Paramètres!$A$1:$I$89,3,0)*0.475*44/12</f>
        <v>1.6788938353053768</v>
      </c>
      <c r="CN78" s="22">
        <f t="shared" si="66"/>
        <v>64.880144276664979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186.95040000000003</v>
      </c>
      <c r="CV78" s="13">
        <f t="shared" si="95"/>
        <v>46.865095976617653</v>
      </c>
      <c r="CW78" s="20">
        <f t="shared" si="67"/>
        <v>407.22865549260911</v>
      </c>
      <c r="CX78" s="59">
        <f t="shared" si="68"/>
        <v>675.89024019243391</v>
      </c>
      <c r="CY78" s="59">
        <f ca="1">AVERAGE(OFFSET($CX$3,0,0,'Données projet'!$E$13+1,1))-AVERAGE(OFFSET($H$3,0,0,'Données projet'!$E$13+1,1))</f>
        <v>287.28439432670405</v>
      </c>
      <c r="CZ78" s="59">
        <f t="shared" si="96"/>
        <v>276.01618888357268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5.4794548280228152</v>
      </c>
      <c r="DG78" s="21">
        <f>EXP(-LN(2)/25)*DG77+(1-EXP(-LN(2)/25))/(LN(2)/25)*Calculateur!DB78*Calculateur!DD78*VLOOKUP('Données projet'!$B$13,Paramètres!$A$1:$I$89,3,0)*0.475*44/12</f>
        <v>9.8592554889262054</v>
      </c>
      <c r="DH78" s="21">
        <f>EXP(-LN(2)/2)*DH77+(1-EXP(-LN(2)/2))/(LN(2)/2)*DB78*DE78*VLOOKUP('Données projet'!$B$13,Paramètres!$A$1:$I$89,3,0)*0.475*44/12</f>
        <v>1.7984651499719739</v>
      </c>
      <c r="DI78" s="22">
        <f t="shared" si="69"/>
        <v>17.137175466920993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9">
        <f t="shared" si="55"/>
        <v>814.63712466398783</v>
      </c>
      <c r="S79" s="59">
        <f ca="1">AVERAGE(OFFSET($R$3,0,0,'Données projet'!$E$9+1,1))-AVERAGE(OFFSET($H$3,0,0,'Données projet'!$E$9+1,1))</f>
        <v>681.47578137804555</v>
      </c>
      <c r="T79" s="59">
        <f t="shared" si="88"/>
        <v>300.88511065995885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11.117500000000001</v>
      </c>
      <c r="AI79" s="13">
        <f>IF('Données projet'!$A$62&gt;35,AI78+AH79-AQ78,IF(A79&lt;'Données projet'!$A$62,$AF$205^A79,IF(A79='Données projet'!$A$62,'Données projet'!$B$62,AI78+AH79-AQ78)))</f>
        <v>325.10249999999991</v>
      </c>
      <c r="AJ79" s="13">
        <f>AI79*VLOOKUP('Données projet'!$B$10,Paramètres!$A$1:$I$89,3,0)*VLOOKUP('Données projet'!$B$10,Paramètres!$A$1:$I$89,5,0)</f>
        <v>152.14796999999996</v>
      </c>
      <c r="AK79" s="13">
        <f t="shared" si="89"/>
        <v>39.066314845830235</v>
      </c>
      <c r="AL79" s="20">
        <f t="shared" si="58"/>
        <v>333.03154610648761</v>
      </c>
      <c r="AM79" s="59">
        <f t="shared" si="59"/>
        <v>602.12113048733704</v>
      </c>
      <c r="AN79" s="59">
        <f ca="1">AVERAGE(OFFSET($AM$3,0,0,'Données projet'!$E$10+1,1))-AVERAGE(OFFSET($H$3,0,0,'Données projet'!$E$10+1,1))</f>
        <v>374.38106339726073</v>
      </c>
      <c r="AO79" s="59">
        <f t="shared" si="90"/>
        <v>296.53283288925957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44.410115145658594</v>
      </c>
      <c r="AV79" s="21">
        <f>EXP(-LN(2)/25)*AV78+(1-EXP(-LN(2)/25))/(LN(2)/25)*Calculateur!AQ79*Calculateur!AS79*VLOOKUP('Données projet'!$B$10,Paramètres!$A$1:$I$89,3,0)*0.475*44/12</f>
        <v>21.956750552841143</v>
      </c>
      <c r="AW79" s="21">
        <f>EXP(-LN(2)/2)*AW78+(1-EXP(-LN(2)/2))/(LN(2)/2)*AQ79*AT79*VLOOKUP('Données projet'!$B$10,Paramètres!$A$1:$I$89,3,0)*0.475*44/12</f>
        <v>3.9332621223953677</v>
      </c>
      <c r="AX79" s="21">
        <f t="shared" si="60"/>
        <v>70.300127820895099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225.52919999999992</v>
      </c>
      <c r="BF79" s="13">
        <f t="shared" si="91"/>
        <v>55.314888425951921</v>
      </c>
      <c r="BG79" s="20">
        <f t="shared" si="61"/>
        <v>489.13678734186618</v>
      </c>
      <c r="BH79" s="59">
        <f t="shared" si="62"/>
        <v>758.22637172271561</v>
      </c>
      <c r="BI79" s="59">
        <f ca="1">AVERAGE(OFFSET($BH$3,0,0,'Données projet'!$E$11+1,1))-AVERAGE(OFFSET($H$3,0,0,'Données projet'!$E$11+1,1))</f>
        <v>423.80243030843661</v>
      </c>
      <c r="BJ79" s="59">
        <f t="shared" si="92"/>
        <v>260.29028006191834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4.436989209787022</v>
      </c>
      <c r="BQ79" s="21">
        <f>EXP(-LN(2)/25)*BQ78+(1-EXP(-LN(2)/25))/(LN(2)/25)*Calculateur!BL79*Calculateur!BN79*VLOOKUP('Données projet'!$B$11,Paramètres!$A$1:$I$89,3,0)*0.475*44/12</f>
        <v>13.549296492214847</v>
      </c>
      <c r="BR79" s="21">
        <f>EXP(-LN(2)/2)*BR78+(1-EXP(-LN(2)/2))/(LN(2)/2)*BL79*BO79*VLOOKUP('Données projet'!$B$11,Paramètres!$A$1:$I$89,3,0)*0.475*44/12</f>
        <v>4.0488843014709772</v>
      </c>
      <c r="BS79" s="22">
        <f t="shared" si="63"/>
        <v>22.035170003472846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9.7839999999999971</v>
      </c>
      <c r="BY79" s="12">
        <f>IF('Données projet'!$A$114&gt;35,BY78+BX79-CG78,IF(A79&lt;'Données projet'!$A$114,$BV$205^A79,IF(A79='Données projet'!$A$114,'Données projet'!$B$114,BY78+BX79-CG78)))</f>
        <v>480.89399999999972</v>
      </c>
      <c r="BZ79" s="13">
        <f>BY79*VLOOKUP('Données projet'!$B$12,Paramètres!$A$1:$I$89,3,0)*VLOOKUP('Données projet'!$B$12,Paramètres!$A$1:$I$89,5,0)</f>
        <v>287.57461199999989</v>
      </c>
      <c r="CA79" s="13">
        <f t="shared" si="93"/>
        <v>68.565246901335968</v>
      </c>
      <c r="CB79" s="20">
        <f t="shared" si="64"/>
        <v>620.27692091982669</v>
      </c>
      <c r="CC79" s="59">
        <f t="shared" si="65"/>
        <v>889.36650530067618</v>
      </c>
      <c r="CD79" s="59">
        <f ca="1">AVERAGE(OFFSET($CC$3,0,0,'Données projet'!$E$12+1,1))-AVERAGE(OFFSET($H$3,0,0,'Données projet'!$E$12+1,1))</f>
        <v>373.61861223558259</v>
      </c>
      <c r="CE79" s="59">
        <f t="shared" si="94"/>
        <v>277.62293009761049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45.336608772135044</v>
      </c>
      <c r="CL79" s="21">
        <f>EXP(-LN(2)/25)*CL78+(1-EXP(-LN(2)/25))/(LN(2)/25)*Calculateur!CG79*Calculateur!CI79*VLOOKUP('Données projet'!$B$12,Paramètres!$A$1:$I$89,3,0)*0.475*44/12</f>
        <v>16.494123596448315</v>
      </c>
      <c r="CM79" s="21">
        <f>EXP(-LN(2)/2)*CM78+(1-EXP(-LN(2)/2))/(LN(2)/2)*CG79*CJ79*VLOOKUP('Données projet'!$B$12,Paramètres!$A$1:$I$89,3,0)*0.475*44/12</f>
        <v>1.1871572158367227</v>
      </c>
      <c r="CN79" s="22">
        <f t="shared" si="66"/>
        <v>63.017889584420075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182.93184000000002</v>
      </c>
      <c r="CV79" s="13">
        <f t="shared" si="95"/>
        <v>45.973851929814685</v>
      </c>
      <c r="CW79" s="20">
        <f t="shared" si="67"/>
        <v>398.67741344442726</v>
      </c>
      <c r="CX79" s="59">
        <f t="shared" si="68"/>
        <v>667.76699782527669</v>
      </c>
      <c r="CY79" s="59">
        <f ca="1">AVERAGE(OFFSET($CX$3,0,0,'Données projet'!$E$13+1,1))-AVERAGE(OFFSET($H$3,0,0,'Données projet'!$E$13+1,1))</f>
        <v>287.28439432670405</v>
      </c>
      <c r="CZ79" s="59">
        <f t="shared" si="96"/>
        <v>276.01618888357268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5.3720060609827245</v>
      </c>
      <c r="DG79" s="21">
        <f>EXP(-LN(2)/25)*DG78+(1-EXP(-LN(2)/25))/(LN(2)/25)*Calculateur!DB79*Calculateur!DD79*VLOOKUP('Données projet'!$B$13,Paramètres!$A$1:$I$89,3,0)*0.475*44/12</f>
        <v>9.5896536291058059</v>
      </c>
      <c r="DH79" s="21">
        <f>EXP(-LN(2)/2)*DH78+(1-EXP(-LN(2)/2))/(LN(2)/2)*DB79*DE79*VLOOKUP('Données projet'!$B$13,Paramètres!$A$1:$I$89,3,0)*0.475*44/12</f>
        <v>1.2717069032728641</v>
      </c>
      <c r="DI79" s="22">
        <f t="shared" si="69"/>
        <v>16.233366593361396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9">
        <f t="shared" si="55"/>
        <v>833.31444815049827</v>
      </c>
      <c r="S80" s="59">
        <f ca="1">AVERAGE(OFFSET($R$3,0,0,'Données projet'!$E$9+1,1))-AVERAGE(OFFSET($H$3,0,0,'Données projet'!$E$9+1,1))</f>
        <v>681.47578137804555</v>
      </c>
      <c r="T80" s="59">
        <f t="shared" si="88"/>
        <v>300.88511065995885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11.117500000000001</v>
      </c>
      <c r="AI80" s="13">
        <f>IF('Données projet'!$A$62&gt;35,AI79+AH80-AQ79,IF(A80&lt;'Données projet'!$A$62,$AF$205^A80,IF(A80='Données projet'!$A$62,'Données projet'!$B$62,AI79+AH80-AQ79)))</f>
        <v>336.21999999999991</v>
      </c>
      <c r="AJ80" s="13">
        <f>AI80*VLOOKUP('Données projet'!$B$10,Paramètres!$A$1:$I$89,3,0)*VLOOKUP('Données projet'!$B$10,Paramètres!$A$1:$I$89,5,0)</f>
        <v>157.35095999999996</v>
      </c>
      <c r="AK80" s="13">
        <f t="shared" si="89"/>
        <v>40.24443771922904</v>
      </c>
      <c r="AL80" s="20">
        <f t="shared" si="58"/>
        <v>344.14531769432386</v>
      </c>
      <c r="AM80" s="59">
        <f t="shared" si="59"/>
        <v>613.65547691859615</v>
      </c>
      <c r="AN80" s="59">
        <f ca="1">AVERAGE(OFFSET($AM$3,0,0,'Données projet'!$E$10+1,1))-AVERAGE(OFFSET($H$3,0,0,'Données projet'!$E$10+1,1))</f>
        <v>374.38106339726073</v>
      </c>
      <c r="AO80" s="59">
        <f t="shared" si="90"/>
        <v>296.53283288925957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43.539259875147799</v>
      </c>
      <c r="AV80" s="21">
        <f>EXP(-LN(2)/25)*AV79+(1-EXP(-LN(2)/25))/(LN(2)/25)*Calculateur!AQ80*Calculateur!AS80*VLOOKUP('Données projet'!$B$10,Paramètres!$A$1:$I$89,3,0)*0.475*44/12</f>
        <v>21.356342054318372</v>
      </c>
      <c r="AW80" s="21">
        <f>EXP(-LN(2)/2)*AW79+(1-EXP(-LN(2)/2))/(LN(2)/2)*AQ80*AT80*VLOOKUP('Données projet'!$B$10,Paramètres!$A$1:$I$89,3,0)*0.475*44/12</f>
        <v>2.7812363189299569</v>
      </c>
      <c r="AX80" s="21">
        <f t="shared" si="60"/>
        <v>67.676838248396123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231.23879999999991</v>
      </c>
      <c r="BF80" s="13">
        <f t="shared" si="91"/>
        <v>56.55045525673966</v>
      </c>
      <c r="BG80" s="20">
        <f t="shared" si="61"/>
        <v>501.23295290548805</v>
      </c>
      <c r="BH80" s="59">
        <f t="shared" si="62"/>
        <v>770.74311212976033</v>
      </c>
      <c r="BI80" s="59">
        <f ca="1">AVERAGE(OFFSET($BH$3,0,0,'Données projet'!$E$11+1,1))-AVERAGE(OFFSET($H$3,0,0,'Données projet'!$E$11+1,1))</f>
        <v>423.80243030843661</v>
      </c>
      <c r="BJ80" s="59">
        <f t="shared" si="92"/>
        <v>260.29028006191834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4.3499825576792919</v>
      </c>
      <c r="BQ80" s="21">
        <f>EXP(-LN(2)/25)*BQ79+(1-EXP(-LN(2)/25))/(LN(2)/25)*Calculateur!BL80*Calculateur!BN80*VLOOKUP('Données projet'!$B$11,Paramètres!$A$1:$I$89,3,0)*0.475*44/12</f>
        <v>13.178790267108697</v>
      </c>
      <c r="BR80" s="21">
        <f>EXP(-LN(2)/2)*BR79+(1-EXP(-LN(2)/2))/(LN(2)/2)*BL80*BO80*VLOOKUP('Données projet'!$B$11,Paramètres!$A$1:$I$89,3,0)*0.475*44/12</f>
        <v>2.8629935458098856</v>
      </c>
      <c r="BS80" s="22">
        <f t="shared" si="63"/>
        <v>20.391766370597875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9.7839999999999971</v>
      </c>
      <c r="BY80" s="12">
        <f>IF('Données projet'!$A$114&gt;35,BY79+BX80-CG79,IF(A80&lt;'Données projet'!$A$114,$BV$205^A80,IF(A80='Données projet'!$A$114,'Données projet'!$B$114,BY79+BX80-CG79)))</f>
        <v>490.67799999999971</v>
      </c>
      <c r="BZ80" s="13">
        <f>BY80*VLOOKUP('Données projet'!$B$12,Paramètres!$A$1:$I$89,3,0)*VLOOKUP('Données projet'!$B$12,Paramètres!$A$1:$I$89,5,0)</f>
        <v>293.42544399999986</v>
      </c>
      <c r="CA80" s="13">
        <f t="shared" si="93"/>
        <v>69.796411555705205</v>
      </c>
      <c r="CB80" s="20">
        <f t="shared" si="64"/>
        <v>632.61139842618638</v>
      </c>
      <c r="CC80" s="59">
        <f t="shared" si="65"/>
        <v>902.12155765045873</v>
      </c>
      <c r="CD80" s="59">
        <f ca="1">AVERAGE(OFFSET($CC$3,0,0,'Données projet'!$E$12+1,1))-AVERAGE(OFFSET($H$3,0,0,'Données projet'!$E$12+1,1))</f>
        <v>373.61861223558259</v>
      </c>
      <c r="CE80" s="59">
        <f t="shared" si="94"/>
        <v>277.62293009761049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44.447585526714356</v>
      </c>
      <c r="CL80" s="21">
        <f>EXP(-LN(2)/25)*CL79+(1-EXP(-LN(2)/25))/(LN(2)/25)*Calculateur!CG80*Calculateur!CI80*VLOOKUP('Données projet'!$B$12,Paramètres!$A$1:$I$89,3,0)*0.475*44/12</f>
        <v>16.043090919315173</v>
      </c>
      <c r="CM80" s="21">
        <f>EXP(-LN(2)/2)*CM79+(1-EXP(-LN(2)/2))/(LN(2)/2)*CG80*CJ80*VLOOKUP('Données projet'!$B$12,Paramètres!$A$1:$I$89,3,0)*0.475*44/12</f>
        <v>0.83944691765268853</v>
      </c>
      <c r="CN80" s="22">
        <f t="shared" si="66"/>
        <v>61.330123363682212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185.02848000000003</v>
      </c>
      <c r="CV80" s="13">
        <f t="shared" si="95"/>
        <v>46.43913001874585</v>
      </c>
      <c r="CW80" s="20">
        <f t="shared" si="67"/>
        <v>403.13942078264904</v>
      </c>
      <c r="CX80" s="59">
        <f t="shared" si="68"/>
        <v>672.64958000692127</v>
      </c>
      <c r="CY80" s="59">
        <f ca="1">AVERAGE(OFFSET($CX$3,0,0,'Données projet'!$E$13+1,1))-AVERAGE(OFFSET($H$3,0,0,'Données projet'!$E$13+1,1))</f>
        <v>287.28439432670405</v>
      </c>
      <c r="CZ80" s="59">
        <f t="shared" si="96"/>
        <v>276.01618888357268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5.2666642987270134</v>
      </c>
      <c r="DG80" s="21">
        <f>EXP(-LN(2)/25)*DG79+(1-EXP(-LN(2)/25))/(LN(2)/25)*Calculateur!DB80*Calculateur!DD80*VLOOKUP('Données projet'!$B$13,Paramètres!$A$1:$I$89,3,0)*0.475*44/12</f>
        <v>9.3274240463199405</v>
      </c>
      <c r="DH80" s="21">
        <f>EXP(-LN(2)/2)*DH79+(1-EXP(-LN(2)/2))/(LN(2)/2)*DB80*DE80*VLOOKUP('Données projet'!$B$13,Paramètres!$A$1:$I$89,3,0)*0.475*44/12</f>
        <v>0.89923257498598708</v>
      </c>
      <c r="DI80" s="22">
        <f t="shared" si="69"/>
        <v>15.493320920032941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9">
        <f t="shared" si="55"/>
        <v>851.97211446812946</v>
      </c>
      <c r="S81" s="59">
        <f ca="1">AVERAGE(OFFSET($R$3,0,0,'Données projet'!$E$9+1,1))-AVERAGE(OFFSET($H$3,0,0,'Données projet'!$E$9+1,1))</f>
        <v>681.47578137804555</v>
      </c>
      <c r="T81" s="59">
        <f t="shared" si="88"/>
        <v>300.88511065995885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11.117500000000001</v>
      </c>
      <c r="AI81" s="13">
        <f>IF('Données projet'!$A$62&gt;35,AI80+AH81-AQ80,IF(A81&lt;'Données projet'!$A$62,$AF$205^A81,IF(A81='Données projet'!$A$62,'Données projet'!$B$62,AI80+AH81-AQ80)))</f>
        <v>347.33749999999992</v>
      </c>
      <c r="AJ81" s="13">
        <f>AI81*VLOOKUP('Données projet'!$B$10,Paramètres!$A$1:$I$89,3,0)*VLOOKUP('Données projet'!$B$10,Paramètres!$A$1:$I$89,5,0)</f>
        <v>162.55394999999996</v>
      </c>
      <c r="AK81" s="13">
        <f t="shared" si="89"/>
        <v>41.418033959800411</v>
      </c>
      <c r="AL81" s="20">
        <f t="shared" si="58"/>
        <v>355.25120539665227</v>
      </c>
      <c r="AM81" s="59">
        <f t="shared" si="59"/>
        <v>625.17464343107849</v>
      </c>
      <c r="AN81" s="59">
        <f ca="1">AVERAGE(OFFSET($AM$3,0,0,'Données projet'!$E$10+1,1))-AVERAGE(OFFSET($H$3,0,0,'Données projet'!$E$10+1,1))</f>
        <v>374.38106339726073</v>
      </c>
      <c r="AO81" s="59">
        <f t="shared" si="90"/>
        <v>296.53283288925957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42.685481545322453</v>
      </c>
      <c r="AV81" s="21">
        <f>EXP(-LN(2)/25)*AV80+(1-EXP(-LN(2)/25))/(LN(2)/25)*Calculateur!AQ81*Calculateur!AS81*VLOOKUP('Données projet'!$B$10,Paramètres!$A$1:$I$89,3,0)*0.475*44/12</f>
        <v>20.772351757761818</v>
      </c>
      <c r="AW81" s="21">
        <f>EXP(-LN(2)/2)*AW80+(1-EXP(-LN(2)/2))/(LN(2)/2)*AQ81*AT81*VLOOKUP('Données projet'!$B$10,Paramètres!$A$1:$I$89,3,0)*0.475*44/12</f>
        <v>1.966631061197684</v>
      </c>
      <c r="AX81" s="21">
        <f t="shared" si="60"/>
        <v>65.42446436428196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236.94839999999991</v>
      </c>
      <c r="BF81" s="13">
        <f t="shared" si="91"/>
        <v>57.782475694292401</v>
      </c>
      <c r="BG81" s="20">
        <f t="shared" si="61"/>
        <v>513.32294183422573</v>
      </c>
      <c r="BH81" s="59">
        <f t="shared" si="62"/>
        <v>783.24637986865196</v>
      </c>
      <c r="BI81" s="59">
        <f ca="1">AVERAGE(OFFSET($BH$3,0,0,'Données projet'!$E$11+1,1))-AVERAGE(OFFSET($H$3,0,0,'Données projet'!$E$11+1,1))</f>
        <v>423.80243030843661</v>
      </c>
      <c r="BJ81" s="59">
        <f t="shared" si="92"/>
        <v>260.29028006191834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4.2646820529505769</v>
      </c>
      <c r="BQ81" s="21">
        <f>EXP(-LN(2)/25)*BQ80+(1-EXP(-LN(2)/25))/(LN(2)/25)*Calculateur!BL81*Calculateur!BN81*VLOOKUP('Données projet'!$B$11,Paramètres!$A$1:$I$89,3,0)*0.475*44/12</f>
        <v>12.81841555421215</v>
      </c>
      <c r="BR81" s="21">
        <f>EXP(-LN(2)/2)*BR80+(1-EXP(-LN(2)/2))/(LN(2)/2)*BL81*BO81*VLOOKUP('Données projet'!$B$11,Paramètres!$A$1:$I$89,3,0)*0.475*44/12</f>
        <v>2.0244421507354886</v>
      </c>
      <c r="BS81" s="22">
        <f t="shared" si="63"/>
        <v>19.107539757898216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9.7839999999999971</v>
      </c>
      <c r="BY81" s="12">
        <f>IF('Données projet'!$A$114&gt;35,BY80+BX81-CG80,IF(A81&lt;'Données projet'!$A$114,$BV$205^A81,IF(A81='Données projet'!$A$114,'Données projet'!$B$114,BY80+BX81-CG80)))</f>
        <v>500.4619999999997</v>
      </c>
      <c r="BZ81" s="13">
        <f>BY81*VLOOKUP('Données projet'!$B$12,Paramètres!$A$1:$I$89,3,0)*VLOOKUP('Données projet'!$B$12,Paramètres!$A$1:$I$89,5,0)</f>
        <v>299.27627599999983</v>
      </c>
      <c r="CA81" s="13">
        <f t="shared" si="93"/>
        <v>71.024721805685132</v>
      </c>
      <c r="CB81" s="20">
        <f t="shared" si="64"/>
        <v>644.94090451156796</v>
      </c>
      <c r="CC81" s="59">
        <f t="shared" si="65"/>
        <v>914.86434254599419</v>
      </c>
      <c r="CD81" s="59">
        <f ca="1">AVERAGE(OFFSET($CC$3,0,0,'Données projet'!$E$12+1,1))-AVERAGE(OFFSET($H$3,0,0,'Données projet'!$E$12+1,1))</f>
        <v>373.61861223558259</v>
      </c>
      <c r="CE81" s="59">
        <f t="shared" si="94"/>
        <v>277.62293009761049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43.57599548488573</v>
      </c>
      <c r="CL81" s="21">
        <f>EXP(-LN(2)/25)*CL80+(1-EXP(-LN(2)/25))/(LN(2)/25)*Calculateur!CG81*Calculateur!CI81*VLOOKUP('Données projet'!$B$12,Paramètres!$A$1:$I$89,3,0)*0.475*44/12</f>
        <v>15.604391754457016</v>
      </c>
      <c r="CM81" s="21">
        <f>EXP(-LN(2)/2)*CM80+(1-EXP(-LN(2)/2))/(LN(2)/2)*CG81*CJ81*VLOOKUP('Données projet'!$B$12,Paramètres!$A$1:$I$89,3,0)*0.475*44/12</f>
        <v>0.59357860791836148</v>
      </c>
      <c r="CN81" s="22">
        <f t="shared" si="66"/>
        <v>59.77396584726111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187.12512000000004</v>
      </c>
      <c r="CV81" s="13">
        <f t="shared" si="95"/>
        <v>46.903794805770545</v>
      </c>
      <c r="CW81" s="20">
        <f t="shared" si="67"/>
        <v>407.60035995338376</v>
      </c>
      <c r="CX81" s="59">
        <f t="shared" si="68"/>
        <v>677.52379798780998</v>
      </c>
      <c r="CY81" s="59">
        <f ca="1">AVERAGE(OFFSET($CX$3,0,0,'Données projet'!$E$13+1,1))-AVERAGE(OFFSET($H$3,0,0,'Données projet'!$E$13+1,1))</f>
        <v>287.28439432670405</v>
      </c>
      <c r="CZ81" s="59">
        <f t="shared" si="96"/>
        <v>276.01618888357268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5.1633882241770062</v>
      </c>
      <c r="DG81" s="21">
        <f>EXP(-LN(2)/25)*DG80+(1-EXP(-LN(2)/25))/(LN(2)/25)*Calculateur!DB81*Calculateur!DD81*VLOOKUP('Données projet'!$B$13,Paramètres!$A$1:$I$89,3,0)*0.475*44/12</f>
        <v>9.0723651452654099</v>
      </c>
      <c r="DH81" s="21">
        <f>EXP(-LN(2)/2)*DH80+(1-EXP(-LN(2)/2))/(LN(2)/2)*DB81*DE81*VLOOKUP('Données projet'!$B$13,Paramètres!$A$1:$I$89,3,0)*0.475*44/12</f>
        <v>0.63585345163643214</v>
      </c>
      <c r="DI81" s="22">
        <f t="shared" si="69"/>
        <v>14.871606821078849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9">
        <f t="shared" si="55"/>
        <v>870.61069190948115</v>
      </c>
      <c r="S82" s="59">
        <f ca="1">AVERAGE(OFFSET($R$3,0,0,'Données projet'!$E$9+1,1))-AVERAGE(OFFSET($H$3,0,0,'Données projet'!$E$9+1,1))</f>
        <v>681.47578137804555</v>
      </c>
      <c r="T82" s="59">
        <f t="shared" si="88"/>
        <v>300.88511065995885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11.117500000000001</v>
      </c>
      <c r="AI82" s="13">
        <f>IF('Données projet'!$A$62&gt;35,AI81+AH82-AQ81,IF(A82&lt;'Données projet'!$A$62,$AF$205^A82,IF(A82='Données projet'!$A$62,'Données projet'!$B$62,AI81+AH82-AQ81)))</f>
        <v>358.45499999999993</v>
      </c>
      <c r="AJ82" s="13">
        <f>AI82*VLOOKUP('Données projet'!$B$10,Paramètres!$A$1:$I$89,3,0)*VLOOKUP('Données projet'!$B$10,Paramètres!$A$1:$I$89,5,0)</f>
        <v>167.75693999999999</v>
      </c>
      <c r="AK82" s="13">
        <f t="shared" si="89"/>
        <v>42.587265074910924</v>
      </c>
      <c r="AL82" s="20">
        <f t="shared" si="58"/>
        <v>366.34949050546987</v>
      </c>
      <c r="AM82" s="59">
        <f t="shared" si="59"/>
        <v>636.67903788664682</v>
      </c>
      <c r="AN82" s="59">
        <f ca="1">AVERAGE(OFFSET($AM$3,0,0,'Données projet'!$E$10+1,1))-AVERAGE(OFFSET($H$3,0,0,'Données projet'!$E$10+1,1))</f>
        <v>374.38106339726073</v>
      </c>
      <c r="AO82" s="59">
        <f t="shared" si="90"/>
        <v>296.53283288925957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41.84844528779162</v>
      </c>
      <c r="AV82" s="21">
        <f>EXP(-LN(2)/25)*AV81+(1-EXP(-LN(2)/25))/(LN(2)/25)*Calculateur!AQ82*Calculateur!AS82*VLOOKUP('Données projet'!$B$10,Paramètres!$A$1:$I$89,3,0)*0.475*44/12</f>
        <v>20.20433070657532</v>
      </c>
      <c r="AW82" s="21">
        <f>EXP(-LN(2)/2)*AW81+(1-EXP(-LN(2)/2))/(LN(2)/2)*AQ82*AT82*VLOOKUP('Données projet'!$B$10,Paramètres!$A$1:$I$89,3,0)*0.475*44/12</f>
        <v>1.3906181594649787</v>
      </c>
      <c r="AX82" s="21">
        <f t="shared" si="60"/>
        <v>63.443394153831917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242.6579999999999</v>
      </c>
      <c r="BF82" s="13">
        <f t="shared" si="91"/>
        <v>59.011045025839607</v>
      </c>
      <c r="BG82" s="20">
        <f t="shared" si="61"/>
        <v>525.40692008667054</v>
      </c>
      <c r="BH82" s="59">
        <f t="shared" si="62"/>
        <v>795.73646746784743</v>
      </c>
      <c r="BI82" s="59">
        <f ca="1">AVERAGE(OFFSET($BH$3,0,0,'Données projet'!$E$11+1,1))-AVERAGE(OFFSET($H$3,0,0,'Données projet'!$E$11+1,1))</f>
        <v>423.80243030843661</v>
      </c>
      <c r="BJ82" s="59">
        <f t="shared" si="92"/>
        <v>260.29028006191834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4.1810542390914209</v>
      </c>
      <c r="BQ82" s="21">
        <f>EXP(-LN(2)/25)*BQ81+(1-EXP(-LN(2)/25))/(LN(2)/25)*Calculateur!BL82*Calculateur!BN82*VLOOKUP('Données projet'!$B$11,Paramètres!$A$1:$I$89,3,0)*0.475*44/12</f>
        <v>12.467895306791041</v>
      </c>
      <c r="BR82" s="21">
        <f>EXP(-LN(2)/2)*BR81+(1-EXP(-LN(2)/2))/(LN(2)/2)*BL82*BO82*VLOOKUP('Données projet'!$B$11,Paramètres!$A$1:$I$89,3,0)*0.475*44/12</f>
        <v>1.4314967729049428</v>
      </c>
      <c r="BS82" s="22">
        <f t="shared" si="63"/>
        <v>18.080446318787406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9.7839999999999971</v>
      </c>
      <c r="BY82" s="12">
        <f>IF('Données projet'!$A$114&gt;35,BY81+BX82-CG81,IF(A82&lt;'Données projet'!$A$114,$BV$205^A82,IF(A82='Données projet'!$A$114,'Données projet'!$B$114,BY81+BX82-CG81)))</f>
        <v>510.2459999999997</v>
      </c>
      <c r="BZ82" s="13">
        <f>BY82*VLOOKUP('Données projet'!$B$12,Paramètres!$A$1:$I$89,3,0)*VLOOKUP('Données projet'!$B$12,Paramètres!$A$1:$I$89,5,0)</f>
        <v>305.12710799999985</v>
      </c>
      <c r="CA82" s="13">
        <f t="shared" si="93"/>
        <v>72.25023988738603</v>
      </c>
      <c r="CB82" s="20">
        <f t="shared" si="64"/>
        <v>657.26554757053043</v>
      </c>
      <c r="CC82" s="59">
        <f t="shared" si="65"/>
        <v>927.59509495170732</v>
      </c>
      <c r="CD82" s="59">
        <f ca="1">AVERAGE(OFFSET($CC$3,0,0,'Données projet'!$E$12+1,1))-AVERAGE(OFFSET($H$3,0,0,'Données projet'!$E$12+1,1))</f>
        <v>373.61861223558259</v>
      </c>
      <c r="CE82" s="59">
        <f t="shared" si="94"/>
        <v>277.62293009761049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42.721496792159932</v>
      </c>
      <c r="CL82" s="21">
        <f>EXP(-LN(2)/25)*CL81+(1-EXP(-LN(2)/25))/(LN(2)/25)*Calculateur!CG82*Calculateur!CI82*VLOOKUP('Données projet'!$B$12,Paramètres!$A$1:$I$89,3,0)*0.475*44/12</f>
        <v>15.17768884133209</v>
      </c>
      <c r="CM82" s="21">
        <f>EXP(-LN(2)/2)*CM81+(1-EXP(-LN(2)/2))/(LN(2)/2)*CG82*CJ82*VLOOKUP('Données projet'!$B$12,Paramètres!$A$1:$I$89,3,0)*0.475*44/12</f>
        <v>0.41972345882634432</v>
      </c>
      <c r="CN82" s="22">
        <f t="shared" si="66"/>
        <v>58.318909092318371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189.22176000000005</v>
      </c>
      <c r="CV82" s="13">
        <f t="shared" si="95"/>
        <v>47.367853957810077</v>
      </c>
      <c r="CW82" s="20">
        <f t="shared" si="67"/>
        <v>412.06024430985258</v>
      </c>
      <c r="CX82" s="59">
        <f t="shared" si="68"/>
        <v>682.38979169102959</v>
      </c>
      <c r="CY82" s="59">
        <f ca="1">AVERAGE(OFFSET($CX$3,0,0,'Données projet'!$E$13+1,1))-AVERAGE(OFFSET($H$3,0,0,'Données projet'!$E$13+1,1))</f>
        <v>287.28439432670405</v>
      </c>
      <c r="CZ82" s="59">
        <f t="shared" si="96"/>
        <v>276.01618888357268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5.0621373304567392</v>
      </c>
      <c r="DG82" s="21">
        <f>EXP(-LN(2)/25)*DG81+(1-EXP(-LN(2)/25))/(LN(2)/25)*Calculateur!DB82*Calculateur!DD82*VLOOKUP('Données projet'!$B$13,Paramètres!$A$1:$I$89,3,0)*0.475*44/12</f>
        <v>8.8242808432731792</v>
      </c>
      <c r="DH82" s="21">
        <f>EXP(-LN(2)/2)*DH81+(1-EXP(-LN(2)/2))/(LN(2)/2)*DB82*DE82*VLOOKUP('Données projet'!$B$13,Paramètres!$A$1:$I$89,3,0)*0.475*44/12</f>
        <v>0.44961628749299365</v>
      </c>
      <c r="DI82" s="22">
        <f t="shared" si="69"/>
        <v>14.336034461222912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9">
        <f t="shared" si="55"/>
        <v>889.23071757123694</v>
      </c>
      <c r="S83" s="59">
        <f ca="1">AVERAGE(OFFSET($R$3,0,0,'Données projet'!$E$9+1,1))-AVERAGE(OFFSET($H$3,0,0,'Données projet'!$E$9+1,1))</f>
        <v>681.47578137804555</v>
      </c>
      <c r="T83" s="59">
        <f t="shared" si="88"/>
        <v>300.88511065995885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11.117500000000001</v>
      </c>
      <c r="AI83" s="13">
        <f>IF('Données projet'!$A$62&gt;35,AI82+AH83-AQ82,IF(A83&lt;'Données projet'!$A$62,$AF$205^A83,IF(A83='Données projet'!$A$62,'Données projet'!$B$62,AI82+AH83-AQ82)))</f>
        <v>369.57249999999993</v>
      </c>
      <c r="AJ83" s="13">
        <f>AI83*VLOOKUP('Données projet'!$B$10,Paramètres!$A$1:$I$89,3,0)*VLOOKUP('Données projet'!$B$10,Paramètres!$A$1:$I$89,5,0)</f>
        <v>172.95992999999996</v>
      </c>
      <c r="AK83" s="13">
        <f t="shared" si="89"/>
        <v>43.752281984506958</v>
      </c>
      <c r="AL83" s="20">
        <f t="shared" si="58"/>
        <v>377.44043587301621</v>
      </c>
      <c r="AM83" s="59">
        <f t="shared" si="59"/>
        <v>648.16904751170227</v>
      </c>
      <c r="AN83" s="59">
        <f ca="1">AVERAGE(OFFSET($AM$3,0,0,'Données projet'!$E$10+1,1))-AVERAGE(OFFSET($H$3,0,0,'Données projet'!$E$10+1,1))</f>
        <v>374.38106339726073</v>
      </c>
      <c r="AO83" s="59">
        <f t="shared" si="90"/>
        <v>296.53283288925957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41.027822800729261</v>
      </c>
      <c r="AV83" s="21">
        <f>EXP(-LN(2)/25)*AV82+(1-EXP(-LN(2)/25))/(LN(2)/25)*Calculateur!AQ83*Calculateur!AS83*VLOOKUP('Données projet'!$B$10,Paramètres!$A$1:$I$89,3,0)*0.475*44/12</f>
        <v>19.651842220904442</v>
      </c>
      <c r="AW83" s="21">
        <f>EXP(-LN(2)/2)*AW82+(1-EXP(-LN(2)/2))/(LN(2)/2)*AQ83*AT83*VLOOKUP('Données projet'!$B$10,Paramètres!$A$1:$I$89,3,0)*0.475*44/12</f>
        <v>0.98331553059884225</v>
      </c>
      <c r="AX83" s="21">
        <f t="shared" si="60"/>
        <v>61.662980552232547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248.3675999999999</v>
      </c>
      <c r="BF83" s="13">
        <f t="shared" si="91"/>
        <v>60.236253798706286</v>
      </c>
      <c r="BG83" s="20">
        <f t="shared" si="61"/>
        <v>537.48504536607982</v>
      </c>
      <c r="BH83" s="59">
        <f t="shared" si="62"/>
        <v>808.21365700476599</v>
      </c>
      <c r="BI83" s="59">
        <f ca="1">AVERAGE(OFFSET($BH$3,0,0,'Données projet'!$E$11+1,1))-AVERAGE(OFFSET($H$3,0,0,'Données projet'!$E$11+1,1))</f>
        <v>423.80243030843661</v>
      </c>
      <c r="BJ83" s="59">
        <f t="shared" si="92"/>
        <v>260.29028006191834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0.1075</v>
      </c>
      <c r="BN83" s="16">
        <f>IF(ISNA(VLOOKUP(A83,'Données projet'!$A$87:$I$107,6,0)),0%,VLOOKUP(A83,'Données projet'!$A$87:$I$107,6,0)*VLOOKUP('Données projet'!$B$11,Paramètres!$A$1:$I$89,7,0))</f>
        <v>0.1075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6.4738786873708385</v>
      </c>
      <c r="BQ83" s="21">
        <f>EXP(-LN(2)/25)*BQ82+(1-EXP(-LN(2)/25))/(LN(2)/25)*Calculateur!BL83*Calculateur!BN83*VLOOKUP('Données projet'!$B$11,Paramètres!$A$1:$I$89,3,0)*0.475*44/12</f>
        <v>14.492421884503544</v>
      </c>
      <c r="BR83" s="21">
        <f>EXP(-LN(2)/2)*BR82+(1-EXP(-LN(2)/2))/(LN(2)/2)*BL83*BO83*VLOOKUP('Données projet'!$B$11,Paramètres!$A$1:$I$89,3,0)*0.475*44/12</f>
        <v>5.7259871880448037</v>
      </c>
      <c r="BS83" s="22">
        <f t="shared" si="63"/>
        <v>26.692287759919189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520.03</v>
      </c>
      <c r="BW83" s="12">
        <f>VLOOKUP(A83,'Données projet'!$A$113:$I$133,9,0)</f>
        <v>9.7839999999999971</v>
      </c>
      <c r="BX83" s="12">
        <f t="array" ref="BX83">INDEX(BW:BW,MIN(IF(ISNUMBER(BW83:BW279),ROW(BW83:BW279),"")))</f>
        <v>9.7839999999999971</v>
      </c>
      <c r="BY83" s="12">
        <f>IF('Données projet'!$A$114&gt;35,BY82+BX83-CG82,IF(A83&lt;'Données projet'!$A$114,$BV$205^A83,IF(A83='Données projet'!$A$114,'Données projet'!$B$114,BY82+BX83-CG82)))</f>
        <v>520.02999999999975</v>
      </c>
      <c r="BZ83" s="13">
        <f>BY83*VLOOKUP('Données projet'!$B$12,Paramètres!$A$1:$I$89,3,0)*VLOOKUP('Données projet'!$B$12,Paramètres!$A$1:$I$89,5,0)</f>
        <v>310.97793999999988</v>
      </c>
      <c r="CA83" s="13">
        <f t="shared" si="93"/>
        <v>73.473025513598785</v>
      </c>
      <c r="CB83" s="20">
        <f t="shared" si="64"/>
        <v>669.58543160285092</v>
      </c>
      <c r="CC83" s="59">
        <f t="shared" si="65"/>
        <v>940.31404324153709</v>
      </c>
      <c r="CD83" s="59">
        <f ca="1">AVERAGE(OFFSET($CC$3,0,0,'Données projet'!$E$12+1,1))-AVERAGE(OFFSET($H$3,0,0,'Données projet'!$E$12+1,1))</f>
        <v>373.61861223558259</v>
      </c>
      <c r="CE83" s="59">
        <f t="shared" si="94"/>
        <v>277.62293009761049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520.03</v>
      </c>
      <c r="CH83" s="16">
        <f>IF(ISNA(VLOOKUP(A83,'Données projet'!$A$113:$I$133,5,0)),0%,VLOOKUP(A83,'Données projet'!$A$113:$I$133,5,0)*VLOOKUP('Données projet'!$B$12,Paramètres!$A$1:$I$89,7,0))</f>
        <v>0.27</v>
      </c>
      <c r="CI83" s="16">
        <f>IF(ISNA(VLOOKUP(A83,'Données projet'!$A$113:$I$133,6,0)),0%,VLOOKUP(A83,'Données projet'!$A$113:$I$133,6,0)*VLOOKUP('Données projet'!$B$12,Paramètres!$A$1:$I$89,7,0))</f>
        <v>9.0000000000000011E-2</v>
      </c>
      <c r="CJ83" s="16">
        <f>IF(ISNA(VLOOKUP(A83,'Données projet'!$A$113:$I$133,7,0)),0%,VLOOKUP(A83,'Données projet'!$A$113:$I$133,7,0))</f>
        <v>0.2</v>
      </c>
      <c r="CK83" s="21">
        <f>EXP(-LN(2)/35)*CK82+(1-EXP(-LN(2)/35))/(LN(2)/35)*CG83*CH83*VLOOKUP('Données projet'!$B$12,Paramètres!$A$1:$I$89,3,0)*0.475*44/12</f>
        <v>153.26747033765446</v>
      </c>
      <c r="CL83" s="21">
        <f>EXP(-LN(2)/25)*CL82+(1-EXP(-LN(2)/25))/(LN(2)/25)*Calculateur!CG83*Calculateur!CI83*VLOOKUP('Données projet'!$B$12,Paramètres!$A$1:$I$89,3,0)*0.475*44/12</f>
        <v>51.744372778297887</v>
      </c>
      <c r="CM83" s="21">
        <f>EXP(-LN(2)/2)*CM82+(1-EXP(-LN(2)/2))/(LN(2)/2)*CG83*CJ83*VLOOKUP('Données projet'!$B$12,Paramètres!$A$1:$I$89,3,0)*0.475*44/12</f>
        <v>70.716642801208678</v>
      </c>
      <c r="CN83" s="22">
        <f t="shared" si="66"/>
        <v>275.72848591716104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191.31840000000005</v>
      </c>
      <c r="CV83" s="13">
        <f t="shared" si="95"/>
        <v>47.831314962098396</v>
      </c>
      <c r="CW83" s="20">
        <f t="shared" si="67"/>
        <v>416.51908689232141</v>
      </c>
      <c r="CX83" s="59">
        <f t="shared" si="68"/>
        <v>687.24769853100747</v>
      </c>
      <c r="CY83" s="59">
        <f ca="1">AVERAGE(OFFSET($CX$3,0,0,'Données projet'!$E$13+1,1))-AVERAGE(OFFSET($H$3,0,0,'Données projet'!$E$13+1,1))</f>
        <v>287.28439432670405</v>
      </c>
      <c r="CZ83" s="59">
        <f t="shared" si="96"/>
        <v>276.01618888357268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219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32.986201119407255</v>
      </c>
      <c r="DG83" s="21">
        <f>EXP(-LN(2)/25)*DG82+(1-EXP(-LN(2)/25))/(LN(2)/25)*Calculateur!DB83*Calculateur!DD83*VLOOKUP('Données projet'!$B$13,Paramètres!$A$1:$I$89,3,0)*0.475*44/12</f>
        <v>36.495971109124334</v>
      </c>
      <c r="DH83" s="21">
        <f>EXP(-LN(2)/2)*DH82+(1-EXP(-LN(2)/2))/(LN(2)/2)*DB83*DE83*VLOOKUP('Données projet'!$B$13,Paramètres!$A$1:$I$89,3,0)*0.475*44/12</f>
        <v>45.446441640628109</v>
      </c>
      <c r="DI83" s="22">
        <f t="shared" si="69"/>
        <v>114.9286138691597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9">
        <f t="shared" si="55"/>
        <v>907.8327001118364</v>
      </c>
      <c r="S84" s="59">
        <f ca="1">AVERAGE(OFFSET($R$3,0,0,'Données projet'!$E$9+1,1))-AVERAGE(OFFSET($H$3,0,0,'Données projet'!$E$9+1,1))</f>
        <v>681.47578137804555</v>
      </c>
      <c r="T84" s="59">
        <f t="shared" si="88"/>
        <v>300.88511065995885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11.117500000000001</v>
      </c>
      <c r="AI84" s="13">
        <f>IF('Données projet'!$A$62&gt;35,AI83+AH84-AQ83,IF(A84&lt;'Données projet'!$A$62,$AF$205^A84,IF(A84='Données projet'!$A$62,'Données projet'!$B$62,AI83+AH84-AQ83)))</f>
        <v>380.68999999999994</v>
      </c>
      <c r="AJ84" s="13">
        <f>AI84*VLOOKUP('Données projet'!$B$10,Paramètres!$A$1:$I$89,3,0)*VLOOKUP('Données projet'!$B$10,Paramètres!$A$1:$I$89,5,0)</f>
        <v>178.16291999999999</v>
      </c>
      <c r="AK84" s="13">
        <f t="shared" si="89"/>
        <v>44.913226012533627</v>
      </c>
      <c r="AL84" s="20">
        <f t="shared" si="58"/>
        <v>388.52428763849611</v>
      </c>
      <c r="AM84" s="59">
        <f t="shared" si="59"/>
        <v>659.64504066199754</v>
      </c>
      <c r="AN84" s="59">
        <f ca="1">AVERAGE(OFFSET($AM$3,0,0,'Données projet'!$E$10+1,1))-AVERAGE(OFFSET($H$3,0,0,'Données projet'!$E$10+1,1))</f>
        <v>374.38106339726073</v>
      </c>
      <c r="AO84" s="59">
        <f t="shared" si="90"/>
        <v>296.53283288925957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40.223292220107908</v>
      </c>
      <c r="AV84" s="21">
        <f>EXP(-LN(2)/25)*AV83+(1-EXP(-LN(2)/25))/(LN(2)/25)*Calculateur!AQ84*Calculateur!AS84*VLOOKUP('Données projet'!$B$10,Paramètres!$A$1:$I$89,3,0)*0.475*44/12</f>
        <v>19.114461561928341</v>
      </c>
      <c r="AW84" s="21">
        <f>EXP(-LN(2)/2)*AW83+(1-EXP(-LN(2)/2))/(LN(2)/2)*AQ84*AT84*VLOOKUP('Données projet'!$B$10,Paramètres!$A$1:$I$89,3,0)*0.475*44/12</f>
        <v>0.69530907973248945</v>
      </c>
      <c r="AX84" s="21">
        <f t="shared" si="60"/>
        <v>60.033062861768734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</v>
      </c>
      <c r="BE84" s="13">
        <f>BD84*VLOOKUP('Données projet'!$B$11,Paramètres!$A$1:$I$89,3,0)*VLOOKUP('Données projet'!$B$11,Paramètres!$A$1:$I$89,5,0)</f>
        <v>233.90327999999991</v>
      </c>
      <c r="BF84" s="13">
        <f t="shared" si="91"/>
        <v>57.125833544518095</v>
      </c>
      <c r="BG84" s="20">
        <f t="shared" si="61"/>
        <v>506.87570609003546</v>
      </c>
      <c r="BH84" s="59">
        <f t="shared" si="62"/>
        <v>777.99645911353696</v>
      </c>
      <c r="BI84" s="59">
        <f ca="1">AVERAGE(OFFSET($BH$3,0,0,'Données projet'!$E$11+1,1))-AVERAGE(OFFSET($H$3,0,0,'Données projet'!$E$11+1,1))</f>
        <v>423.80243030843661</v>
      </c>
      <c r="BJ84" s="59">
        <f t="shared" si="92"/>
        <v>260.29028006191834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6.3469298749875964</v>
      </c>
      <c r="BQ84" s="21">
        <f>EXP(-LN(2)/25)*BQ83+(1-EXP(-LN(2)/25))/(LN(2)/25)*Calculateur!BL84*Calculateur!BN84*VLOOKUP('Données projet'!$B$11,Paramètres!$A$1:$I$89,3,0)*0.475*44/12</f>
        <v>14.096125845948452</v>
      </c>
      <c r="BR84" s="21">
        <f>EXP(-LN(2)/2)*BR83+(1-EXP(-LN(2)/2))/(LN(2)/2)*BL84*BO84*VLOOKUP('Données projet'!$B$11,Paramètres!$A$1:$I$89,3,0)*0.475*44/12</f>
        <v>4.0488843696537717</v>
      </c>
      <c r="BS84" s="22">
        <f t="shared" si="63"/>
        <v>24.491940090589821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-2.2737367544323206E-13</v>
      </c>
      <c r="BZ84" s="13">
        <f>BY84*VLOOKUP('Données projet'!$B$12,Paramètres!$A$1:$I$89,3,0)*VLOOKUP('Données projet'!$B$12,Paramètres!$A$1:$I$89,5,0)</f>
        <v>-1.3596945791505279E-13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373.61861223558259</v>
      </c>
      <c r="CE84" s="59">
        <f t="shared" si="94"/>
        <v>277.62293009761049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150.26198872825918</v>
      </c>
      <c r="CL84" s="21">
        <f>EXP(-LN(2)/25)*CL83+(1-EXP(-LN(2)/25))/(LN(2)/25)*Calculateur!CG84*Calculateur!CI84*VLOOKUP('Données projet'!$B$12,Paramètres!$A$1:$I$89,3,0)*0.475*44/12</f>
        <v>50.329420183557033</v>
      </c>
      <c r="CM84" s="21">
        <f>EXP(-LN(2)/2)*CM83+(1-EXP(-LN(2)/2))/(LN(2)/2)*CG84*CJ84*VLOOKUP('Données projet'!$B$12,Paramètres!$A$1:$I$89,3,0)*0.475*44/12</f>
        <v>50.004217667481512</v>
      </c>
      <c r="CN84" s="22">
        <f t="shared" si="66"/>
        <v>250.59562657929774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2.8421709430404007E-14</v>
      </c>
      <c r="CU84" s="17">
        <f>CT84*VLOOKUP('Données projet'!$B$13,Paramètres!$A$1:$I$89,3,0)*VLOOKUP('Données projet'!$B$13,Paramètres!$A$1:$I$89,5,0)</f>
        <v>2.4829205358400945E-14</v>
      </c>
      <c r="CV84" s="13">
        <f t="shared" si="95"/>
        <v>4.3867331143352915E-13</v>
      </c>
      <c r="CW84" s="20">
        <f t="shared" si="67"/>
        <v>8.0726688341261168E-13</v>
      </c>
      <c r="CX84" s="59">
        <f t="shared" si="68"/>
        <v>271.12075302350223</v>
      </c>
      <c r="CY84" s="59">
        <f ca="1">AVERAGE(OFFSET($CX$3,0,0,'Données projet'!$E$13+1,1))-AVERAGE(OFFSET($H$3,0,0,'Données projet'!$E$13+1,1))</f>
        <v>287.28439432670405</v>
      </c>
      <c r="CZ84" s="59">
        <f t="shared" si="96"/>
        <v>276.01618888357268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32.339361835051719</v>
      </c>
      <c r="DG84" s="21">
        <f>EXP(-LN(2)/25)*DG83+(1-EXP(-LN(2)/25))/(LN(2)/25)*Calculateur!DB84*Calculateur!DD84*VLOOKUP('Données projet'!$B$13,Paramètres!$A$1:$I$89,3,0)*0.475*44/12</f>
        <v>35.497986859905623</v>
      </c>
      <c r="DH84" s="21">
        <f>EXP(-LN(2)/2)*DH83+(1-EXP(-LN(2)/2))/(LN(2)/2)*DB84*DE84*VLOOKUP('Données projet'!$B$13,Paramètres!$A$1:$I$89,3,0)*0.475*44/12</f>
        <v>32.135487064886824</v>
      </c>
      <c r="DI84" s="22">
        <f t="shared" si="69"/>
        <v>99.972835759844173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9">
        <f t="shared" si="55"/>
        <v>926.41712218141379</v>
      </c>
      <c r="S85" s="59">
        <f ca="1">AVERAGE(OFFSET($R$3,0,0,'Données projet'!$E$9+1,1))-AVERAGE(OFFSET($H$3,0,0,'Données projet'!$E$9+1,1))</f>
        <v>681.47578137804555</v>
      </c>
      <c r="T85" s="59">
        <f t="shared" si="88"/>
        <v>300.88511065995885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11.117500000000001</v>
      </c>
      <c r="AI85" s="13">
        <f>IF('Données projet'!$A$62&gt;35,AI84+AH85-AQ84,IF(A85&lt;'Données projet'!$A$62,$AF$205^A85,IF(A85='Données projet'!$A$62,'Données projet'!$B$62,AI84+AH85-AQ84)))</f>
        <v>391.80749999999995</v>
      </c>
      <c r="AJ85" s="13">
        <f>AI85*VLOOKUP('Données projet'!$B$10,Paramètres!$A$1:$I$89,3,0)*VLOOKUP('Données projet'!$B$10,Paramètres!$A$1:$I$89,5,0)</f>
        <v>183.36590999999999</v>
      </c>
      <c r="AK85" s="13">
        <f t="shared" si="89"/>
        <v>46.070229759286974</v>
      </c>
      <c r="AL85" s="20">
        <f t="shared" si="58"/>
        <v>399.60127674742472</v>
      </c>
      <c r="AM85" s="59">
        <f t="shared" si="59"/>
        <v>671.10736837941181</v>
      </c>
      <c r="AN85" s="59">
        <f ca="1">AVERAGE(OFFSET($AM$3,0,0,'Données projet'!$E$10+1,1))-AVERAGE(OFFSET($H$3,0,0,'Données projet'!$E$10+1,1))</f>
        <v>374.38106339726073</v>
      </c>
      <c r="AO85" s="59">
        <f t="shared" si="90"/>
        <v>296.53283288925957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39.434537993457333</v>
      </c>
      <c r="AV85" s="21">
        <f>EXP(-LN(2)/25)*AV84+(1-EXP(-LN(2)/25))/(LN(2)/25)*Calculateur!AQ85*Calculateur!AS85*VLOOKUP('Données projet'!$B$10,Paramètres!$A$1:$I$89,3,0)*0.475*44/12</f>
        <v>18.591775605331563</v>
      </c>
      <c r="AW85" s="21">
        <f>EXP(-LN(2)/2)*AW84+(1-EXP(-LN(2)/2))/(LN(2)/2)*AQ85*AT85*VLOOKUP('Données projet'!$B$10,Paramètres!$A$1:$I$89,3,0)*0.475*44/12</f>
        <v>0.49165776529942118</v>
      </c>
      <c r="AX85" s="21">
        <f t="shared" si="60"/>
        <v>58.517971364088318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251.59999999999991</v>
      </c>
      <c r="BE85" s="13">
        <f>BD85*VLOOKUP('Données projet'!$B$11,Paramètres!$A$1:$I$89,3,0)*VLOOKUP('Données projet'!$B$11,Paramètres!$A$1:$I$89,5,0)</f>
        <v>239.42255999999992</v>
      </c>
      <c r="BF85" s="13">
        <f t="shared" si="91"/>
        <v>58.315274040589699</v>
      </c>
      <c r="BG85" s="20">
        <f t="shared" si="61"/>
        <v>518.56006095402688</v>
      </c>
      <c r="BH85" s="59">
        <f t="shared" si="62"/>
        <v>790.06615258601391</v>
      </c>
      <c r="BI85" s="59">
        <f ca="1">AVERAGE(OFFSET($BH$3,0,0,'Données projet'!$E$11+1,1))-AVERAGE(OFFSET($H$3,0,0,'Données projet'!$E$11+1,1))</f>
        <v>423.80243030843661</v>
      </c>
      <c r="BJ85" s="59">
        <f t="shared" si="92"/>
        <v>260.29028006191834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6.2224704513840594</v>
      </c>
      <c r="BQ85" s="21">
        <f>EXP(-LN(2)/25)*BQ84+(1-EXP(-LN(2)/25))/(LN(2)/25)*Calculateur!BL85*Calculateur!BN85*VLOOKUP('Données projet'!$B$11,Paramètres!$A$1:$I$89,3,0)*0.475*44/12</f>
        <v>13.71066654340795</v>
      </c>
      <c r="BR85" s="21">
        <f>EXP(-LN(2)/2)*BR84+(1-EXP(-LN(2)/2))/(LN(2)/2)*BL85*BO85*VLOOKUP('Données projet'!$B$11,Paramètres!$A$1:$I$89,3,0)*0.475*44/12</f>
        <v>2.8629935940224023</v>
      </c>
      <c r="BS85" s="22">
        <f t="shared" si="63"/>
        <v>22.79613058881441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-2.2737367544323206E-13</v>
      </c>
      <c r="BZ85" s="13">
        <f>BY85*VLOOKUP('Données projet'!$B$12,Paramètres!$A$1:$I$89,3,0)*VLOOKUP('Données projet'!$B$12,Paramètres!$A$1:$I$89,5,0)</f>
        <v>-1.3596945791505279E-13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373.61861223558259</v>
      </c>
      <c r="CE85" s="59">
        <f t="shared" si="94"/>
        <v>277.62293009761049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147.31544278006137</v>
      </c>
      <c r="CL85" s="21">
        <f>EXP(-LN(2)/25)*CL84+(1-EXP(-LN(2)/25))/(LN(2)/25)*Calculateur!CG85*Calculateur!CI85*VLOOKUP('Données projet'!$B$12,Paramètres!$A$1:$I$89,3,0)*0.475*44/12</f>
        <v>48.953159541928486</v>
      </c>
      <c r="CM85" s="21">
        <f>EXP(-LN(2)/2)*CM84+(1-EXP(-LN(2)/2))/(LN(2)/2)*CG85*CJ85*VLOOKUP('Données projet'!$B$12,Paramètres!$A$1:$I$89,3,0)*0.475*44/12</f>
        <v>35.358321400604346</v>
      </c>
      <c r="CN85" s="22">
        <f t="shared" si="66"/>
        <v>231.62692372259423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2.8421709430404007E-14</v>
      </c>
      <c r="CU85" s="17">
        <f>CT85*VLOOKUP('Données projet'!$B$13,Paramètres!$A$1:$I$89,3,0)*VLOOKUP('Données projet'!$B$13,Paramètres!$A$1:$I$89,5,0)</f>
        <v>2.4829205358400945E-14</v>
      </c>
      <c r="CV85" s="13">
        <f t="shared" si="95"/>
        <v>4.3867331143352915E-13</v>
      </c>
      <c r="CW85" s="20">
        <f t="shared" si="67"/>
        <v>8.0726688341261168E-13</v>
      </c>
      <c r="CX85" s="59">
        <f t="shared" si="68"/>
        <v>271.50609163198783</v>
      </c>
      <c r="CY85" s="59">
        <f ca="1">AVERAGE(OFFSET($CX$3,0,0,'Données projet'!$E$13+1,1))-AVERAGE(OFFSET($H$3,0,0,'Données projet'!$E$13+1,1))</f>
        <v>287.28439432670405</v>
      </c>
      <c r="CZ85" s="59">
        <f t="shared" si="96"/>
        <v>276.01618888357268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31.705206674529386</v>
      </c>
      <c r="DG85" s="21">
        <f>EXP(-LN(2)/25)*DG84+(1-EXP(-LN(2)/25))/(LN(2)/25)*Calculateur!DB85*Calculateur!DD85*VLOOKUP('Données projet'!$B$13,Paramètres!$A$1:$I$89,3,0)*0.475*44/12</f>
        <v>34.527292542463506</v>
      </c>
      <c r="DH85" s="21">
        <f>EXP(-LN(2)/2)*DH84+(1-EXP(-LN(2)/2))/(LN(2)/2)*DB85*DE85*VLOOKUP('Données projet'!$B$13,Paramètres!$A$1:$I$89,3,0)*0.475*44/12</f>
        <v>22.723220820314058</v>
      </c>
      <c r="DI85" s="22">
        <f t="shared" si="69"/>
        <v>88.955720037306946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9">
        <f t="shared" si="55"/>
        <v>944.98444257151471</v>
      </c>
      <c r="S86" s="59">
        <f ca="1">AVERAGE(OFFSET($R$3,0,0,'Données projet'!$E$9+1,1))-AVERAGE(OFFSET($H$3,0,0,'Données projet'!$E$9+1,1))</f>
        <v>681.47578137804555</v>
      </c>
      <c r="T86" s="59">
        <f t="shared" si="88"/>
        <v>300.88511065995885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11.117500000000001</v>
      </c>
      <c r="AI86" s="13">
        <f>IF('Données projet'!$A$62&gt;35,AI85+AH86-AQ85,IF(A86&lt;'Données projet'!$A$62,$AF$205^A86,IF(A86='Données projet'!$A$62,'Données projet'!$B$62,AI85+AH86-AQ85)))</f>
        <v>402.92499999999995</v>
      </c>
      <c r="AJ86" s="13">
        <f>AI86*VLOOKUP('Données projet'!$B$10,Paramètres!$A$1:$I$89,3,0)*VLOOKUP('Données projet'!$B$10,Paramètres!$A$1:$I$89,5,0)</f>
        <v>188.56889999999996</v>
      </c>
      <c r="AK86" s="13">
        <f t="shared" si="89"/>
        <v>47.223417871971755</v>
      </c>
      <c r="AL86" s="20">
        <f t="shared" si="58"/>
        <v>410.67162029368404</v>
      </c>
      <c r="AM86" s="59">
        <f t="shared" si="59"/>
        <v>682.55636577078758</v>
      </c>
      <c r="AN86" s="59">
        <f ca="1">AVERAGE(OFFSET($AM$3,0,0,'Données projet'!$E$10+1,1))-AVERAGE(OFFSET($H$3,0,0,'Données projet'!$E$10+1,1))</f>
        <v>374.38106339726073</v>
      </c>
      <c r="AO86" s="59">
        <f t="shared" si="90"/>
        <v>296.53283288925957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38.661250756098802</v>
      </c>
      <c r="AV86" s="21">
        <f>EXP(-LN(2)/25)*AV85+(1-EXP(-LN(2)/25))/(LN(2)/25)*Calculateur!AQ86*Calculateur!AS86*VLOOKUP('Données projet'!$B$10,Paramètres!$A$1:$I$89,3,0)*0.475*44/12</f>
        <v>18.083382523704785</v>
      </c>
      <c r="AW86" s="21">
        <f>EXP(-LN(2)/2)*AW85+(1-EXP(-LN(2)/2))/(LN(2)/2)*AQ86*AT86*VLOOKUP('Données projet'!$B$10,Paramètres!$A$1:$I$89,3,0)*0.475*44/12</f>
        <v>0.34765453986624478</v>
      </c>
      <c r="AX86" s="21">
        <f t="shared" si="60"/>
        <v>57.092287819669835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257.39999999999992</v>
      </c>
      <c r="BE86" s="13">
        <f>BD86*VLOOKUP('Données projet'!$B$11,Paramètres!$A$1:$I$89,3,0)*VLOOKUP('Données projet'!$B$11,Paramètres!$A$1:$I$89,5,0)</f>
        <v>244.94183999999993</v>
      </c>
      <c r="BF86" s="13">
        <f t="shared" si="91"/>
        <v>59.501526882688026</v>
      </c>
      <c r="BG86" s="20">
        <f t="shared" si="61"/>
        <v>530.23886398734817</v>
      </c>
      <c r="BH86" s="59">
        <f t="shared" si="62"/>
        <v>802.12360946445165</v>
      </c>
      <c r="BI86" s="59">
        <f ca="1">AVERAGE(OFFSET($BH$3,0,0,'Données projet'!$E$11+1,1))-AVERAGE(OFFSET($H$3,0,0,'Données projet'!$E$11+1,1))</f>
        <v>423.80243030843661</v>
      </c>
      <c r="BJ86" s="59">
        <f t="shared" si="92"/>
        <v>260.29028006191834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6.100451601164635</v>
      </c>
      <c r="BQ86" s="21">
        <f>EXP(-LN(2)/25)*BQ85+(1-EXP(-LN(2)/25))/(LN(2)/25)*Calculateur!BL86*Calculateur!BN86*VLOOKUP('Données projet'!$B$11,Paramètres!$A$1:$I$89,3,0)*0.475*44/12</f>
        <v>13.335747645765842</v>
      </c>
      <c r="BR86" s="21">
        <f>EXP(-LN(2)/2)*BR85+(1-EXP(-LN(2)/2))/(LN(2)/2)*BL86*BO86*VLOOKUP('Données projet'!$B$11,Paramètres!$A$1:$I$89,3,0)*0.475*44/12</f>
        <v>2.0244421848268863</v>
      </c>
      <c r="BS86" s="22">
        <f t="shared" si="63"/>
        <v>21.460641431757363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-2.2737367544323206E-13</v>
      </c>
      <c r="BZ86" s="13">
        <f>BY86*VLOOKUP('Données projet'!$B$12,Paramètres!$A$1:$I$89,3,0)*VLOOKUP('Données projet'!$B$12,Paramètres!$A$1:$I$89,5,0)</f>
        <v>-1.3596945791505279E-13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373.61861223558259</v>
      </c>
      <c r="CE86" s="59">
        <f t="shared" si="94"/>
        <v>277.62293009761049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144.42667680069218</v>
      </c>
      <c r="CL86" s="21">
        <f>EXP(-LN(2)/25)*CL85+(1-EXP(-LN(2)/25))/(LN(2)/25)*Calculateur!CG86*Calculateur!CI86*VLOOKUP('Données projet'!$B$12,Paramètres!$A$1:$I$89,3,0)*0.475*44/12</f>
        <v>47.614532819919674</v>
      </c>
      <c r="CM86" s="21">
        <f>EXP(-LN(2)/2)*CM85+(1-EXP(-LN(2)/2))/(LN(2)/2)*CG86*CJ86*VLOOKUP('Données projet'!$B$12,Paramètres!$A$1:$I$89,3,0)*0.475*44/12</f>
        <v>25.00210883374076</v>
      </c>
      <c r="CN86" s="22">
        <f t="shared" si="66"/>
        <v>217.0433184543526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2.8421709430404007E-14</v>
      </c>
      <c r="CU86" s="17">
        <f>CT86*VLOOKUP('Données projet'!$B$13,Paramètres!$A$1:$I$89,3,0)*VLOOKUP('Données projet'!$B$13,Paramètres!$A$1:$I$89,5,0)</f>
        <v>2.4829205358400945E-14</v>
      </c>
      <c r="CV86" s="13">
        <f t="shared" si="95"/>
        <v>4.3867331143352915E-13</v>
      </c>
      <c r="CW86" s="20">
        <f t="shared" si="67"/>
        <v>8.0726688341261168E-13</v>
      </c>
      <c r="CX86" s="59">
        <f t="shared" si="68"/>
        <v>271.88474547710427</v>
      </c>
      <c r="CY86" s="59">
        <f ca="1">AVERAGE(OFFSET($CX$3,0,0,'Données projet'!$E$13+1,1))-AVERAGE(OFFSET($H$3,0,0,'Données projet'!$E$13+1,1))</f>
        <v>287.28439432670405</v>
      </c>
      <c r="CZ86" s="59">
        <f t="shared" si="96"/>
        <v>276.01618888357268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31.083486909908441</v>
      </c>
      <c r="DG86" s="21">
        <f>EXP(-LN(2)/25)*DG85+(1-EXP(-LN(2)/25))/(LN(2)/25)*Calculateur!DB86*Calculateur!DD86*VLOOKUP('Données projet'!$B$13,Paramètres!$A$1:$I$89,3,0)*0.475*44/12</f>
        <v>33.583141912178441</v>
      </c>
      <c r="DH86" s="21">
        <f>EXP(-LN(2)/2)*DH85+(1-EXP(-LN(2)/2))/(LN(2)/2)*DB86*DE86*VLOOKUP('Données projet'!$B$13,Paramètres!$A$1:$I$89,3,0)*0.475*44/12</f>
        <v>16.067743532443416</v>
      </c>
      <c r="DI86" s="22">
        <f t="shared" si="69"/>
        <v>80.734372354530294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9">
        <f t="shared" si="55"/>
        <v>963.53509812410164</v>
      </c>
      <c r="S87" s="59">
        <f ca="1">AVERAGE(OFFSET($R$3,0,0,'Données projet'!$E$9+1,1))-AVERAGE(OFFSET($H$3,0,0,'Données projet'!$E$9+1,1))</f>
        <v>681.47578137804555</v>
      </c>
      <c r="T87" s="59">
        <f t="shared" si="88"/>
        <v>300.88511065995885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11.117500000000001</v>
      </c>
      <c r="AI87" s="13">
        <f>IF('Données projet'!$A$62&gt;35,AI86+AH87-AQ86,IF(A87&lt;'Données projet'!$A$62,$AF$205^A87,IF(A87='Données projet'!$A$62,'Données projet'!$B$62,AI86+AH87-AQ86)))</f>
        <v>414.04249999999996</v>
      </c>
      <c r="AJ87" s="13">
        <f>AI87*VLOOKUP('Données projet'!$B$10,Paramètres!$A$1:$I$89,3,0)*VLOOKUP('Données projet'!$B$10,Paramètres!$A$1:$I$89,5,0)</f>
        <v>193.77188999999998</v>
      </c>
      <c r="AK87" s="13">
        <f t="shared" si="89"/>
        <v>48.372907727823183</v>
      </c>
      <c r="AL87" s="20">
        <f t="shared" si="58"/>
        <v>421.73552270929196</v>
      </c>
      <c r="AM87" s="59">
        <f t="shared" si="59"/>
        <v>693.99235323384232</v>
      </c>
      <c r="AN87" s="59">
        <f ca="1">AVERAGE(OFFSET($AM$3,0,0,'Données projet'!$E$10+1,1))-AVERAGE(OFFSET($H$3,0,0,'Données projet'!$E$10+1,1))</f>
        <v>374.38106339726073</v>
      </c>
      <c r="AO87" s="59">
        <f t="shared" si="90"/>
        <v>296.53283288925957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37.903127209806229</v>
      </c>
      <c r="AV87" s="21">
        <f>EXP(-LN(2)/25)*AV86+(1-EXP(-LN(2)/25))/(LN(2)/25)*Calculateur!AQ87*Calculateur!AS87*VLOOKUP('Données projet'!$B$10,Paramètres!$A$1:$I$89,3,0)*0.475*44/12</f>
        <v>17.58889147763032</v>
      </c>
      <c r="AW87" s="21">
        <f>EXP(-LN(2)/2)*AW86+(1-EXP(-LN(2)/2))/(LN(2)/2)*AQ87*AT87*VLOOKUP('Données projet'!$B$10,Paramètres!$A$1:$I$89,3,0)*0.475*44/12</f>
        <v>0.24582888264971062</v>
      </c>
      <c r="AX87" s="21">
        <f t="shared" si="60"/>
        <v>55.737847570086259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263.19999999999993</v>
      </c>
      <c r="BE87" s="13">
        <f>BD87*VLOOKUP('Données projet'!$B$11,Paramètres!$A$1:$I$89,3,0)*VLOOKUP('Données projet'!$B$11,Paramètres!$A$1:$I$89,5,0)</f>
        <v>250.46111999999997</v>
      </c>
      <c r="BF87" s="13">
        <f t="shared" si="91"/>
        <v>60.684672167637892</v>
      </c>
      <c r="BG87" s="20">
        <f t="shared" si="61"/>
        <v>541.91225469196922</v>
      </c>
      <c r="BH87" s="59">
        <f t="shared" si="62"/>
        <v>814.16908521651953</v>
      </c>
      <c r="BI87" s="59">
        <f ca="1">AVERAGE(OFFSET($BH$3,0,0,'Données projet'!$E$11+1,1))-AVERAGE(OFFSET($H$3,0,0,'Données projet'!$E$11+1,1))</f>
        <v>423.80243030843661</v>
      </c>
      <c r="BJ87" s="59">
        <f t="shared" si="92"/>
        <v>260.29028006191834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5.9808254661738642</v>
      </c>
      <c r="BQ87" s="21">
        <f>EXP(-LN(2)/25)*BQ86+(1-EXP(-LN(2)/25))/(LN(2)/25)*Calculateur!BL87*Calculateur!BN87*VLOOKUP('Données projet'!$B$11,Paramètres!$A$1:$I$89,3,0)*0.475*44/12</f>
        <v>12.971080925095885</v>
      </c>
      <c r="BR87" s="21">
        <f>EXP(-LN(2)/2)*BR86+(1-EXP(-LN(2)/2))/(LN(2)/2)*BL87*BO87*VLOOKUP('Données projet'!$B$11,Paramètres!$A$1:$I$89,3,0)*0.475*44/12</f>
        <v>1.4314967970112014</v>
      </c>
      <c r="BS87" s="22">
        <f t="shared" si="63"/>
        <v>20.383403188280951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-2.2737367544323206E-13</v>
      </c>
      <c r="BZ87" s="13">
        <f>BY87*VLOOKUP('Données projet'!$B$12,Paramètres!$A$1:$I$89,3,0)*VLOOKUP('Données projet'!$B$12,Paramètres!$A$1:$I$89,5,0)</f>
        <v>-1.3596945791505279E-13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373.61861223558259</v>
      </c>
      <c r="CE87" s="59">
        <f t="shared" si="94"/>
        <v>277.62293009761049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141.59455776020513</v>
      </c>
      <c r="CL87" s="21">
        <f>EXP(-LN(2)/25)*CL86+(1-EXP(-LN(2)/25))/(LN(2)/25)*Calculateur!CG87*Calculateur!CI87*VLOOKUP('Données projet'!$B$12,Paramètres!$A$1:$I$89,3,0)*0.475*44/12</f>
        <v>46.312510916019512</v>
      </c>
      <c r="CM87" s="21">
        <f>EXP(-LN(2)/2)*CM86+(1-EXP(-LN(2)/2))/(LN(2)/2)*CG87*CJ87*VLOOKUP('Données projet'!$B$12,Paramètres!$A$1:$I$89,3,0)*0.475*44/12</f>
        <v>17.679160700302177</v>
      </c>
      <c r="CN87" s="22">
        <f t="shared" si="66"/>
        <v>205.58622937652683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2.8421709430404007E-14</v>
      </c>
      <c r="CU87" s="17">
        <f>CT87*VLOOKUP('Données projet'!$B$13,Paramètres!$A$1:$I$89,3,0)*VLOOKUP('Données projet'!$B$13,Paramètres!$A$1:$I$89,5,0)</f>
        <v>2.4829205358400945E-14</v>
      </c>
      <c r="CV87" s="13">
        <f t="shared" si="95"/>
        <v>4.3867331143352915E-13</v>
      </c>
      <c r="CW87" s="20">
        <f t="shared" si="67"/>
        <v>8.0726688341261168E-13</v>
      </c>
      <c r="CX87" s="59">
        <f t="shared" si="68"/>
        <v>272.25683052455111</v>
      </c>
      <c r="CY87" s="59">
        <f ca="1">AVERAGE(OFFSET($CX$3,0,0,'Données projet'!$E$13+1,1))-AVERAGE(OFFSET($H$3,0,0,'Données projet'!$E$13+1,1))</f>
        <v>287.28439432670405</v>
      </c>
      <c r="CZ87" s="59">
        <f t="shared" si="96"/>
        <v>276.01618888357268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30.473958690660101</v>
      </c>
      <c r="DG87" s="21">
        <f>EXP(-LN(2)/25)*DG86+(1-EXP(-LN(2)/25))/(LN(2)/25)*Calculateur!DB87*Calculateur!DD87*VLOOKUP('Données projet'!$B$13,Paramètres!$A$1:$I$89,3,0)*0.475*44/12</f>
        <v>32.664809130529243</v>
      </c>
      <c r="DH87" s="21">
        <f>EXP(-LN(2)/2)*DH86+(1-EXP(-LN(2)/2))/(LN(2)/2)*DB87*DE87*VLOOKUP('Données projet'!$B$13,Paramètres!$A$1:$I$89,3,0)*0.475*44/12</f>
        <v>11.361610410157031</v>
      </c>
      <c r="DI87" s="22">
        <f t="shared" si="69"/>
        <v>74.500378231346374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9">
        <f t="shared" si="55"/>
        <v>854.22219526396816</v>
      </c>
      <c r="S88" s="59">
        <f ca="1">AVERAGE(OFFSET($R$3,0,0,'Données projet'!$E$9+1,1))-AVERAGE(OFFSET($H$3,0,0,'Données projet'!$E$9+1,1))</f>
        <v>681.47578137804555</v>
      </c>
      <c r="T88" s="59">
        <f t="shared" si="88"/>
        <v>300.88511065995885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425.16</v>
      </c>
      <c r="AG88" s="12">
        <f>VLOOKUP(A88,'Données projet'!$A$61:$I$81,9,0)</f>
        <v>11.117500000000001</v>
      </c>
      <c r="AH88" s="12">
        <f t="array" ref="AH88">INDEX(AG:AG,MIN(IF(ISNUMBER(AG88:AG284),ROW(AG88:AG284),"")))</f>
        <v>11.117500000000001</v>
      </c>
      <c r="AI88" s="13">
        <f>IF('Données projet'!$A$62&gt;35,AI87+AH88-AQ87,IF(A88&lt;'Données projet'!$A$62,$AF$205^A88,IF(A88='Données projet'!$A$62,'Données projet'!$B$62,AI87+AH88-AQ87)))</f>
        <v>425.15999999999997</v>
      </c>
      <c r="AJ88" s="13">
        <f>AI88*VLOOKUP('Données projet'!$B$10,Paramètres!$A$1:$I$89,3,0)*VLOOKUP('Données projet'!$B$10,Paramètres!$A$1:$I$89,5,0)</f>
        <v>198.97487999999998</v>
      </c>
      <c r="AK88" s="13">
        <f t="shared" si="89"/>
        <v>49.518810041794701</v>
      </c>
      <c r="AL88" s="20">
        <f t="shared" si="58"/>
        <v>432.79317682279242</v>
      </c>
      <c r="AM88" s="59">
        <f t="shared" si="59"/>
        <v>705.41563755107393</v>
      </c>
      <c r="AN88" s="59">
        <f ca="1">AVERAGE(OFFSET($AM$3,0,0,'Données projet'!$E$10+1,1))-AVERAGE(OFFSET($H$3,0,0,'Données projet'!$E$10+1,1))</f>
        <v>374.38106339726073</v>
      </c>
      <c r="AO88" s="59">
        <f t="shared" si="90"/>
        <v>296.53283288925957</v>
      </c>
      <c r="AP88" s="15">
        <f>IF(ISNA(VLOOKUP(A88,'Données projet'!$A$61:$I$81,3,0)),0,VLOOKUP(A88,'Données projet'!$A$61:$I$81,3,0))</f>
        <v>4</v>
      </c>
      <c r="AQ88" s="15">
        <f>IF(ISNA(VLOOKUP(A88,'Données projet'!$A$61:$I$81,4,0)),0,VLOOKUP(A88,'Données projet'!$A$61:$I$81,4,0))</f>
        <v>95.720000000000027</v>
      </c>
      <c r="AR88" s="16">
        <f>IF(ISNA(VLOOKUP(A88,'Données projet'!$A$61:$I$81,5,0)),0%,VLOOKUP(A88,'Données projet'!$A$61:$I$81,5,0)*VLOOKUP('Données projet'!$B$10,Paramètres!$A$1:$I$89,7,0))</f>
        <v>0.33</v>
      </c>
      <c r="AS88" s="16">
        <f>IF(ISNA(VLOOKUP(A88,'Données projet'!$A$61:$I$81,6,0)),0%,VLOOKUP(A88,'Données projet'!$A$61:$I$81,6,0)*VLOOKUP('Données projet'!$B$10,Paramètres!$A$1:$I$89,7,0))</f>
        <v>0.11000000000000001</v>
      </c>
      <c r="AT88" s="16">
        <f>IF(ISNA(VLOOKUP(A88,'Données projet'!$A$61:$I$81,7,0)),0%,VLOOKUP(A88,'Données projet'!$A$61:$I$81,7,0))</f>
        <v>0.2</v>
      </c>
      <c r="AU88" s="21">
        <f>EXP(-LN(2)/35)*AU87+(1-EXP(-LN(2)/35))/(LN(2)/35)*AQ88*AR88*VLOOKUP('Données projet'!$B$10,Paramètres!$A$1:$I$89,3,0)*0.475*44/12</f>
        <v>56.770468103603221</v>
      </c>
      <c r="AV88" s="21">
        <f>EXP(-LN(2)/25)*AV87+(1-EXP(-LN(2)/25))/(LN(2)/25)*Calculateur!AQ88*Calculateur!AS88*VLOOKUP('Données projet'!$B$10,Paramètres!$A$1:$I$89,3,0)*0.475*44/12</f>
        <v>23.619050216152928</v>
      </c>
      <c r="AW88" s="21">
        <f>EXP(-LN(2)/2)*AW87+(1-EXP(-LN(2)/2))/(LN(2)/2)*AQ88*AT88*VLOOKUP('Données projet'!$B$10,Paramètres!$A$1:$I$89,3,0)*0.475*44/12</f>
        <v>10.317940258533362</v>
      </c>
      <c r="AX88" s="21">
        <f t="shared" si="60"/>
        <v>90.707458578289504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268.99999999999994</v>
      </c>
      <c r="BE88" s="13">
        <f>BD88*VLOOKUP('Données projet'!$B$11,Paramètres!$A$1:$I$89,3,0)*VLOOKUP('Données projet'!$B$11,Paramètres!$A$1:$I$89,5,0)</f>
        <v>255.98039999999997</v>
      </c>
      <c r="BF88" s="13">
        <f t="shared" si="91"/>
        <v>61.864786260587792</v>
      </c>
      <c r="BG88" s="20">
        <f t="shared" si="61"/>
        <v>553.58036607052361</v>
      </c>
      <c r="BH88" s="59">
        <f t="shared" si="62"/>
        <v>826.20282679880506</v>
      </c>
      <c r="BI88" s="59">
        <f ca="1">AVERAGE(OFFSET($BH$3,0,0,'Données projet'!$E$11+1,1))-AVERAGE(OFFSET($H$3,0,0,'Données projet'!$E$11+1,1))</f>
        <v>423.80243030843661</v>
      </c>
      <c r="BJ88" s="59">
        <f t="shared" si="92"/>
        <v>260.29028006191834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0.1075</v>
      </c>
      <c r="BN88" s="16">
        <f>IF(ISNA(VLOOKUP(A88,'Données projet'!$A$87:$I$107,6,0)),0%,VLOOKUP(A88,'Données projet'!$A$87:$I$107,6,0)*VLOOKUP('Données projet'!$B$11,Paramètres!$A$1:$I$89,7,0))</f>
        <v>0.1075</v>
      </c>
      <c r="BO88" s="16">
        <f>IF(ISNA(VLOOKUP(A88,'Données projet'!$A$87:$I$107,7,0)),0%,VLOOKUP(A88,'Données projet'!$A$87:$I$107,7,0))</f>
        <v>0.25</v>
      </c>
      <c r="BP88" s="21">
        <f>EXP(-LN(2)/35)*BP87+(1-EXP(-LN(2)/35))/(LN(2)/35)*BL88*BM88*VLOOKUP('Données projet'!$B$11,Paramètres!$A$1:$I$89,3,0)*0.475*44/12</f>
        <v>8.2383574984422498</v>
      </c>
      <c r="BQ88" s="21">
        <f>EXP(-LN(2)/25)*BQ87+(1-EXP(-LN(2)/25))/(LN(2)/25)*Calculateur!BL88*Calculateur!BN88*VLOOKUP('Données projet'!$B$11,Paramètres!$A$1:$I$89,3,0)*0.475*44/12</f>
        <v>14.98184786561446</v>
      </c>
      <c r="BR88" s="21">
        <f>EXP(-LN(2)/2)*BR87+(1-EXP(-LN(2)/2))/(LN(2)/2)*BL88*BO88*VLOOKUP('Données projet'!$B$11,Paramètres!$A$1:$I$89,3,0)*0.475*44/12</f>
        <v>5.7259872050905027</v>
      </c>
      <c r="BS88" s="22">
        <f t="shared" si="63"/>
        <v>28.946192569147215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-2.2737367544323206E-13</v>
      </c>
      <c r="BZ88" s="13">
        <f>BY88*VLOOKUP('Données projet'!$B$12,Paramètres!$A$1:$I$89,3,0)*VLOOKUP('Données projet'!$B$12,Paramètres!$A$1:$I$89,5,0)</f>
        <v>-1.3596945791505279E-13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373.61861223558259</v>
      </c>
      <c r="CE88" s="59">
        <f t="shared" si="94"/>
        <v>277.62293009761049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138.81797484667999</v>
      </c>
      <c r="CL88" s="21">
        <f>EXP(-LN(2)/25)*CL87+(1-EXP(-LN(2)/25))/(LN(2)/25)*Calculateur!CG88*Calculateur!CI88*VLOOKUP('Données projet'!$B$12,Paramètres!$A$1:$I$89,3,0)*0.475*44/12</f>
        <v>45.046092869551856</v>
      </c>
      <c r="CM88" s="21">
        <f>EXP(-LN(2)/2)*CM87+(1-EXP(-LN(2)/2))/(LN(2)/2)*CG88*CJ88*VLOOKUP('Données projet'!$B$12,Paramètres!$A$1:$I$89,3,0)*0.475*44/12</f>
        <v>12.501054416870382</v>
      </c>
      <c r="CN88" s="22">
        <f t="shared" si="66"/>
        <v>196.3651221331022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2.8421709430404007E-14</v>
      </c>
      <c r="CU88" s="17">
        <f>CT88*VLOOKUP('Données projet'!$B$13,Paramètres!$A$1:$I$89,3,0)*VLOOKUP('Données projet'!$B$13,Paramètres!$A$1:$I$89,5,0)</f>
        <v>2.4829205358400945E-14</v>
      </c>
      <c r="CV88" s="13">
        <f t="shared" si="95"/>
        <v>4.3867331143352915E-13</v>
      </c>
      <c r="CW88" s="20">
        <f t="shared" si="67"/>
        <v>8.0726688341261168E-13</v>
      </c>
      <c r="CX88" s="59">
        <f t="shared" si="68"/>
        <v>272.62246072828231</v>
      </c>
      <c r="CY88" s="59">
        <f ca="1">AVERAGE(OFFSET($CX$3,0,0,'Données projet'!$E$13+1,1))-AVERAGE(OFFSET($H$3,0,0,'Données projet'!$E$13+1,1))</f>
        <v>287.28439432670405</v>
      </c>
      <c r="CZ88" s="59">
        <f t="shared" si="96"/>
        <v>276.01618888357268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29.876382948015717</v>
      </c>
      <c r="DG88" s="21">
        <f>EXP(-LN(2)/25)*DG87+(1-EXP(-LN(2)/25))/(LN(2)/25)*Calculateur!DB88*Calculateur!DD88*VLOOKUP('Données projet'!$B$13,Paramètres!$A$1:$I$89,3,0)*0.475*44/12</f>
        <v>31.771588207087266</v>
      </c>
      <c r="DH88" s="21">
        <f>EXP(-LN(2)/2)*DH87+(1-EXP(-LN(2)/2))/(LN(2)/2)*DB88*DE88*VLOOKUP('Données projet'!$B$13,Paramètres!$A$1:$I$89,3,0)*0.475*44/12</f>
        <v>8.0338717662217078</v>
      </c>
      <c r="DI88" s="22">
        <f t="shared" si="69"/>
        <v>69.681842921324687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9">
        <f t="shared" si="55"/>
        <v>872.10019725440065</v>
      </c>
      <c r="S89" s="59">
        <f ca="1">AVERAGE(OFFSET($R$3,0,0,'Données projet'!$E$9+1,1))-AVERAGE(OFFSET($H$3,0,0,'Données projet'!$E$9+1,1))</f>
        <v>681.47578137804555</v>
      </c>
      <c r="T89" s="59">
        <f t="shared" si="88"/>
        <v>300.88511065995885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10.192500000000001</v>
      </c>
      <c r="AI89" s="13">
        <f>IF('Données projet'!$A$62&gt;35,AI88+AH89-AQ88,IF(A89&lt;'Données projet'!$A$62,$AF$205^A89,IF(A89='Données projet'!$A$62,'Données projet'!$B$62,AI88+AH89-AQ88)))</f>
        <v>339.63249999999994</v>
      </c>
      <c r="AJ89" s="13">
        <f>AI89*VLOOKUP('Données projet'!$B$10,Paramètres!$A$1:$I$89,3,0)*VLOOKUP('Données projet'!$B$10,Paramètres!$A$1:$I$89,5,0)</f>
        <v>158.94800999999998</v>
      </c>
      <c r="AK89" s="13">
        <f t="shared" si="89"/>
        <v>40.605145105192584</v>
      </c>
      <c r="AL89" s="20">
        <f t="shared" si="58"/>
        <v>347.55507847487706</v>
      </c>
      <c r="AM89" s="59">
        <f t="shared" si="59"/>
        <v>620.53682654028171</v>
      </c>
      <c r="AN89" s="59">
        <f ca="1">AVERAGE(OFFSET($AM$3,0,0,'Données projet'!$E$10+1,1))-AVERAGE(OFFSET($H$3,0,0,'Données projet'!$E$10+1,1))</f>
        <v>374.38106339726073</v>
      </c>
      <c r="AO89" s="59">
        <f t="shared" si="90"/>
        <v>296.53283288925957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55.657233850658017</v>
      </c>
      <c r="AV89" s="21">
        <f>EXP(-LN(2)/25)*AV88+(1-EXP(-LN(2)/25))/(LN(2)/25)*Calculateur!AQ89*Calculateur!AS89*VLOOKUP('Données projet'!$B$10,Paramètres!$A$1:$I$89,3,0)*0.475*44/12</f>
        <v>22.973186045920357</v>
      </c>
      <c r="AW89" s="21">
        <f>EXP(-LN(2)/2)*AW88+(1-EXP(-LN(2)/2))/(LN(2)/2)*AQ89*AT89*VLOOKUP('Données projet'!$B$10,Paramètres!$A$1:$I$89,3,0)*0.475*44/12</f>
        <v>7.2958855246866197</v>
      </c>
      <c r="AX89" s="21">
        <f t="shared" si="60"/>
        <v>85.926305421264999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253.39999999999992</v>
      </c>
      <c r="BE89" s="13">
        <f>BD89*VLOOKUP('Données projet'!$B$11,Paramètres!$A$1:$I$89,3,0)*VLOOKUP('Données projet'!$B$11,Paramètres!$A$1:$I$89,5,0)</f>
        <v>241.13543999999993</v>
      </c>
      <c r="BF89" s="13">
        <f t="shared" si="91"/>
        <v>58.6837587821827</v>
      </c>
      <c r="BG89" s="20">
        <f t="shared" si="61"/>
        <v>522.18510454563477</v>
      </c>
      <c r="BH89" s="59">
        <f t="shared" si="62"/>
        <v>795.16685261103953</v>
      </c>
      <c r="BI89" s="59">
        <f ca="1">AVERAGE(OFFSET($BH$3,0,0,'Données projet'!$E$11+1,1))-AVERAGE(OFFSET($H$3,0,0,'Données projet'!$E$11+1,1))</f>
        <v>423.80243030843661</v>
      </c>
      <c r="BJ89" s="59">
        <f t="shared" si="92"/>
        <v>260.29028006191834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8.076808332799704</v>
      </c>
      <c r="BQ89" s="21">
        <f>EXP(-LN(2)/25)*BQ88+(1-EXP(-LN(2)/25))/(LN(2)/25)*Calculateur!BL89*Calculateur!BN89*VLOOKUP('Données projet'!$B$11,Paramètres!$A$1:$I$89,3,0)*0.475*44/12</f>
        <v>14.572168447868094</v>
      </c>
      <c r="BR89" s="21">
        <f>EXP(-LN(2)/2)*BR88+(1-EXP(-LN(2)/2))/(LN(2)/2)*BL89*BO89*VLOOKUP('Données projet'!$B$11,Paramètres!$A$1:$I$89,3,0)*0.475*44/12</f>
        <v>4.0488843817069009</v>
      </c>
      <c r="BS89" s="22">
        <f t="shared" si="63"/>
        <v>26.6978611623747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-2.2737367544323206E-13</v>
      </c>
      <c r="BZ89" s="13">
        <f>BY89*VLOOKUP('Données projet'!$B$12,Paramètres!$A$1:$I$89,3,0)*VLOOKUP('Données projet'!$B$12,Paramètres!$A$1:$I$89,5,0)</f>
        <v>-1.3596945791505279E-13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373.61861223558259</v>
      </c>
      <c r="CE89" s="59">
        <f t="shared" si="94"/>
        <v>277.62293009761049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136.09583903054073</v>
      </c>
      <c r="CL89" s="21">
        <f>EXP(-LN(2)/25)*CL88+(1-EXP(-LN(2)/25))/(LN(2)/25)*Calculateur!CG89*Calculateur!CI89*VLOOKUP('Données projet'!$B$12,Paramètres!$A$1:$I$89,3,0)*0.475*44/12</f>
        <v>43.814305091162893</v>
      </c>
      <c r="CM89" s="21">
        <f>EXP(-LN(2)/2)*CM88+(1-EXP(-LN(2)/2))/(LN(2)/2)*CG89*CJ89*VLOOKUP('Données projet'!$B$12,Paramètres!$A$1:$I$89,3,0)*0.475*44/12</f>
        <v>8.8395803501510883</v>
      </c>
      <c r="CN89" s="22">
        <f t="shared" si="66"/>
        <v>188.74972447185473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2.8421709430404007E-14</v>
      </c>
      <c r="CU89" s="17">
        <f>CT89*VLOOKUP('Données projet'!$B$13,Paramètres!$A$1:$I$89,3,0)*VLOOKUP('Données projet'!$B$13,Paramètres!$A$1:$I$89,5,0)</f>
        <v>2.4829205358400945E-14</v>
      </c>
      <c r="CV89" s="13">
        <f t="shared" si="95"/>
        <v>4.3867331143352915E-13</v>
      </c>
      <c r="CW89" s="20">
        <f t="shared" si="67"/>
        <v>8.0726688341261168E-13</v>
      </c>
      <c r="CX89" s="59">
        <f t="shared" si="68"/>
        <v>272.9817480654055</v>
      </c>
      <c r="CY89" s="59">
        <f ca="1">AVERAGE(OFFSET($CX$3,0,0,'Données projet'!$E$13+1,1))-AVERAGE(OFFSET($H$3,0,0,'Données projet'!$E$13+1,1))</f>
        <v>287.28439432670405</v>
      </c>
      <c r="CZ89" s="59">
        <f t="shared" si="96"/>
        <v>276.01618888357268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29.290525301199377</v>
      </c>
      <c r="DG89" s="21">
        <f>EXP(-LN(2)/25)*DG88+(1-EXP(-LN(2)/25))/(LN(2)/25)*Calculateur!DB89*Calculateur!DD89*VLOOKUP('Données projet'!$B$13,Paramètres!$A$1:$I$89,3,0)*0.475*44/12</f>
        <v>30.902792456769255</v>
      </c>
      <c r="DH89" s="21">
        <f>EXP(-LN(2)/2)*DH88+(1-EXP(-LN(2)/2))/(LN(2)/2)*DB89*DE89*VLOOKUP('Données projet'!$B$13,Paramètres!$A$1:$I$89,3,0)*0.475*44/12</f>
        <v>5.6808052050785154</v>
      </c>
      <c r="DI89" s="22">
        <f t="shared" si="69"/>
        <v>65.874122963047142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9">
        <f t="shared" si="55"/>
        <v>889.96132020426046</v>
      </c>
      <c r="S90" s="59">
        <f ca="1">AVERAGE(OFFSET($R$3,0,0,'Données projet'!$E$9+1,1))-AVERAGE(OFFSET($H$3,0,0,'Données projet'!$E$9+1,1))</f>
        <v>681.47578137804555</v>
      </c>
      <c r="T90" s="59">
        <f t="shared" si="88"/>
        <v>300.88511065995885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10.192500000000001</v>
      </c>
      <c r="AI90" s="13">
        <f>IF('Données projet'!$A$62&gt;35,AI89+AH90-AQ89,IF(A90&lt;'Données projet'!$A$62,$AF$205^A90,IF(A90='Données projet'!$A$62,'Données projet'!$B$62,AI89+AH90-AQ89)))</f>
        <v>349.82499999999993</v>
      </c>
      <c r="AJ90" s="13">
        <f>AI90*VLOOKUP('Données projet'!$B$10,Paramètres!$A$1:$I$89,3,0)*VLOOKUP('Données projet'!$B$10,Paramètres!$A$1:$I$89,5,0)</f>
        <v>163.71809999999996</v>
      </c>
      <c r="AK90" s="13">
        <f t="shared" si="89"/>
        <v>41.680018719903437</v>
      </c>
      <c r="AL90" s="20">
        <f t="shared" si="58"/>
        <v>357.73505677049843</v>
      </c>
      <c r="AM90" s="59">
        <f t="shared" si="59"/>
        <v>631.06985934097327</v>
      </c>
      <c r="AN90" s="59">
        <f ca="1">AVERAGE(OFFSET($AM$3,0,0,'Données projet'!$E$10+1,1))-AVERAGE(OFFSET($H$3,0,0,'Données projet'!$E$10+1,1))</f>
        <v>374.38106339726073</v>
      </c>
      <c r="AO90" s="59">
        <f t="shared" si="90"/>
        <v>296.53283288925957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54.565829442407221</v>
      </c>
      <c r="AV90" s="21">
        <f>EXP(-LN(2)/25)*AV89+(1-EXP(-LN(2)/25))/(LN(2)/25)*Calculateur!AQ90*Calculateur!AS90*VLOOKUP('Données projet'!$B$10,Paramètres!$A$1:$I$89,3,0)*0.475*44/12</f>
        <v>22.344983065387318</v>
      </c>
      <c r="AW90" s="21">
        <f>EXP(-LN(2)/2)*AW89+(1-EXP(-LN(2)/2))/(LN(2)/2)*AQ90*AT90*VLOOKUP('Données projet'!$B$10,Paramètres!$A$1:$I$89,3,0)*0.475*44/12</f>
        <v>5.158970129266681</v>
      </c>
      <c r="AX90" s="21">
        <f t="shared" si="60"/>
        <v>82.069782637061209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</v>
      </c>
      <c r="BE90" s="13">
        <f>BD90*VLOOKUP('Données projet'!$B$11,Paramètres!$A$1:$I$89,3,0)*VLOOKUP('Données projet'!$B$11,Paramètres!$A$1:$I$89,5,0)</f>
        <v>246.27407999999991</v>
      </c>
      <c r="BF90" s="13">
        <f t="shared" si="91"/>
        <v>59.787395242924475</v>
      </c>
      <c r="BG90" s="20">
        <f t="shared" si="61"/>
        <v>533.05706938142669</v>
      </c>
      <c r="BH90" s="59">
        <f t="shared" si="62"/>
        <v>806.39187195190152</v>
      </c>
      <c r="BI90" s="59">
        <f ca="1">AVERAGE(OFFSET($BH$3,0,0,'Données projet'!$E$11+1,1))-AVERAGE(OFFSET($H$3,0,0,'Données projet'!$E$11+1,1))</f>
        <v>423.80243030843661</v>
      </c>
      <c r="BJ90" s="59">
        <f t="shared" si="92"/>
        <v>260.29028006191834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7.9184270477601464</v>
      </c>
      <c r="BQ90" s="21">
        <f>EXP(-LN(2)/25)*BQ89+(1-EXP(-LN(2)/25))/(LN(2)/25)*Calculateur!BL90*Calculateur!BN90*VLOOKUP('Données projet'!$B$11,Paramètres!$A$1:$I$89,3,0)*0.475*44/12</f>
        <v>14.173691735344107</v>
      </c>
      <c r="BR90" s="21">
        <f>EXP(-LN(2)/2)*BR89+(1-EXP(-LN(2)/2))/(LN(2)/2)*BL90*BO90*VLOOKUP('Données projet'!$B$11,Paramètres!$A$1:$I$89,3,0)*0.475*44/12</f>
        <v>2.8629936025452514</v>
      </c>
      <c r="BS90" s="22">
        <f t="shared" si="63"/>
        <v>24.955112385649507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-2.2737367544323206E-13</v>
      </c>
      <c r="BZ90" s="13">
        <f>BY90*VLOOKUP('Données projet'!$B$12,Paramètres!$A$1:$I$89,3,0)*VLOOKUP('Données projet'!$B$12,Paramètres!$A$1:$I$89,5,0)</f>
        <v>-1.3596945791505279E-13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373.61861223558259</v>
      </c>
      <c r="CE90" s="59">
        <f t="shared" si="94"/>
        <v>277.62293009761049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133.42708263741704</v>
      </c>
      <c r="CL90" s="21">
        <f>EXP(-LN(2)/25)*CL89+(1-EXP(-LN(2)/25))/(LN(2)/25)*Calculateur!CG90*Calculateur!CI90*VLOOKUP('Données projet'!$B$12,Paramètres!$A$1:$I$89,3,0)*0.475*44/12</f>
        <v>42.61620061435088</v>
      </c>
      <c r="CM90" s="21">
        <f>EXP(-LN(2)/2)*CM89+(1-EXP(-LN(2)/2))/(LN(2)/2)*CG90*CJ90*VLOOKUP('Données projet'!$B$12,Paramètres!$A$1:$I$89,3,0)*0.475*44/12</f>
        <v>6.2505272084351908</v>
      </c>
      <c r="CN90" s="22">
        <f t="shared" si="66"/>
        <v>182.2938104602031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2.8421709430404007E-14</v>
      </c>
      <c r="CU90" s="17">
        <f>CT90*VLOOKUP('Données projet'!$B$13,Paramètres!$A$1:$I$89,3,0)*VLOOKUP('Données projet'!$B$13,Paramètres!$A$1:$I$89,5,0)</f>
        <v>2.4829205358400945E-14</v>
      </c>
      <c r="CV90" s="13">
        <f t="shared" si="95"/>
        <v>4.3867331143352915E-13</v>
      </c>
      <c r="CW90" s="20">
        <f t="shared" si="67"/>
        <v>8.0726688341261168E-13</v>
      </c>
      <c r="CX90" s="59">
        <f t="shared" si="68"/>
        <v>273.33480257047563</v>
      </c>
      <c r="CY90" s="59">
        <f ca="1">AVERAGE(OFFSET($CX$3,0,0,'Données projet'!$E$13+1,1))-AVERAGE(OFFSET($H$3,0,0,'Données projet'!$E$13+1,1))</f>
        <v>287.28439432670405</v>
      </c>
      <c r="CZ90" s="59">
        <f t="shared" si="96"/>
        <v>276.01618888357268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28.716155965499222</v>
      </c>
      <c r="DG90" s="21">
        <f>EXP(-LN(2)/25)*DG89+(1-EXP(-LN(2)/25))/(LN(2)/25)*Calculateur!DB90*Calculateur!DD90*VLOOKUP('Données projet'!$B$13,Paramètres!$A$1:$I$89,3,0)*0.475*44/12</f>
        <v>30.057753971931675</v>
      </c>
      <c r="DH90" s="21">
        <f>EXP(-LN(2)/2)*DH89+(1-EXP(-LN(2)/2))/(LN(2)/2)*DB90*DE90*VLOOKUP('Données projet'!$B$13,Paramètres!$A$1:$I$89,3,0)*0.475*44/12</f>
        <v>4.0169358831108539</v>
      </c>
      <c r="DI90" s="22">
        <f t="shared" si="69"/>
        <v>62.790845820541755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9">
        <f t="shared" si="55"/>
        <v>907.80601685922727</v>
      </c>
      <c r="S91" s="59">
        <f ca="1">AVERAGE(OFFSET($R$3,0,0,'Données projet'!$E$9+1,1))-AVERAGE(OFFSET($H$3,0,0,'Données projet'!$E$9+1,1))</f>
        <v>681.47578137804555</v>
      </c>
      <c r="T91" s="59">
        <f t="shared" si="88"/>
        <v>300.88511065995885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10.192500000000001</v>
      </c>
      <c r="AI91" s="13">
        <f>IF('Données projet'!$A$62&gt;35,AI90+AH91-AQ90,IF(A91&lt;'Données projet'!$A$62,$AF$205^A91,IF(A91='Données projet'!$A$62,'Données projet'!$B$62,AI90+AH91-AQ90)))</f>
        <v>360.01749999999993</v>
      </c>
      <c r="AJ91" s="13">
        <f>AI91*VLOOKUP('Données projet'!$B$10,Paramètres!$A$1:$I$89,3,0)*VLOOKUP('Données projet'!$B$10,Paramètres!$A$1:$I$89,5,0)</f>
        <v>168.48818999999997</v>
      </c>
      <c r="AK91" s="13">
        <f t="shared" si="89"/>
        <v>42.751252606373484</v>
      </c>
      <c r="AL91" s="20">
        <f t="shared" si="58"/>
        <v>367.90869587276711</v>
      </c>
      <c r="AM91" s="59">
        <f t="shared" si="59"/>
        <v>641.59042824196081</v>
      </c>
      <c r="AN91" s="59">
        <f ca="1">AVERAGE(OFFSET($AM$3,0,0,'Données projet'!$E$10+1,1))-AVERAGE(OFFSET($H$3,0,0,'Données projet'!$E$10+1,1))</f>
        <v>374.38106339726073</v>
      </c>
      <c r="AO91" s="59">
        <f t="shared" si="90"/>
        <v>296.53283288925957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53.495826808911261</v>
      </c>
      <c r="AV91" s="21">
        <f>EXP(-LN(2)/25)*AV90+(1-EXP(-LN(2)/25))/(LN(2)/25)*Calculateur!AQ91*Calculateur!AS91*VLOOKUP('Données projet'!$B$10,Paramètres!$A$1:$I$89,3,0)*0.475*44/12</f>
        <v>21.733958328392713</v>
      </c>
      <c r="AW91" s="21">
        <f>EXP(-LN(2)/2)*AW90+(1-EXP(-LN(2)/2))/(LN(2)/2)*AQ91*AT91*VLOOKUP('Données projet'!$B$10,Paramètres!$A$1:$I$89,3,0)*0.475*44/12</f>
        <v>3.6479427623433098</v>
      </c>
      <c r="AX91" s="21">
        <f t="shared" si="60"/>
        <v>78.877727899647283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264.19999999999987</v>
      </c>
      <c r="BE91" s="13">
        <f>BD91*VLOOKUP('Données projet'!$B$11,Paramètres!$A$1:$I$89,3,0)*VLOOKUP('Données projet'!$B$11,Paramètres!$A$1:$I$89,5,0)</f>
        <v>251.41271999999989</v>
      </c>
      <c r="BF91" s="13">
        <f t="shared" si="91"/>
        <v>60.888354295829195</v>
      </c>
      <c r="BG91" s="20">
        <f t="shared" si="61"/>
        <v>543.92437106523562</v>
      </c>
      <c r="BH91" s="59">
        <f t="shared" si="62"/>
        <v>817.60610343442931</v>
      </c>
      <c r="BI91" s="59">
        <f ca="1">AVERAGE(OFFSET($BH$3,0,0,'Données projet'!$E$11+1,1))-AVERAGE(OFFSET($H$3,0,0,'Données projet'!$E$11+1,1))</f>
        <v>423.80243030843661</v>
      </c>
      <c r="BJ91" s="59">
        <f t="shared" si="92"/>
        <v>260.29028006191834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7.7631515231171697</v>
      </c>
      <c r="BQ91" s="21">
        <f>EXP(-LN(2)/25)*BQ90+(1-EXP(-LN(2)/25))/(LN(2)/25)*Calculateur!BL91*Calculateur!BN91*VLOOKUP('Données projet'!$B$11,Paramètres!$A$1:$I$89,3,0)*0.475*44/12</f>
        <v>13.786111389479069</v>
      </c>
      <c r="BR91" s="21">
        <f>EXP(-LN(2)/2)*BR90+(1-EXP(-LN(2)/2))/(LN(2)/2)*BL91*BO91*VLOOKUP('Données projet'!$B$11,Paramètres!$A$1:$I$89,3,0)*0.475*44/12</f>
        <v>2.0244421908534505</v>
      </c>
      <c r="BS91" s="22">
        <f t="shared" si="63"/>
        <v>23.57370510344969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-2.2737367544323206E-13</v>
      </c>
      <c r="BZ91" s="13">
        <f>BY91*VLOOKUP('Données projet'!$B$12,Paramètres!$A$1:$I$89,3,0)*VLOOKUP('Données projet'!$B$12,Paramètres!$A$1:$I$89,5,0)</f>
        <v>-1.3596945791505279E-13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373.61861223558259</v>
      </c>
      <c r="CE91" s="59">
        <f t="shared" si="94"/>
        <v>277.62293009761049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130.81065892938184</v>
      </c>
      <c r="CL91" s="21">
        <f>EXP(-LN(2)/25)*CL90+(1-EXP(-LN(2)/25))/(LN(2)/25)*Calculateur!CG91*Calculateur!CI91*VLOOKUP('Données projet'!$B$12,Paramètres!$A$1:$I$89,3,0)*0.475*44/12</f>
        <v>41.450858367462864</v>
      </c>
      <c r="CM91" s="21">
        <f>EXP(-LN(2)/2)*CM90+(1-EXP(-LN(2)/2))/(LN(2)/2)*CG91*CJ91*VLOOKUP('Données projet'!$B$12,Paramètres!$A$1:$I$89,3,0)*0.475*44/12</f>
        <v>4.4197901750755442</v>
      </c>
      <c r="CN91" s="22">
        <f t="shared" si="66"/>
        <v>176.68130747192026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2.8421709430404007E-14</v>
      </c>
      <c r="CU91" s="17">
        <f>CT91*VLOOKUP('Données projet'!$B$13,Paramètres!$A$1:$I$89,3,0)*VLOOKUP('Données projet'!$B$13,Paramètres!$A$1:$I$89,5,0)</f>
        <v>2.4829205358400945E-14</v>
      </c>
      <c r="CV91" s="13">
        <f t="shared" si="95"/>
        <v>4.3867331143352915E-13</v>
      </c>
      <c r="CW91" s="20">
        <f t="shared" si="67"/>
        <v>8.0726688341261168E-13</v>
      </c>
      <c r="CX91" s="59">
        <f t="shared" si="68"/>
        <v>273.68173236919449</v>
      </c>
      <c r="CY91" s="59">
        <f ca="1">AVERAGE(OFFSET($CX$3,0,0,'Données projet'!$E$13+1,1))-AVERAGE(OFFSET($H$3,0,0,'Données projet'!$E$13+1,1))</f>
        <v>287.28439432670405</v>
      </c>
      <c r="CZ91" s="59">
        <f t="shared" si="96"/>
        <v>276.01618888357268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28.153049662141445</v>
      </c>
      <c r="DG91" s="21">
        <f>EXP(-LN(2)/25)*DG90+(1-EXP(-LN(2)/25))/(LN(2)/25)*Calculateur!DB91*Calculateur!DD91*VLOOKUP('Données projet'!$B$13,Paramètres!$A$1:$I$89,3,0)*0.475*44/12</f>
        <v>29.235823108900618</v>
      </c>
      <c r="DH91" s="21">
        <f>EXP(-LN(2)/2)*DH90+(1-EXP(-LN(2)/2))/(LN(2)/2)*DB91*DE91*VLOOKUP('Données projet'!$B$13,Paramètres!$A$1:$I$89,3,0)*0.475*44/12</f>
        <v>2.8404026025392577</v>
      </c>
      <c r="DI91" s="22">
        <f t="shared" si="69"/>
        <v>60.229275373581316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9">
        <f t="shared" si="55"/>
        <v>925.63471753484805</v>
      </c>
      <c r="S92" s="59">
        <f ca="1">AVERAGE(OFFSET($R$3,0,0,'Données projet'!$E$9+1,1))-AVERAGE(OFFSET($H$3,0,0,'Données projet'!$E$9+1,1))</f>
        <v>681.47578137804555</v>
      </c>
      <c r="T92" s="59">
        <f t="shared" si="88"/>
        <v>300.88511065995885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10.192500000000001</v>
      </c>
      <c r="AI92" s="13">
        <f>IF('Données projet'!$A$62&gt;35,AI91+AH92-AQ91,IF(A92&lt;'Données projet'!$A$62,$AF$205^A92,IF(A92='Données projet'!$A$62,'Données projet'!$B$62,AI91+AH92-AQ91)))</f>
        <v>370.20999999999992</v>
      </c>
      <c r="AJ92" s="13">
        <f>AI92*VLOOKUP('Données projet'!$B$10,Paramètres!$A$1:$I$89,3,0)*VLOOKUP('Données projet'!$B$10,Paramètres!$A$1:$I$89,5,0)</f>
        <v>173.25827999999996</v>
      </c>
      <c r="AK92" s="13">
        <f t="shared" si="89"/>
        <v>43.818961645566453</v>
      </c>
      <c r="AL92" s="20">
        <f t="shared" si="58"/>
        <v>378.07619586602806</v>
      </c>
      <c r="AM92" s="59">
        <f t="shared" si="59"/>
        <v>652.09883957755164</v>
      </c>
      <c r="AN92" s="59">
        <f ca="1">AVERAGE(OFFSET($AM$3,0,0,'Données projet'!$E$10+1,1))-AVERAGE(OFFSET($H$3,0,0,'Données projet'!$E$10+1,1))</f>
        <v>374.38106339726073</v>
      </c>
      <c r="AO92" s="59">
        <f t="shared" si="90"/>
        <v>296.53283288925957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52.446806274420993</v>
      </c>
      <c r="AV92" s="21">
        <f>EXP(-LN(2)/25)*AV91+(1-EXP(-LN(2)/25))/(LN(2)/25)*Calculateur!AQ92*Calculateur!AS92*VLOOKUP('Données projet'!$B$10,Paramètres!$A$1:$I$89,3,0)*0.475*44/12</f>
        <v>21.139642094963619</v>
      </c>
      <c r="AW92" s="21">
        <f>EXP(-LN(2)/2)*AW91+(1-EXP(-LN(2)/2))/(LN(2)/2)*AQ92*AT92*VLOOKUP('Données projet'!$B$10,Paramètres!$A$1:$I$89,3,0)*0.475*44/12</f>
        <v>2.5794850646333405</v>
      </c>
      <c r="AX92" s="21">
        <f t="shared" si="60"/>
        <v>76.165933434017958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269.59999999999985</v>
      </c>
      <c r="BE92" s="13">
        <f>BD92*VLOOKUP('Données projet'!$B$11,Paramètres!$A$1:$I$89,3,0)*VLOOKUP('Données projet'!$B$11,Paramètres!$A$1:$I$89,5,0)</f>
        <v>256.55135999999987</v>
      </c>
      <c r="BF92" s="13">
        <f t="shared" si="91"/>
        <v>61.986696970400146</v>
      </c>
      <c r="BG92" s="20">
        <f t="shared" si="61"/>
        <v>554.78711589011334</v>
      </c>
      <c r="BH92" s="59">
        <f t="shared" si="62"/>
        <v>828.80975960163687</v>
      </c>
      <c r="BI92" s="59">
        <f ca="1">AVERAGE(OFFSET($BH$3,0,0,'Données projet'!$E$11+1,1))-AVERAGE(OFFSET($H$3,0,0,'Données projet'!$E$11+1,1))</f>
        <v>423.80243030843661</v>
      </c>
      <c r="BJ92" s="59">
        <f t="shared" si="92"/>
        <v>260.29028006191834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7.6109208568037232</v>
      </c>
      <c r="BQ92" s="21">
        <f>EXP(-LN(2)/25)*BQ91+(1-EXP(-LN(2)/25))/(LN(2)/25)*Calculateur!BL92*Calculateur!BN92*VLOOKUP('Données projet'!$B$11,Paramètres!$A$1:$I$89,3,0)*0.475*44/12</f>
        <v>13.409129448553674</v>
      </c>
      <c r="BR92" s="21">
        <f>EXP(-LN(2)/2)*BR91+(1-EXP(-LN(2)/2))/(LN(2)/2)*BL92*BO92*VLOOKUP('Données projet'!$B$11,Paramètres!$A$1:$I$89,3,0)*0.475*44/12</f>
        <v>1.4314968012726257</v>
      </c>
      <c r="BS92" s="22">
        <f t="shared" si="63"/>
        <v>22.451547106630024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-2.2737367544323206E-13</v>
      </c>
      <c r="BZ92" s="13">
        <f>BY92*VLOOKUP('Données projet'!$B$12,Paramètres!$A$1:$I$89,3,0)*VLOOKUP('Données projet'!$B$12,Paramètres!$A$1:$I$89,5,0)</f>
        <v>-1.3596945791505279E-13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373.61861223558259</v>
      </c>
      <c r="CE92" s="59">
        <f t="shared" si="94"/>
        <v>277.62293009761049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128.24554169440034</v>
      </c>
      <c r="CL92" s="21">
        <f>EXP(-LN(2)/25)*CL91+(1-EXP(-LN(2)/25))/(LN(2)/25)*Calculateur!CG92*Calculateur!CI92*VLOOKUP('Données projet'!$B$12,Paramètres!$A$1:$I$89,3,0)*0.475*44/12</f>
        <v>40.317382465598691</v>
      </c>
      <c r="CM92" s="21">
        <f>EXP(-LN(2)/2)*CM91+(1-EXP(-LN(2)/2))/(LN(2)/2)*CG92*CJ92*VLOOKUP('Données projet'!$B$12,Paramètres!$A$1:$I$89,3,0)*0.475*44/12</f>
        <v>3.1252636042175954</v>
      </c>
      <c r="CN92" s="22">
        <f t="shared" si="66"/>
        <v>171.68818776421662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2.8421709430404007E-14</v>
      </c>
      <c r="CU92" s="17">
        <f>CT92*VLOOKUP('Données projet'!$B$13,Paramètres!$A$1:$I$89,3,0)*VLOOKUP('Données projet'!$B$13,Paramètres!$A$1:$I$89,5,0)</f>
        <v>2.4829205358400945E-14</v>
      </c>
      <c r="CV92" s="13">
        <f t="shared" si="95"/>
        <v>4.3867331143352915E-13</v>
      </c>
      <c r="CW92" s="20">
        <f t="shared" si="67"/>
        <v>8.0726688341261168E-13</v>
      </c>
      <c r="CX92" s="59">
        <f t="shared" si="68"/>
        <v>274.02264371152438</v>
      </c>
      <c r="CY92" s="59">
        <f ca="1">AVERAGE(OFFSET($CX$3,0,0,'Données projet'!$E$13+1,1))-AVERAGE(OFFSET($H$3,0,0,'Données projet'!$E$13+1,1))</f>
        <v>287.28439432670405</v>
      </c>
      <c r="CZ92" s="59">
        <f t="shared" si="96"/>
        <v>276.01618888357268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27.600985529931584</v>
      </c>
      <c r="DG92" s="21">
        <f>EXP(-LN(2)/25)*DG91+(1-EXP(-LN(2)/25))/(LN(2)/25)*Calculateur!DB92*Calculateur!DD92*VLOOKUP('Données projet'!$B$13,Paramètres!$A$1:$I$89,3,0)*0.475*44/12</f>
        <v>28.436367988542614</v>
      </c>
      <c r="DH92" s="21">
        <f>EXP(-LN(2)/2)*DH91+(1-EXP(-LN(2)/2))/(LN(2)/2)*DB92*DE92*VLOOKUP('Données projet'!$B$13,Paramètres!$A$1:$I$89,3,0)*0.475*44/12</f>
        <v>2.008467941555427</v>
      </c>
      <c r="DI92" s="22">
        <f t="shared" si="69"/>
        <v>58.045821460029629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9">
        <f t="shared" si="55"/>
        <v>943.44783190500175</v>
      </c>
      <c r="S93" s="59">
        <f ca="1">AVERAGE(OFFSET($R$3,0,0,'Données projet'!$E$9+1,1))-AVERAGE(OFFSET($H$3,0,0,'Données projet'!$E$9+1,1))</f>
        <v>681.47578137804555</v>
      </c>
      <c r="T93" s="59">
        <f t="shared" si="88"/>
        <v>300.88511065995885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10.192500000000001</v>
      </c>
      <c r="AI93" s="13">
        <f>IF('Données projet'!$A$62&gt;35,AI92+AH93-AQ92,IF(A93&lt;'Données projet'!$A$62,$AF$205^A93,IF(A93='Données projet'!$A$62,'Données projet'!$B$62,AI92+AH93-AQ92)))</f>
        <v>380.40249999999992</v>
      </c>
      <c r="AJ93" s="13">
        <f>AI93*VLOOKUP('Données projet'!$B$10,Paramètres!$A$1:$I$89,3,0)*VLOOKUP('Données projet'!$B$10,Paramètres!$A$1:$I$89,5,0)</f>
        <v>178.02836999999997</v>
      </c>
      <c r="AK93" s="13">
        <f t="shared" si="89"/>
        <v>44.883254032720146</v>
      </c>
      <c r="AL93" s="20">
        <f t="shared" si="58"/>
        <v>388.23774519032082</v>
      </c>
      <c r="AM93" s="59">
        <f t="shared" si="59"/>
        <v>662.5953861945485</v>
      </c>
      <c r="AN93" s="59">
        <f ca="1">AVERAGE(OFFSET($AM$3,0,0,'Données projet'!$E$10+1,1))-AVERAGE(OFFSET($H$3,0,0,'Données projet'!$E$10+1,1))</f>
        <v>374.38106339726073</v>
      </c>
      <c r="AO93" s="59">
        <f t="shared" si="90"/>
        <v>296.53283288925957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51.418356392772736</v>
      </c>
      <c r="AV93" s="21">
        <f>EXP(-LN(2)/25)*AV92+(1-EXP(-LN(2)/25))/(LN(2)/25)*Calculateur!AQ93*Calculateur!AS93*VLOOKUP('Données projet'!$B$10,Paramètres!$A$1:$I$89,3,0)*0.475*44/12</f>
        <v>20.561577470191377</v>
      </c>
      <c r="AW93" s="21">
        <f>EXP(-LN(2)/2)*AW92+(1-EXP(-LN(2)/2))/(LN(2)/2)*AQ93*AT93*VLOOKUP('Données projet'!$B$10,Paramètres!$A$1:$I$89,3,0)*0.475*44/12</f>
        <v>1.8239713811716549</v>
      </c>
      <c r="AX93" s="21">
        <f t="shared" si="60"/>
        <v>73.803905244135777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274.99999999999983</v>
      </c>
      <c r="BE93" s="13">
        <f>BD93*VLOOKUP('Données projet'!$B$11,Paramètres!$A$1:$I$89,3,0)*VLOOKUP('Données projet'!$B$11,Paramètres!$A$1:$I$89,5,0)</f>
        <v>261.68999999999983</v>
      </c>
      <c r="BF93" s="13">
        <f t="shared" si="91"/>
        <v>63.082481711546343</v>
      </c>
      <c r="BG93" s="20">
        <f t="shared" si="61"/>
        <v>565.64540564760955</v>
      </c>
      <c r="BH93" s="59">
        <f t="shared" si="62"/>
        <v>840.00304665183717</v>
      </c>
      <c r="BI93" s="59">
        <f ca="1">AVERAGE(OFFSET($BH$3,0,0,'Données projet'!$E$11+1,1))-AVERAGE(OFFSET($H$3,0,0,'Données projet'!$E$11+1,1))</f>
        <v>423.80243030843661</v>
      </c>
      <c r="BJ93" s="59">
        <f t="shared" si="92"/>
        <v>260.29028006191834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0.1075</v>
      </c>
      <c r="BN93" s="16">
        <f>IF(ISNA(VLOOKUP(A93,'Données projet'!$A$87:$I$107,6,0)),0%,VLOOKUP(A93,'Données projet'!$A$87:$I$107,6,0)*VLOOKUP('Données projet'!$B$11,Paramètres!$A$1:$I$89,7,0))</f>
        <v>0.1075</v>
      </c>
      <c r="BO93" s="16">
        <f>IF(ISNA(VLOOKUP(A93,'Données projet'!$A$87:$I$107,7,0)),0%,VLOOKUP(A93,'Données projet'!$A$87:$I$107,7,0))</f>
        <v>0.25</v>
      </c>
      <c r="BP93" s="21">
        <f>EXP(-LN(2)/35)*BP92+(1-EXP(-LN(2)/35))/(LN(2)/35)*BL93*BM93*VLOOKUP('Données projet'!$B$11,Paramètres!$A$1:$I$89,3,0)*0.475*44/12</f>
        <v>9.8364877127218708</v>
      </c>
      <c r="BQ93" s="21">
        <f>EXP(-LN(2)/25)*BQ92+(1-EXP(-LN(2)/25))/(LN(2)/25)*Calculateur!BL93*Calculateur!BN93*VLOOKUP('Données projet'!$B$11,Paramètres!$A$1:$I$89,3,0)*0.475*44/12</f>
        <v>15.407917929162327</v>
      </c>
      <c r="BR93" s="21">
        <f>EXP(-LN(2)/2)*BR92+(1-EXP(-LN(2)/2))/(LN(2)/2)*BL93*BO93*VLOOKUP('Données projet'!$B$11,Paramètres!$A$1:$I$89,3,0)*0.475*44/12</f>
        <v>5.7259872081037848</v>
      </c>
      <c r="BS93" s="22">
        <f t="shared" si="63"/>
        <v>30.970392849987984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-2.2737367544323206E-13</v>
      </c>
      <c r="BZ93" s="13">
        <f>BY93*VLOOKUP('Données projet'!$B$12,Paramètres!$A$1:$I$89,3,0)*VLOOKUP('Données projet'!$B$12,Paramètres!$A$1:$I$89,5,0)</f>
        <v>-1.3596945791505279E-13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373.61861223558259</v>
      </c>
      <c r="CE93" s="59">
        <f t="shared" si="94"/>
        <v>277.62293009761049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125.7307248438298</v>
      </c>
      <c r="CL93" s="21">
        <f>EXP(-LN(2)/25)*CL92+(1-EXP(-LN(2)/25))/(LN(2)/25)*Calculateur!CG93*Calculateur!CI93*VLOOKUP('Données projet'!$B$12,Paramètres!$A$1:$I$89,3,0)*0.475*44/12</f>
        <v>39.214901521877898</v>
      </c>
      <c r="CM93" s="21">
        <f>EXP(-LN(2)/2)*CM92+(1-EXP(-LN(2)/2))/(LN(2)/2)*CG93*CJ93*VLOOKUP('Données projet'!$B$12,Paramètres!$A$1:$I$89,3,0)*0.475*44/12</f>
        <v>2.2098950875377721</v>
      </c>
      <c r="CN93" s="22">
        <f t="shared" si="66"/>
        <v>167.15552145324548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2.8421709430404007E-14</v>
      </c>
      <c r="CU93" s="17">
        <f>CT93*VLOOKUP('Données projet'!$B$13,Paramètres!$A$1:$I$89,3,0)*VLOOKUP('Données projet'!$B$13,Paramètres!$A$1:$I$89,5,0)</f>
        <v>2.4829205358400945E-14</v>
      </c>
      <c r="CV93" s="13">
        <f t="shared" si="95"/>
        <v>4.3867331143352915E-13</v>
      </c>
      <c r="CW93" s="20">
        <f t="shared" si="67"/>
        <v>8.0726688341261168E-13</v>
      </c>
      <c r="CX93" s="59">
        <f t="shared" si="68"/>
        <v>274.35764100422847</v>
      </c>
      <c r="CY93" s="59">
        <f ca="1">AVERAGE(OFFSET($CX$3,0,0,'Données projet'!$E$13+1,1))-AVERAGE(OFFSET($H$3,0,0,'Données projet'!$E$13+1,1))</f>
        <v>287.28439432670405</v>
      </c>
      <c r="CZ93" s="59">
        <f t="shared" si="96"/>
        <v>276.01618888357268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27.059747038628487</v>
      </c>
      <c r="DG93" s="21">
        <f>EXP(-LN(2)/25)*DG92+(1-EXP(-LN(2)/25))/(LN(2)/25)*Calculateur!DB93*Calculateur!DD93*VLOOKUP('Données projet'!$B$13,Paramètres!$A$1:$I$89,3,0)*0.475*44/12</f>
        <v>27.658774010492316</v>
      </c>
      <c r="DH93" s="21">
        <f>EXP(-LN(2)/2)*DH92+(1-EXP(-LN(2)/2))/(LN(2)/2)*DB93*DE93*VLOOKUP('Données projet'!$B$13,Paramètres!$A$1:$I$89,3,0)*0.475*44/12</f>
        <v>1.4202013012696288</v>
      </c>
      <c r="DI93" s="22">
        <f t="shared" si="69"/>
        <v>56.138722350390431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9">
        <f t="shared" si="55"/>
        <v>961.2457505969237</v>
      </c>
      <c r="S94" s="59">
        <f ca="1">AVERAGE(OFFSET($R$3,0,0,'Données projet'!$E$9+1,1))-AVERAGE(OFFSET($H$3,0,0,'Données projet'!$E$9+1,1))</f>
        <v>681.47578137804555</v>
      </c>
      <c r="T94" s="59">
        <f t="shared" si="88"/>
        <v>300.88511065995885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10.192500000000001</v>
      </c>
      <c r="AI94" s="13">
        <f>IF('Données projet'!$A$62&gt;35,AI93+AH94-AQ93,IF(A94&lt;'Données projet'!$A$62,$AF$205^A94,IF(A94='Données projet'!$A$62,'Données projet'!$B$62,AI93+AH94-AQ93)))</f>
        <v>390.59499999999991</v>
      </c>
      <c r="AJ94" s="13">
        <f>AI94*VLOOKUP('Données projet'!$B$10,Paramètres!$A$1:$I$89,3,0)*VLOOKUP('Données projet'!$B$10,Paramètres!$A$1:$I$89,5,0)</f>
        <v>182.79845999999995</v>
      </c>
      <c r="AK94" s="13">
        <f t="shared" si="89"/>
        <v>45.944231835010378</v>
      </c>
      <c r="AL94" s="20">
        <f t="shared" si="58"/>
        <v>398.39352161264304</v>
      </c>
      <c r="AM94" s="59">
        <f t="shared" si="59"/>
        <v>673.08034845548809</v>
      </c>
      <c r="AN94" s="59">
        <f ca="1">AVERAGE(OFFSET($AM$3,0,0,'Données projet'!$E$10+1,1))-AVERAGE(OFFSET($H$3,0,0,'Données projet'!$E$10+1,1))</f>
        <v>374.38106339726073</v>
      </c>
      <c r="AO94" s="59">
        <f t="shared" si="90"/>
        <v>296.53283288925957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50.410073786011111</v>
      </c>
      <c r="AV94" s="21">
        <f>EXP(-LN(2)/25)*AV93+(1-EXP(-LN(2)/25))/(LN(2)/25)*Calculateur!AQ94*Calculateur!AS94*VLOOKUP('Données projet'!$B$10,Paramètres!$A$1:$I$89,3,0)*0.475*44/12</f>
        <v>19.999320052982629</v>
      </c>
      <c r="AW94" s="21">
        <f>EXP(-LN(2)/2)*AW93+(1-EXP(-LN(2)/2))/(LN(2)/2)*AQ94*AT94*VLOOKUP('Données projet'!$B$10,Paramètres!$A$1:$I$89,3,0)*0.475*44/12</f>
        <v>1.2897425323166702</v>
      </c>
      <c r="AX94" s="21">
        <f t="shared" si="60"/>
        <v>71.699136371310402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</v>
      </c>
      <c r="BD94" s="12">
        <f>IF('Données projet'!$A$88&gt;35,BD93+BC94-BL93,IF(A94&lt;'Données projet'!$A$88,$BA$205^A94,IF(A94='Données projet'!$A$88,'Données projet'!$B$88,BD93+BC94-BL93)))</f>
        <v>258.99999999999983</v>
      </c>
      <c r="BE94" s="13">
        <f>BD94*VLOOKUP('Données projet'!$B$11,Paramètres!$A$1:$I$89,3,0)*VLOOKUP('Données projet'!$B$11,Paramètres!$A$1:$I$89,5,0)</f>
        <v>246.46439999999984</v>
      </c>
      <c r="BF94" s="13">
        <f t="shared" si="91"/>
        <v>59.828218865086768</v>
      </c>
      <c r="BG94" s="20">
        <f t="shared" si="61"/>
        <v>533.45964452335909</v>
      </c>
      <c r="BH94" s="59">
        <f t="shared" si="62"/>
        <v>808.1464713662042</v>
      </c>
      <c r="BI94" s="59">
        <f ca="1">AVERAGE(OFFSET($BH$3,0,0,'Données projet'!$E$11+1,1))-AVERAGE(OFFSET($H$3,0,0,'Données projet'!$E$11+1,1))</f>
        <v>423.80243030843661</v>
      </c>
      <c r="BJ94" s="59">
        <f t="shared" si="92"/>
        <v>260.29028006191834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9.643600188340482</v>
      </c>
      <c r="BQ94" s="21">
        <f>EXP(-LN(2)/25)*BQ93+(1-EXP(-LN(2)/25))/(LN(2)/25)*Calculateur!BL94*Calculateur!BN94*VLOOKUP('Données projet'!$B$11,Paramètres!$A$1:$I$89,3,0)*0.475*44/12</f>
        <v>14.986587603122194</v>
      </c>
      <c r="BR94" s="21">
        <f>EXP(-LN(2)/2)*BR93+(1-EXP(-LN(2)/2))/(LN(2)/2)*BL94*BO94*VLOOKUP('Données projet'!$B$11,Paramètres!$A$1:$I$89,3,0)*0.475*44/12</f>
        <v>4.0488843838376134</v>
      </c>
      <c r="BS94" s="22">
        <f t="shared" si="63"/>
        <v>28.679072175300288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-2.2737367544323206E-13</v>
      </c>
      <c r="BZ94" s="13">
        <f>BY94*VLOOKUP('Données projet'!$B$12,Paramètres!$A$1:$I$89,3,0)*VLOOKUP('Données projet'!$B$12,Paramètres!$A$1:$I$89,5,0)</f>
        <v>-1.3596945791505279E-13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373.61861223558259</v>
      </c>
      <c r="CE94" s="59">
        <f t="shared" si="94"/>
        <v>277.62293009761049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123.26522201781214</v>
      </c>
      <c r="CL94" s="21">
        <f>EXP(-LN(2)/25)*CL93+(1-EXP(-LN(2)/25))/(LN(2)/25)*Calculateur!CG94*Calculateur!CI94*VLOOKUP('Données projet'!$B$12,Paramètres!$A$1:$I$89,3,0)*0.475*44/12</f>
        <v>38.142567977540104</v>
      </c>
      <c r="CM94" s="21">
        <f>EXP(-LN(2)/2)*CM93+(1-EXP(-LN(2)/2))/(LN(2)/2)*CG94*CJ94*VLOOKUP('Données projet'!$B$12,Paramètres!$A$1:$I$89,3,0)*0.475*44/12</f>
        <v>1.5626318021087977</v>
      </c>
      <c r="CN94" s="22">
        <f t="shared" si="66"/>
        <v>162.97042179746103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2.8421709430404007E-14</v>
      </c>
      <c r="CU94" s="17">
        <f>CT94*VLOOKUP('Données projet'!$B$13,Paramètres!$A$1:$I$89,3,0)*VLOOKUP('Données projet'!$B$13,Paramètres!$A$1:$I$89,5,0)</f>
        <v>2.4829205358400945E-14</v>
      </c>
      <c r="CV94" s="13">
        <f t="shared" si="95"/>
        <v>4.3867331143352915E-13</v>
      </c>
      <c r="CW94" s="20">
        <f t="shared" si="67"/>
        <v>8.0726688341261168E-13</v>
      </c>
      <c r="CX94" s="59">
        <f t="shared" si="68"/>
        <v>274.68682684284585</v>
      </c>
      <c r="CY94" s="59">
        <f ca="1">AVERAGE(OFFSET($CX$3,0,0,'Données projet'!$E$13+1,1))-AVERAGE(OFFSET($H$3,0,0,'Données projet'!$E$13+1,1))</f>
        <v>287.28439432670405</v>
      </c>
      <c r="CZ94" s="59">
        <f t="shared" si="96"/>
        <v>276.01618888357268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26.529121904016961</v>
      </c>
      <c r="DG94" s="21">
        <f>EXP(-LN(2)/25)*DG93+(1-EXP(-LN(2)/25))/(LN(2)/25)*Calculateur!DB94*Calculateur!DD94*VLOOKUP('Données projet'!$B$13,Paramètres!$A$1:$I$89,3,0)*0.475*44/12</f>
        <v>26.902443380663694</v>
      </c>
      <c r="DH94" s="21">
        <f>EXP(-LN(2)/2)*DH93+(1-EXP(-LN(2)/2))/(LN(2)/2)*DB94*DE94*VLOOKUP('Données projet'!$B$13,Paramètres!$A$1:$I$89,3,0)*0.475*44/12</f>
        <v>1.0042339707777135</v>
      </c>
      <c r="DI94" s="22">
        <f t="shared" si="69"/>
        <v>54.43579925545837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9">
        <f t="shared" si="55"/>
        <v>979.02884661845201</v>
      </c>
      <c r="S95" s="59">
        <f ca="1">AVERAGE(OFFSET($R$3,0,0,'Données projet'!$E$9+1,1))-AVERAGE(OFFSET($H$3,0,0,'Données projet'!$E$9+1,1))</f>
        <v>681.47578137804555</v>
      </c>
      <c r="T95" s="59">
        <f t="shared" si="88"/>
        <v>300.88511065995885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10.192500000000001</v>
      </c>
      <c r="AI95" s="13">
        <f>IF('Données projet'!$A$62&gt;35,AI94+AH95-AQ94,IF(A95&lt;'Données projet'!$A$62,$AF$205^A95,IF(A95='Données projet'!$A$62,'Données projet'!$B$62,AI94+AH95-AQ94)))</f>
        <v>400.78749999999991</v>
      </c>
      <c r="AJ95" s="13">
        <f>AI95*VLOOKUP('Données projet'!$B$10,Paramètres!$A$1:$I$89,3,0)*VLOOKUP('Données projet'!$B$10,Paramètres!$A$1:$I$89,5,0)</f>
        <v>187.56854999999999</v>
      </c>
      <c r="AK95" s="13">
        <f t="shared" si="89"/>
        <v>47.00199148936823</v>
      </c>
      <c r="AL95" s="20">
        <f t="shared" si="58"/>
        <v>408.54369309398299</v>
      </c>
      <c r="AM95" s="59">
        <f t="shared" si="59"/>
        <v>683.55399513709472</v>
      </c>
      <c r="AN95" s="59">
        <f ca="1">AVERAGE(OFFSET($AM$3,0,0,'Données projet'!$E$10+1,1))-AVERAGE(OFFSET($H$3,0,0,'Données projet'!$E$10+1,1))</f>
        <v>374.38106339726073</v>
      </c>
      <c r="AO95" s="59">
        <f t="shared" si="90"/>
        <v>296.53283288925957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49.421562986176419</v>
      </c>
      <c r="AV95" s="21">
        <f>EXP(-LN(2)/25)*AV94+(1-EXP(-LN(2)/25))/(LN(2)/25)*Calculateur!AQ95*Calculateur!AS95*VLOOKUP('Données projet'!$B$10,Paramètres!$A$1:$I$89,3,0)*0.475*44/12</f>
        <v>19.452437594415287</v>
      </c>
      <c r="AW95" s="21">
        <f>EXP(-LN(2)/2)*AW94+(1-EXP(-LN(2)/2))/(LN(2)/2)*AQ95*AT95*VLOOKUP('Données projet'!$B$10,Paramètres!$A$1:$I$89,3,0)*0.475*44/12</f>
        <v>0.91198569058582746</v>
      </c>
      <c r="AX95" s="21">
        <f t="shared" si="60"/>
        <v>69.785986271177535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</v>
      </c>
      <c r="BD95" s="12">
        <f>IF('Données projet'!$A$88&gt;35,BD94+BC95-BL94,IF(A95&lt;'Données projet'!$A$88,$BA$205^A95,IF(A95='Données projet'!$A$88,'Données projet'!$B$88,BD94+BC95-BL94)))</f>
        <v>263.99999999999983</v>
      </c>
      <c r="BE95" s="13">
        <f>BD95*VLOOKUP('Données projet'!$B$11,Paramètres!$A$1:$I$89,3,0)*VLOOKUP('Données projet'!$B$11,Paramètres!$A$1:$I$89,5,0)</f>
        <v>251.22239999999982</v>
      </c>
      <c r="BF95" s="13">
        <f t="shared" si="91"/>
        <v>60.84762505974976</v>
      </c>
      <c r="BG95" s="20">
        <f t="shared" si="61"/>
        <v>543.52196031239725</v>
      </c>
      <c r="BH95" s="59">
        <f t="shared" si="62"/>
        <v>818.53226235550892</v>
      </c>
      <c r="BI95" s="59">
        <f ca="1">AVERAGE(OFFSET($BH$3,0,0,'Données projet'!$E$11+1,1))-AVERAGE(OFFSET($H$3,0,0,'Données projet'!$E$11+1,1))</f>
        <v>423.80243030843661</v>
      </c>
      <c r="BJ95" s="59">
        <f t="shared" si="92"/>
        <v>260.29028006191834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9.4544950706624391</v>
      </c>
      <c r="BQ95" s="21">
        <f>EXP(-LN(2)/25)*BQ94+(1-EXP(-LN(2)/25))/(LN(2)/25)*Calculateur!BL95*Calculateur!BN95*VLOOKUP('Données projet'!$B$11,Paramètres!$A$1:$I$89,3,0)*0.475*44/12</f>
        <v>14.576778577004427</v>
      </c>
      <c r="BR95" s="21">
        <f>EXP(-LN(2)/2)*BR94+(1-EXP(-LN(2)/2))/(LN(2)/2)*BL95*BO95*VLOOKUP('Données projet'!$B$11,Paramètres!$A$1:$I$89,3,0)*0.475*44/12</f>
        <v>2.8629936040518928</v>
      </c>
      <c r="BS95" s="22">
        <f t="shared" si="63"/>
        <v>26.894267251718759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-2.2737367544323206E-13</v>
      </c>
      <c r="BZ95" s="13">
        <f>BY95*VLOOKUP('Données projet'!$B$12,Paramètres!$A$1:$I$89,3,0)*VLOOKUP('Données projet'!$B$12,Paramètres!$A$1:$I$89,5,0)</f>
        <v>-1.3596945791505279E-13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373.61861223558259</v>
      </c>
      <c r="CE95" s="59">
        <f t="shared" si="94"/>
        <v>277.62293009761049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120.84806619840442</v>
      </c>
      <c r="CL95" s="21">
        <f>EXP(-LN(2)/25)*CL94+(1-EXP(-LN(2)/25))/(LN(2)/25)*Calculateur!CG95*Calculateur!CI95*VLOOKUP('Données projet'!$B$12,Paramètres!$A$1:$I$89,3,0)*0.475*44/12</f>
        <v>37.099557450363797</v>
      </c>
      <c r="CM95" s="21">
        <f>EXP(-LN(2)/2)*CM94+(1-EXP(-LN(2)/2))/(LN(2)/2)*CG95*CJ95*VLOOKUP('Données projet'!$B$12,Paramètres!$A$1:$I$89,3,0)*0.475*44/12</f>
        <v>1.104947543768886</v>
      </c>
      <c r="CN95" s="22">
        <f t="shared" si="66"/>
        <v>159.0525711925371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2.8421709430404007E-14</v>
      </c>
      <c r="CU95" s="17">
        <f>CT95*VLOOKUP('Données projet'!$B$13,Paramètres!$A$1:$I$89,3,0)*VLOOKUP('Données projet'!$B$13,Paramètres!$A$1:$I$89,5,0)</f>
        <v>2.4829205358400945E-14</v>
      </c>
      <c r="CV95" s="13">
        <f t="shared" si="95"/>
        <v>4.3867331143352915E-13</v>
      </c>
      <c r="CW95" s="20">
        <f t="shared" si="67"/>
        <v>8.0726688341261168E-13</v>
      </c>
      <c r="CX95" s="59">
        <f t="shared" si="68"/>
        <v>275.01030204311252</v>
      </c>
      <c r="CY95" s="59">
        <f ca="1">AVERAGE(OFFSET($CX$3,0,0,'Données projet'!$E$13+1,1))-AVERAGE(OFFSET($H$3,0,0,'Données projet'!$E$13+1,1))</f>
        <v>287.28439432670405</v>
      </c>
      <c r="CZ95" s="59">
        <f t="shared" si="96"/>
        <v>276.01618888357268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26.00890200464579</v>
      </c>
      <c r="DG95" s="21">
        <f>EXP(-LN(2)/25)*DG94+(1-EXP(-LN(2)/25))/(LN(2)/25)*Calculateur!DB95*Calculateur!DD95*VLOOKUP('Données projet'!$B$13,Paramètres!$A$1:$I$89,3,0)*0.475*44/12</f>
        <v>26.166794651681435</v>
      </c>
      <c r="DH95" s="21">
        <f>EXP(-LN(2)/2)*DH94+(1-EXP(-LN(2)/2))/(LN(2)/2)*DB95*DE95*VLOOKUP('Données projet'!$B$13,Paramètres!$A$1:$I$89,3,0)*0.475*44/12</f>
        <v>0.71010065063481442</v>
      </c>
      <c r="DI95" s="22">
        <f t="shared" si="69"/>
        <v>52.88579730696204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9">
        <f t="shared" si="55"/>
        <v>996.79747663917988</v>
      </c>
      <c r="S96" s="59">
        <f ca="1">AVERAGE(OFFSET($R$3,0,0,'Données projet'!$E$9+1,1))-AVERAGE(OFFSET($H$3,0,0,'Données projet'!$E$9+1,1))</f>
        <v>681.47578137804555</v>
      </c>
      <c r="T96" s="59">
        <f t="shared" si="88"/>
        <v>300.88511065995885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10.192500000000001</v>
      </c>
      <c r="AI96" s="13">
        <f>IF('Données projet'!$A$62&gt;35,AI95+AH96-AQ95,IF(A96&lt;'Données projet'!$A$62,$AF$205^A96,IF(A96='Données projet'!$A$62,'Données projet'!$B$62,AI95+AH96-AQ95)))</f>
        <v>410.9799999999999</v>
      </c>
      <c r="AJ96" s="13">
        <f>AI96*VLOOKUP('Données projet'!$B$10,Paramètres!$A$1:$I$89,3,0)*VLOOKUP('Données projet'!$B$10,Paramètres!$A$1:$I$89,5,0)</f>
        <v>192.33863999999997</v>
      </c>
      <c r="AK96" s="13">
        <f t="shared" si="89"/>
        <v>48.056624248232239</v>
      </c>
      <c r="AL96" s="20">
        <f t="shared" si="58"/>
        <v>418.68841856567104</v>
      </c>
      <c r="AM96" s="59">
        <f t="shared" si="59"/>
        <v>694.016584237507</v>
      </c>
      <c r="AN96" s="59">
        <f ca="1">AVERAGE(OFFSET($AM$3,0,0,'Données projet'!$E$10+1,1))-AVERAGE(OFFSET($H$3,0,0,'Données projet'!$E$10+1,1))</f>
        <v>374.38106339726073</v>
      </c>
      <c r="AO96" s="59">
        <f t="shared" si="90"/>
        <v>296.53283288925957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48.452436280194433</v>
      </c>
      <c r="AV96" s="21">
        <f>EXP(-LN(2)/25)*AV95+(1-EXP(-LN(2)/25))/(LN(2)/25)*Calculateur!AQ96*Calculateur!AS96*VLOOKUP('Données projet'!$B$10,Paramètres!$A$1:$I$89,3,0)*0.475*44/12</f>
        <v>18.920509665436768</v>
      </c>
      <c r="AW96" s="21">
        <f>EXP(-LN(2)/2)*AW95+(1-EXP(-LN(2)/2))/(LN(2)/2)*AQ96*AT96*VLOOKUP('Données projet'!$B$10,Paramètres!$A$1:$I$89,3,0)*0.475*44/12</f>
        <v>0.64487126615833512</v>
      </c>
      <c r="AX96" s="21">
        <f t="shared" si="60"/>
        <v>68.017817211789534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</v>
      </c>
      <c r="BD96" s="12">
        <f>IF('Données projet'!$A$88&gt;35,BD95+BC96-BL95,IF(A96&lt;'Données projet'!$A$88,$BA$205^A96,IF(A96='Données projet'!$A$88,'Données projet'!$B$88,BD95+BC96-BL95)))</f>
        <v>268.99999999999983</v>
      </c>
      <c r="BE96" s="13">
        <f>BD96*VLOOKUP('Données projet'!$B$11,Paramètres!$A$1:$I$89,3,0)*VLOOKUP('Données projet'!$B$11,Paramètres!$A$1:$I$89,5,0)</f>
        <v>255.98039999999983</v>
      </c>
      <c r="BF96" s="13">
        <f t="shared" si="91"/>
        <v>61.864786260587735</v>
      </c>
      <c r="BG96" s="20">
        <f t="shared" si="61"/>
        <v>553.58036607052338</v>
      </c>
      <c r="BH96" s="59">
        <f t="shared" si="62"/>
        <v>828.9085317423594</v>
      </c>
      <c r="BI96" s="59">
        <f ca="1">AVERAGE(OFFSET($BH$3,0,0,'Données projet'!$E$11+1,1))-AVERAGE(OFFSET($H$3,0,0,'Données projet'!$E$11+1,1))</f>
        <v>423.80243030843661</v>
      </c>
      <c r="BJ96" s="59">
        <f t="shared" si="92"/>
        <v>260.29028006191834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9.2690981889993296</v>
      </c>
      <c r="BQ96" s="21">
        <f>EXP(-LN(2)/25)*BQ95+(1-EXP(-LN(2)/25))/(LN(2)/25)*Calculateur!BL96*Calculateur!BN96*VLOOKUP('Données projet'!$B$11,Paramètres!$A$1:$I$89,3,0)*0.475*44/12</f>
        <v>14.178175800256772</v>
      </c>
      <c r="BR96" s="21">
        <f>EXP(-LN(2)/2)*BR95+(1-EXP(-LN(2)/2))/(LN(2)/2)*BL96*BO96*VLOOKUP('Données projet'!$B$11,Paramètres!$A$1:$I$89,3,0)*0.475*44/12</f>
        <v>2.0244421919188071</v>
      </c>
      <c r="BS96" s="22">
        <f t="shared" si="63"/>
        <v>25.471716181174912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-2.2737367544323206E-13</v>
      </c>
      <c r="BZ96" s="13">
        <f>BY96*VLOOKUP('Données projet'!$B$12,Paramètres!$A$1:$I$89,3,0)*VLOOKUP('Données projet'!$B$12,Paramètres!$A$1:$I$89,5,0)</f>
        <v>-1.3596945791505279E-13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373.61861223558259</v>
      </c>
      <c r="CE96" s="59">
        <f t="shared" si="94"/>
        <v>277.62293009761049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118.47830933029583</v>
      </c>
      <c r="CL96" s="21">
        <f>EXP(-LN(2)/25)*CL95+(1-EXP(-LN(2)/25))/(LN(2)/25)*Calculateur!CG96*Calculateur!CI96*VLOOKUP('Données projet'!$B$12,Paramètres!$A$1:$I$89,3,0)*0.475*44/12</f>
        <v>36.085068100902667</v>
      </c>
      <c r="CM96" s="21">
        <f>EXP(-LN(2)/2)*CM95+(1-EXP(-LN(2)/2))/(LN(2)/2)*CG96*CJ96*VLOOKUP('Données projet'!$B$12,Paramètres!$A$1:$I$89,3,0)*0.475*44/12</f>
        <v>0.78131590105439885</v>
      </c>
      <c r="CN96" s="22">
        <f t="shared" si="66"/>
        <v>155.34469333225289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2.8421709430404007E-14</v>
      </c>
      <c r="CU96" s="17">
        <f>CT96*VLOOKUP('Données projet'!$B$13,Paramètres!$A$1:$I$89,3,0)*VLOOKUP('Données projet'!$B$13,Paramètres!$A$1:$I$89,5,0)</f>
        <v>2.4829205358400945E-14</v>
      </c>
      <c r="CV96" s="13">
        <f t="shared" si="95"/>
        <v>4.3867331143352915E-13</v>
      </c>
      <c r="CW96" s="20">
        <f t="shared" si="67"/>
        <v>8.0726688341261168E-13</v>
      </c>
      <c r="CX96" s="59">
        <f t="shared" si="68"/>
        <v>275.32816567183676</v>
      </c>
      <c r="CY96" s="59">
        <f ca="1">AVERAGE(OFFSET($CX$3,0,0,'Données projet'!$E$13+1,1))-AVERAGE(OFFSET($H$3,0,0,'Données projet'!$E$13+1,1))</f>
        <v>287.28439432670405</v>
      </c>
      <c r="CZ96" s="59">
        <f t="shared" si="96"/>
        <v>276.01618888357268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25.498883300198482</v>
      </c>
      <c r="DG96" s="21">
        <f>EXP(-LN(2)/25)*DG95+(1-EXP(-LN(2)/25))/(LN(2)/25)*Calculateur!DB96*Calculateur!DD96*VLOOKUP('Données projet'!$B$13,Paramètres!$A$1:$I$89,3,0)*0.475*44/12</f>
        <v>25.45126227587928</v>
      </c>
      <c r="DH96" s="21">
        <f>EXP(-LN(2)/2)*DH95+(1-EXP(-LN(2)/2))/(LN(2)/2)*DB96*DE96*VLOOKUP('Données projet'!$B$13,Paramètres!$A$1:$I$89,3,0)*0.475*44/12</f>
        <v>0.50211698538885674</v>
      </c>
      <c r="DI96" s="22">
        <f t="shared" si="69"/>
        <v>51.452262561466618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9">
        <f t="shared" si="55"/>
        <v>1014.5519821439257</v>
      </c>
      <c r="S97" s="59">
        <f ca="1">AVERAGE(OFFSET($R$3,0,0,'Données projet'!$E$9+1,1))-AVERAGE(OFFSET($H$3,0,0,'Données projet'!$E$9+1,1))</f>
        <v>681.47578137804555</v>
      </c>
      <c r="T97" s="59">
        <f t="shared" si="88"/>
        <v>300.88511065995885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10.192500000000001</v>
      </c>
      <c r="AI97" s="13">
        <f>IF('Données projet'!$A$62&gt;35,AI96+AH97-AQ96,IF(A97&lt;'Données projet'!$A$62,$AF$205^A97,IF(A97='Données projet'!$A$62,'Données projet'!$B$62,AI96+AH97-AQ96)))</f>
        <v>421.1724999999999</v>
      </c>
      <c r="AJ97" s="13">
        <f>AI97*VLOOKUP('Données projet'!$B$10,Paramètres!$A$1:$I$89,3,0)*VLOOKUP('Données projet'!$B$10,Paramètres!$A$1:$I$89,5,0)</f>
        <v>197.10872999999995</v>
      </c>
      <c r="AK97" s="13">
        <f t="shared" si="89"/>
        <v>49.108216579835904</v>
      </c>
      <c r="AL97" s="20">
        <f t="shared" si="58"/>
        <v>428.82784862654739</v>
      </c>
      <c r="AM97" s="59">
        <f t="shared" si="59"/>
        <v>704.46836370378583</v>
      </c>
      <c r="AN97" s="59">
        <f ca="1">AVERAGE(OFFSET($AM$3,0,0,'Données projet'!$E$10+1,1))-AVERAGE(OFFSET($H$3,0,0,'Données projet'!$E$10+1,1))</f>
        <v>374.38106339726073</v>
      </c>
      <c r="AO97" s="59">
        <f t="shared" si="90"/>
        <v>296.53283288925957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47.502313557807831</v>
      </c>
      <c r="AV97" s="21">
        <f>EXP(-LN(2)/25)*AV96+(1-EXP(-LN(2)/25))/(LN(2)/25)*Calculateur!AQ97*Calculateur!AS97*VLOOKUP('Données projet'!$B$10,Paramètres!$A$1:$I$89,3,0)*0.475*44/12</f>
        <v>18.403127333649039</v>
      </c>
      <c r="AW97" s="21">
        <f>EXP(-LN(2)/2)*AW96+(1-EXP(-LN(2)/2))/(LN(2)/2)*AQ97*AT97*VLOOKUP('Données projet'!$B$10,Paramètres!$A$1:$I$89,3,0)*0.475*44/12</f>
        <v>0.45599284529291373</v>
      </c>
      <c r="AX97" s="21">
        <f t="shared" si="60"/>
        <v>66.361433736749774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</v>
      </c>
      <c r="BD97" s="12">
        <f>IF('Données projet'!$A$88&gt;35,BD96+BC97-BL96,IF(A97&lt;'Données projet'!$A$88,$BA$205^A97,IF(A97='Données projet'!$A$88,'Données projet'!$B$88,BD96+BC97-BL96)))</f>
        <v>273.99999999999983</v>
      </c>
      <c r="BE97" s="13">
        <f>BD97*VLOOKUP('Données projet'!$B$11,Paramètres!$A$1:$I$89,3,0)*VLOOKUP('Données projet'!$B$11,Paramètres!$A$1:$I$89,5,0)</f>
        <v>260.73839999999984</v>
      </c>
      <c r="BF97" s="13">
        <f t="shared" si="91"/>
        <v>62.879749008354707</v>
      </c>
      <c r="BG97" s="20">
        <f t="shared" si="61"/>
        <v>563.63494285621744</v>
      </c>
      <c r="BH97" s="59">
        <f t="shared" si="62"/>
        <v>839.27545793345598</v>
      </c>
      <c r="BI97" s="59">
        <f ca="1">AVERAGE(OFFSET($BH$3,0,0,'Données projet'!$E$11+1,1))-AVERAGE(OFFSET($H$3,0,0,'Données projet'!$E$11+1,1))</f>
        <v>423.80243030843661</v>
      </c>
      <c r="BJ97" s="59">
        <f t="shared" si="92"/>
        <v>260.29028006191834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9.0873368271047017</v>
      </c>
      <c r="BQ97" s="21">
        <f>EXP(-LN(2)/25)*BQ96+(1-EXP(-LN(2)/25))/(LN(2)/25)*Calculateur!BL97*Calculateur!BN97*VLOOKUP('Données projet'!$B$11,Paramètres!$A$1:$I$89,3,0)*0.475*44/12</f>
        <v>13.790472837400891</v>
      </c>
      <c r="BR97" s="21">
        <f>EXP(-LN(2)/2)*BR96+(1-EXP(-LN(2)/2))/(LN(2)/2)*BL97*BO97*VLOOKUP('Données projet'!$B$11,Paramètres!$A$1:$I$89,3,0)*0.475*44/12</f>
        <v>1.4314968020259466</v>
      </c>
      <c r="BS97" s="22">
        <f t="shared" si="63"/>
        <v>24.309306466531538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-2.2737367544323206E-13</v>
      </c>
      <c r="BZ97" s="13">
        <f>BY97*VLOOKUP('Données projet'!$B$12,Paramètres!$A$1:$I$89,3,0)*VLOOKUP('Données projet'!$B$12,Paramètres!$A$1:$I$89,5,0)</f>
        <v>-1.3596945791505279E-13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373.61861223558259</v>
      </c>
      <c r="CE97" s="59">
        <f t="shared" si="94"/>
        <v>277.62293009761049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116.15502194896187</v>
      </c>
      <c r="CL97" s="21">
        <f>EXP(-LN(2)/25)*CL96+(1-EXP(-LN(2)/25))/(LN(2)/25)*Calculateur!CG97*Calculateur!CI97*VLOOKUP('Données projet'!$B$12,Paramètres!$A$1:$I$89,3,0)*0.475*44/12</f>
        <v>35.098320016052227</v>
      </c>
      <c r="CM97" s="21">
        <f>EXP(-LN(2)/2)*CM96+(1-EXP(-LN(2)/2))/(LN(2)/2)*CG97*CJ97*VLOOKUP('Données projet'!$B$12,Paramètres!$A$1:$I$89,3,0)*0.475*44/12</f>
        <v>0.55247377188444302</v>
      </c>
      <c r="CN97" s="22">
        <f t="shared" si="66"/>
        <v>151.80581573689855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2.8421709430404007E-14</v>
      </c>
      <c r="CU97" s="17">
        <f>CT97*VLOOKUP('Données projet'!$B$13,Paramètres!$A$1:$I$89,3,0)*VLOOKUP('Données projet'!$B$13,Paramètres!$A$1:$I$89,5,0)</f>
        <v>2.4829205358400945E-14</v>
      </c>
      <c r="CV97" s="13">
        <f t="shared" si="95"/>
        <v>4.3867331143352915E-13</v>
      </c>
      <c r="CW97" s="20">
        <f t="shared" si="67"/>
        <v>8.0726688341261168E-13</v>
      </c>
      <c r="CX97" s="59">
        <f t="shared" si="68"/>
        <v>275.64051507723929</v>
      </c>
      <c r="CY97" s="59">
        <f ca="1">AVERAGE(OFFSET($CX$3,0,0,'Données projet'!$E$13+1,1))-AVERAGE(OFFSET($H$3,0,0,'Données projet'!$E$13+1,1))</f>
        <v>287.28439432670405</v>
      </c>
      <c r="CZ97" s="59">
        <f t="shared" si="96"/>
        <v>276.01618888357268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24.998865751464692</v>
      </c>
      <c r="DG97" s="21">
        <f>EXP(-LN(2)/25)*DG96+(1-EXP(-LN(2)/25))/(LN(2)/25)*Calculateur!DB97*Calculateur!DD97*VLOOKUP('Données projet'!$B$13,Paramètres!$A$1:$I$89,3,0)*0.475*44/12</f>
        <v>24.755296170521646</v>
      </c>
      <c r="DH97" s="21">
        <f>EXP(-LN(2)/2)*DH96+(1-EXP(-LN(2)/2))/(LN(2)/2)*DB97*DE97*VLOOKUP('Données projet'!$B$13,Paramètres!$A$1:$I$89,3,0)*0.475*44/12</f>
        <v>0.35505032531740721</v>
      </c>
      <c r="DI97" s="22">
        <f t="shared" si="69"/>
        <v>50.109212247303745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9">
        <f t="shared" si="55"/>
        <v>903.64453264415488</v>
      </c>
      <c r="S98" s="59">
        <f ca="1">AVERAGE(OFFSET($R$3,0,0,'Données projet'!$E$9+1,1))-AVERAGE(OFFSET($H$3,0,0,'Données projet'!$E$9+1,1))</f>
        <v>681.47578137804555</v>
      </c>
      <c r="T98" s="59">
        <f t="shared" si="88"/>
        <v>300.88511065995885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10.192500000000001</v>
      </c>
      <c r="AI98" s="13">
        <f>IF('Données projet'!$A$62&gt;35,AI97+AH98-AQ97,IF(A98&lt;'Données projet'!$A$62,$AF$205^A98,IF(A98='Données projet'!$A$62,'Données projet'!$B$62,AI97+AH98-AQ97)))</f>
        <v>431.3649999999999</v>
      </c>
      <c r="AJ98" s="13">
        <f>AI98*VLOOKUP('Données projet'!$B$10,Paramètres!$A$1:$I$89,3,0)*VLOOKUP('Données projet'!$B$10,Paramètres!$A$1:$I$89,5,0)</f>
        <v>201.87881999999993</v>
      </c>
      <c r="AK98" s="13">
        <f t="shared" si="89"/>
        <v>50.156850528656342</v>
      </c>
      <c r="AL98" s="20">
        <f t="shared" si="58"/>
        <v>438.96212617074298</v>
      </c>
      <c r="AM98" s="59">
        <f t="shared" si="59"/>
        <v>714.90957208950886</v>
      </c>
      <c r="AN98" s="59">
        <f ca="1">AVERAGE(OFFSET($AM$3,0,0,'Données projet'!$E$10+1,1))-AVERAGE(OFFSET($H$3,0,0,'Données projet'!$E$10+1,1))</f>
        <v>374.38106339726073</v>
      </c>
      <c r="AO98" s="59">
        <f t="shared" si="90"/>
        <v>296.53283288925957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46.570822162489591</v>
      </c>
      <c r="AV98" s="21">
        <f>EXP(-LN(2)/25)*AV97+(1-EXP(-LN(2)/25))/(LN(2)/25)*Calculateur!AQ98*Calculateur!AS98*VLOOKUP('Données projet'!$B$10,Paramètres!$A$1:$I$89,3,0)*0.475*44/12</f>
        <v>17.899892848932001</v>
      </c>
      <c r="AW98" s="21">
        <f>EXP(-LN(2)/2)*AW97+(1-EXP(-LN(2)/2))/(LN(2)/2)*AQ98*AT98*VLOOKUP('Données projet'!$B$10,Paramètres!$A$1:$I$89,3,0)*0.475*44/12</f>
        <v>0.32243563307916756</v>
      </c>
      <c r="AX98" s="21">
        <f t="shared" si="60"/>
        <v>64.793150644500756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279</v>
      </c>
      <c r="BB98" s="12">
        <f>VLOOKUP(A98,'Données projet'!$A$87:$I$107,9,0)</f>
        <v>5</v>
      </c>
      <c r="BC98" s="12">
        <f t="array" ref="BC98">INDEX(BB:BB,MIN(IF(ISNUMBER(BB98:BB294),ROW(BB98:BB294),"")))</f>
        <v>5</v>
      </c>
      <c r="BD98" s="12">
        <f>IF('Données projet'!$A$88&gt;35,BD97+BC98-BL97,IF(A98&lt;'Données projet'!$A$88,$BA$205^A98,IF(A98='Données projet'!$A$88,'Données projet'!$B$88,BD97+BC98-BL97)))</f>
        <v>278.99999999999983</v>
      </c>
      <c r="BE98" s="13">
        <f>BD98*VLOOKUP('Données projet'!$B$11,Paramètres!$A$1:$I$89,3,0)*VLOOKUP('Données projet'!$B$11,Paramètres!$A$1:$I$89,5,0)</f>
        <v>265.49639999999982</v>
      </c>
      <c r="BF98" s="13">
        <f t="shared" si="91"/>
        <v>63.892558047989532</v>
      </c>
      <c r="BG98" s="20">
        <f t="shared" si="61"/>
        <v>573.68576860024802</v>
      </c>
      <c r="BH98" s="59">
        <f t="shared" si="62"/>
        <v>849.63321451901402</v>
      </c>
      <c r="BI98" s="59">
        <f ca="1">AVERAGE(OFFSET($BH$3,0,0,'Données projet'!$E$11+1,1))-AVERAGE(OFFSET($H$3,0,0,'Données projet'!$E$11+1,1))</f>
        <v>423.80243030843661</v>
      </c>
      <c r="BJ98" s="59">
        <f t="shared" si="92"/>
        <v>260.29028006191834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21</v>
      </c>
      <c r="BM98" s="16">
        <f>IF(ISNA(VLOOKUP(A98,'Données projet'!$A$87:$I$107,5,0)),0%,VLOOKUP(A98,'Données projet'!$A$87:$I$107,5,0)*VLOOKUP('Données projet'!$B$11,Paramètres!$A$1:$I$89,7,0))</f>
        <v>0.1075</v>
      </c>
      <c r="BN98" s="16">
        <f>IF(ISNA(VLOOKUP(A98,'Données projet'!$A$87:$I$107,6,0)),0%,VLOOKUP(A98,'Données projet'!$A$87:$I$107,6,0)*VLOOKUP('Données projet'!$B$11,Paramètres!$A$1:$I$89,7,0))</f>
        <v>0.1075</v>
      </c>
      <c r="BO98" s="16">
        <f>IF(ISNA(VLOOKUP(A98,'Données projet'!$A$87:$I$107,7,0)),0%,VLOOKUP(A98,'Données projet'!$A$87:$I$107,7,0))</f>
        <v>0.25</v>
      </c>
      <c r="BP98" s="21">
        <f>EXP(-LN(2)/35)*BP97+(1-EXP(-LN(2)/35))/(LN(2)/35)*BL98*BM98*VLOOKUP('Données projet'!$B$11,Paramètres!$A$1:$I$89,3,0)*0.475*44/12</f>
        <v>11.28395206637007</v>
      </c>
      <c r="BQ98" s="21">
        <f>EXP(-LN(2)/25)*BQ97+(1-EXP(-LN(2)/25))/(LN(2)/25)*Calculateur!BL98*Calculateur!BN98*VLOOKUP('Données projet'!$B$11,Paramètres!$A$1:$I$89,3,0)*0.475*44/12</f>
        <v>15.778833462987539</v>
      </c>
      <c r="BR98" s="21">
        <f>EXP(-LN(2)/2)*BR97+(1-EXP(-LN(2)/2))/(LN(2)/2)*BL98*BO98*VLOOKUP('Données projet'!$B$11,Paramètres!$A$1:$I$89,3,0)*0.475*44/12</f>
        <v>5.7259872086364627</v>
      </c>
      <c r="BS98" s="22">
        <f t="shared" si="63"/>
        <v>32.788772737994073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-2.2737367544323206E-13</v>
      </c>
      <c r="BZ98" s="13">
        <f>BY98*VLOOKUP('Données projet'!$B$12,Paramètres!$A$1:$I$89,3,0)*VLOOKUP('Données projet'!$B$12,Paramètres!$A$1:$I$89,5,0)</f>
        <v>-1.3596945791505279E-13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373.61861223558259</v>
      </c>
      <c r="CE98" s="59">
        <f t="shared" si="94"/>
        <v>277.62293009761049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113.87729281611051</v>
      </c>
      <c r="CL98" s="21">
        <f>EXP(-LN(2)/25)*CL97+(1-EXP(-LN(2)/25))/(LN(2)/25)*Calculateur!CG98*Calculateur!CI98*VLOOKUP('Données projet'!$B$12,Paramètres!$A$1:$I$89,3,0)*0.475*44/12</f>
        <v>34.138554609472848</v>
      </c>
      <c r="CM98" s="21">
        <f>EXP(-LN(2)/2)*CM97+(1-EXP(-LN(2)/2))/(LN(2)/2)*CG98*CJ98*VLOOKUP('Données projet'!$B$12,Paramètres!$A$1:$I$89,3,0)*0.475*44/12</f>
        <v>0.39065795052719943</v>
      </c>
      <c r="CN98" s="22">
        <f t="shared" si="66"/>
        <v>148.40650537611057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2.8421709430404007E-14</v>
      </c>
      <c r="CU98" s="17">
        <f>CT98*VLOOKUP('Données projet'!$B$13,Paramètres!$A$1:$I$89,3,0)*VLOOKUP('Données projet'!$B$13,Paramètres!$A$1:$I$89,5,0)</f>
        <v>2.4829205358400945E-14</v>
      </c>
      <c r="CV98" s="13">
        <f t="shared" si="95"/>
        <v>4.3867331143352915E-13</v>
      </c>
      <c r="CW98" s="20">
        <f t="shared" si="67"/>
        <v>8.0726688341261168E-13</v>
      </c>
      <c r="CX98" s="59">
        <f t="shared" si="68"/>
        <v>275.94744591876673</v>
      </c>
      <c r="CY98" s="59">
        <f ca="1">AVERAGE(OFFSET($CX$3,0,0,'Données projet'!$E$13+1,1))-AVERAGE(OFFSET($H$3,0,0,'Données projet'!$E$13+1,1))</f>
        <v>287.28439432670405</v>
      </c>
      <c r="CZ98" s="59">
        <f t="shared" si="96"/>
        <v>276.01618888357268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24.508653241880982</v>
      </c>
      <c r="DG98" s="21">
        <f>EXP(-LN(2)/25)*DG97+(1-EXP(-LN(2)/25))/(LN(2)/25)*Calculateur!DB98*Calculateur!DD98*VLOOKUP('Données projet'!$B$13,Paramètres!$A$1:$I$89,3,0)*0.475*44/12</f>
        <v>24.078361294914284</v>
      </c>
      <c r="DH98" s="21">
        <f>EXP(-LN(2)/2)*DH97+(1-EXP(-LN(2)/2))/(LN(2)/2)*DB98*DE98*VLOOKUP('Données projet'!$B$13,Paramètres!$A$1:$I$89,3,0)*0.475*44/12</f>
        <v>0.25105849269442837</v>
      </c>
      <c r="DI98" s="22">
        <f t="shared" si="69"/>
        <v>48.838073029489692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9">
        <f t="shared" si="55"/>
        <v>920.9971993154553</v>
      </c>
      <c r="S99" s="59">
        <f ca="1">AVERAGE(OFFSET($R$3,0,0,'Données projet'!$E$9+1,1))-AVERAGE(OFFSET($H$3,0,0,'Données projet'!$E$9+1,1))</f>
        <v>681.47578137804555</v>
      </c>
      <c r="T99" s="59">
        <f t="shared" si="88"/>
        <v>300.88511065995885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10.192500000000001</v>
      </c>
      <c r="AI99" s="13">
        <f>IF('Données projet'!$A$62&gt;35,AI98+AH99-AQ98,IF(A99&lt;'Données projet'!$A$62,$AF$205^A99,IF(A99='Données projet'!$A$62,'Données projet'!$B$62,AI98+AH99-AQ98)))</f>
        <v>441.55749999999989</v>
      </c>
      <c r="AJ99" s="13">
        <f>AI99*VLOOKUP('Données projet'!$B$10,Paramètres!$A$1:$I$89,3,0)*VLOOKUP('Données projet'!$B$10,Paramètres!$A$1:$I$89,5,0)</f>
        <v>206.64890999999994</v>
      </c>
      <c r="AK99" s="13">
        <f t="shared" si="89"/>
        <v>51.202604040835197</v>
      </c>
      <c r="AL99" s="20">
        <f t="shared" si="58"/>
        <v>449.09138695445449</v>
      </c>
      <c r="AM99" s="59">
        <f t="shared" si="59"/>
        <v>725.34043915084192</v>
      </c>
      <c r="AN99" s="59">
        <f ca="1">AVERAGE(OFFSET($AM$3,0,0,'Données projet'!$E$10+1,1))-AVERAGE(OFFSET($H$3,0,0,'Données projet'!$E$10+1,1))</f>
        <v>374.38106339726073</v>
      </c>
      <c r="AO99" s="59">
        <f t="shared" si="90"/>
        <v>296.53283288925957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45.657596745279889</v>
      </c>
      <c r="AV99" s="21">
        <f>EXP(-LN(2)/25)*AV98+(1-EXP(-LN(2)/25))/(LN(2)/25)*Calculateur!AQ99*Calculateur!AS99*VLOOKUP('Données projet'!$B$10,Paramètres!$A$1:$I$89,3,0)*0.475*44/12</f>
        <v>17.410419337663502</v>
      </c>
      <c r="AW99" s="21">
        <f>EXP(-LN(2)/2)*AW98+(1-EXP(-LN(2)/2))/(LN(2)/2)*AQ99*AT99*VLOOKUP('Données projet'!$B$10,Paramètres!$A$1:$I$89,3,0)*0.475*44/12</f>
        <v>0.22799642264645686</v>
      </c>
      <c r="AX99" s="21">
        <f t="shared" si="60"/>
        <v>63.296012505589843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4.8</v>
      </c>
      <c r="BD99" s="12">
        <f>IF('Données projet'!$A$88&gt;35,BD98+BC99-BL98,IF(A99&lt;'Données projet'!$A$88,$BA$205^A99,IF(A99='Données projet'!$A$88,'Données projet'!$B$88,BD98+BC99-BL98)))</f>
        <v>262.79999999999984</v>
      </c>
      <c r="BE99" s="13">
        <f>BD99*VLOOKUP('Données projet'!$B$11,Paramètres!$A$1:$I$89,3,0)*VLOOKUP('Données projet'!$B$11,Paramètres!$A$1:$I$89,5,0)</f>
        <v>250.08047999999985</v>
      </c>
      <c r="BF99" s="13">
        <f t="shared" si="91"/>
        <v>60.603174110223023</v>
      </c>
      <c r="BG99" s="20">
        <f t="shared" si="61"/>
        <v>541.10736424197137</v>
      </c>
      <c r="BH99" s="59">
        <f t="shared" si="62"/>
        <v>817.35641643835879</v>
      </c>
      <c r="BI99" s="59">
        <f ca="1">AVERAGE(OFFSET($BH$3,0,0,'Données projet'!$E$11+1,1))-AVERAGE(OFFSET($H$3,0,0,'Données projet'!$E$11+1,1))</f>
        <v>423.80243030843661</v>
      </c>
      <c r="BJ99" s="59">
        <f t="shared" si="92"/>
        <v>260.29028006191834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11.06268064887972</v>
      </c>
      <c r="BQ99" s="21">
        <f>EXP(-LN(2)/25)*BQ98+(1-EXP(-LN(2)/25))/(LN(2)/25)*Calculateur!BL99*Calculateur!BN99*VLOOKUP('Données projet'!$B$11,Paramètres!$A$1:$I$89,3,0)*0.475*44/12</f>
        <v>15.347360432169356</v>
      </c>
      <c r="BR99" s="21">
        <f>EXP(-LN(2)/2)*BR98+(1-EXP(-LN(2)/2))/(LN(2)/2)*BL99*BO99*VLOOKUP('Données projet'!$B$11,Paramètres!$A$1:$I$89,3,0)*0.475*44/12</f>
        <v>4.0488843842142739</v>
      </c>
      <c r="BS99" s="22">
        <f t="shared" si="63"/>
        <v>30.458925465263349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-2.2737367544323206E-13</v>
      </c>
      <c r="BZ99" s="13">
        <f>BY99*VLOOKUP('Données projet'!$B$12,Paramètres!$A$1:$I$89,3,0)*VLOOKUP('Données projet'!$B$12,Paramètres!$A$1:$I$89,5,0)</f>
        <v>-1.3596945791505279E-13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373.61861223558259</v>
      </c>
      <c r="CE99" s="59">
        <f t="shared" si="94"/>
        <v>277.62293009761049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111.64422856227677</v>
      </c>
      <c r="CL99" s="21">
        <f>EXP(-LN(2)/25)*CL98+(1-EXP(-LN(2)/25))/(LN(2)/25)*Calculateur!CG99*Calculateur!CI99*VLOOKUP('Données projet'!$B$12,Paramètres!$A$1:$I$89,3,0)*0.475*44/12</f>
        <v>33.20503403840825</v>
      </c>
      <c r="CM99" s="21">
        <f>EXP(-LN(2)/2)*CM98+(1-EXP(-LN(2)/2))/(LN(2)/2)*CG99*CJ99*VLOOKUP('Données projet'!$B$12,Paramètres!$A$1:$I$89,3,0)*0.475*44/12</f>
        <v>0.27623688594222151</v>
      </c>
      <c r="CN99" s="22">
        <f t="shared" si="66"/>
        <v>145.12549948662723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2.8421709430404007E-14</v>
      </c>
      <c r="CU99" s="17">
        <f>CT99*VLOOKUP('Données projet'!$B$13,Paramètres!$A$1:$I$89,3,0)*VLOOKUP('Données projet'!$B$13,Paramètres!$A$1:$I$89,5,0)</f>
        <v>2.4829205358400945E-14</v>
      </c>
      <c r="CV99" s="13">
        <f t="shared" si="95"/>
        <v>4.3867331143352915E-13</v>
      </c>
      <c r="CW99" s="20">
        <f t="shared" si="67"/>
        <v>8.0726688341261168E-13</v>
      </c>
      <c r="CX99" s="59">
        <f t="shared" si="68"/>
        <v>276.24905219638822</v>
      </c>
      <c r="CY99" s="59">
        <f ca="1">AVERAGE(OFFSET($CX$3,0,0,'Données projet'!$E$13+1,1))-AVERAGE(OFFSET($H$3,0,0,'Données projet'!$E$13+1,1))</f>
        <v>287.28439432670405</v>
      </c>
      <c r="CZ99" s="59">
        <f t="shared" si="96"/>
        <v>276.01618888357268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24.028053500610103</v>
      </c>
      <c r="DG99" s="21">
        <f>EXP(-LN(2)/25)*DG98+(1-EXP(-LN(2)/25))/(LN(2)/25)*Calculateur!DB99*Calculateur!DD99*VLOOKUP('Données projet'!$B$13,Paramètres!$A$1:$I$89,3,0)*0.475*44/12</f>
        <v>23.419937239078866</v>
      </c>
      <c r="DH99" s="21">
        <f>EXP(-LN(2)/2)*DH98+(1-EXP(-LN(2)/2))/(LN(2)/2)*DB99*DE99*VLOOKUP('Données projet'!$B$13,Paramètres!$A$1:$I$89,3,0)*0.475*44/12</f>
        <v>0.17752516265870361</v>
      </c>
      <c r="DI99" s="22">
        <f t="shared" si="69"/>
        <v>47.625515902347672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9">
        <f t="shared" si="55"/>
        <v>938.33533077135417</v>
      </c>
      <c r="S100" s="59">
        <f ca="1">AVERAGE(OFFSET($R$3,0,0,'Données projet'!$E$9+1,1))-AVERAGE(OFFSET($H$3,0,0,'Données projet'!$E$9+1,1))</f>
        <v>681.47578137804555</v>
      </c>
      <c r="T100" s="59">
        <f t="shared" si="88"/>
        <v>300.88511065995885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451.75</v>
      </c>
      <c r="AG100" s="12">
        <f>VLOOKUP(A100,'Données projet'!$A$61:$I$81,9,0)</f>
        <v>10.192500000000001</v>
      </c>
      <c r="AH100" s="12">
        <f t="array" ref="AH100">INDEX(AG:AG,MIN(IF(ISNUMBER(AG100:AG296),ROW(AG100:AG296),"")))</f>
        <v>10.192500000000001</v>
      </c>
      <c r="AI100" s="13">
        <f>IF('Données projet'!$A$62&gt;35,AI99+AH100-AQ99,IF(A100&lt;'Données projet'!$A$62,$AF$205^A100,IF(A100='Données projet'!$A$62,'Données projet'!$B$62,AI99+AH100-AQ99)))</f>
        <v>451.74999999999989</v>
      </c>
      <c r="AJ100" s="13">
        <f>AI100*VLOOKUP('Données projet'!$B$10,Paramètres!$A$1:$I$89,3,0)*VLOOKUP('Données projet'!$B$10,Paramètres!$A$1:$I$89,5,0)</f>
        <v>211.41899999999995</v>
      </c>
      <c r="AK100" s="13">
        <f t="shared" si="89"/>
        <v>52.245551258706243</v>
      </c>
      <c r="AL100" s="20">
        <f t="shared" si="58"/>
        <v>459.21576010891323</v>
      </c>
      <c r="AM100" s="59">
        <f t="shared" si="59"/>
        <v>735.76118638829598</v>
      </c>
      <c r="AN100" s="59">
        <f ca="1">AVERAGE(OFFSET($AM$3,0,0,'Données projet'!$E$10+1,1))-AVERAGE(OFFSET($H$3,0,0,'Données projet'!$E$10+1,1))</f>
        <v>374.38106339726073</v>
      </c>
      <c r="AO100" s="59">
        <f t="shared" si="90"/>
        <v>296.53283288925957</v>
      </c>
      <c r="AP100" s="15">
        <f>IF(ISNA(VLOOKUP(A100,'Données projet'!$A$61:$I$81,3,0)),0,VLOOKUP(A100,'Données projet'!$A$61:$I$81,3,0))</f>
        <v>5</v>
      </c>
      <c r="AQ100" s="15">
        <f>IF(ISNA(VLOOKUP(A100,'Données projet'!$A$61:$I$81,4,0)),0,VLOOKUP(A100,'Données projet'!$A$61:$I$81,4,0))</f>
        <v>90.589999999999975</v>
      </c>
      <c r="AR100" s="16">
        <f>IF(ISNA(VLOOKUP(A100,'Données projet'!$A$61:$I$81,5,0)),0%,VLOOKUP(A100,'Données projet'!$A$61:$I$81,5,0)*VLOOKUP('Données projet'!$B$10,Paramètres!$A$1:$I$89,7,0))</f>
        <v>0.33</v>
      </c>
      <c r="AS100" s="16">
        <f>IF(ISNA(VLOOKUP(A100,'Données projet'!$A$61:$I$81,6,0)),0%,VLOOKUP(A100,'Données projet'!$A$61:$I$81,6,0)*VLOOKUP('Données projet'!$B$10,Paramètres!$A$1:$I$89,7,0))</f>
        <v>0.11000000000000001</v>
      </c>
      <c r="AT100" s="16">
        <f>IF(ISNA(VLOOKUP(A100,'Données projet'!$A$61:$I$81,7,0)),0%,VLOOKUP(A100,'Données projet'!$A$61:$I$81,7,0))</f>
        <v>0.2</v>
      </c>
      <c r="AU100" s="21">
        <f>EXP(-LN(2)/35)*AU99+(1-EXP(-LN(2)/35))/(LN(2)/35)*AQ100*AR100*VLOOKUP('Données projet'!$B$10,Paramètres!$A$1:$I$89,3,0)*0.475*44/12</f>
        <v>63.321870448870456</v>
      </c>
      <c r="AV100" s="21">
        <f>EXP(-LN(2)/25)*AV99+(1-EXP(-LN(2)/25))/(LN(2)/25)*Calculateur!AQ100*Calculateur!AS100*VLOOKUP('Données projet'!$B$10,Paramètres!$A$1:$I$89,3,0)*0.475*44/12</f>
        <v>23.096502220156491</v>
      </c>
      <c r="AW100" s="21">
        <f>EXP(-LN(2)/2)*AW99+(1-EXP(-LN(2)/2))/(LN(2)/2)*AQ100*AT100*VLOOKUP('Données projet'!$B$10,Paramètres!$A$1:$I$89,3,0)*0.475*44/12</f>
        <v>9.7616690873011311</v>
      </c>
      <c r="AX100" s="21">
        <f t="shared" si="60"/>
        <v>96.18004175632808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4.8</v>
      </c>
      <c r="BD100" s="12">
        <f>IF('Données projet'!$A$88&gt;35,BD99+BC100-BL99,IF(A100&lt;'Données projet'!$A$88,$BA$205^A100,IF(A100='Données projet'!$A$88,'Données projet'!$B$88,BD99+BC100-BL99)))</f>
        <v>267.59999999999985</v>
      </c>
      <c r="BE100" s="13">
        <f>BD100*VLOOKUP('Données projet'!$B$11,Paramètres!$A$1:$I$89,3,0)*VLOOKUP('Données projet'!$B$11,Paramètres!$A$1:$I$89,5,0)</f>
        <v>254.64815999999985</v>
      </c>
      <c r="BF100" s="13">
        <f t="shared" si="91"/>
        <v>61.580204695956148</v>
      </c>
      <c r="BG100" s="20">
        <f t="shared" si="61"/>
        <v>550.76440184545663</v>
      </c>
      <c r="BH100" s="59">
        <f t="shared" si="62"/>
        <v>827.30982812483944</v>
      </c>
      <c r="BI100" s="59">
        <f ca="1">AVERAGE(OFFSET($BH$3,0,0,'Données projet'!$E$11+1,1))-AVERAGE(OFFSET($H$3,0,0,'Données projet'!$E$11+1,1))</f>
        <v>423.80243030843661</v>
      </c>
      <c r="BJ100" s="59">
        <f t="shared" si="92"/>
        <v>260.29028006191834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10.845748228924117</v>
      </c>
      <c r="BQ100" s="21">
        <f>EXP(-LN(2)/25)*BQ99+(1-EXP(-LN(2)/25))/(LN(2)/25)*Calculateur!BL100*Calculateur!BN100*VLOOKUP('Données projet'!$B$11,Paramètres!$A$1:$I$89,3,0)*0.475*44/12</f>
        <v>14.927686054069078</v>
      </c>
      <c r="BR100" s="21">
        <f>EXP(-LN(2)/2)*BR99+(1-EXP(-LN(2)/2))/(LN(2)/2)*BL100*BO100*VLOOKUP('Données projet'!$B$11,Paramètres!$A$1:$I$89,3,0)*0.475*44/12</f>
        <v>2.8629936043182318</v>
      </c>
      <c r="BS100" s="22">
        <f t="shared" si="63"/>
        <v>28.636427887311424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-2.2737367544323206E-13</v>
      </c>
      <c r="BZ100" s="13">
        <f>BY100*VLOOKUP('Données projet'!$B$12,Paramètres!$A$1:$I$89,3,0)*VLOOKUP('Données projet'!$B$12,Paramètres!$A$1:$I$89,5,0)</f>
        <v>-1.3596945791505279E-13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373.61861223558259</v>
      </c>
      <c r="CE100" s="59">
        <f t="shared" si="94"/>
        <v>277.62293009761049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109.454953336426</v>
      </c>
      <c r="CL100" s="21">
        <f>EXP(-LN(2)/25)*CL99+(1-EXP(-LN(2)/25))/(LN(2)/25)*Calculateur!CG100*Calculateur!CI100*VLOOKUP('Données projet'!$B$12,Paramètres!$A$1:$I$89,3,0)*0.475*44/12</f>
        <v>32.297040636451129</v>
      </c>
      <c r="CM100" s="21">
        <f>EXP(-LN(2)/2)*CM99+(1-EXP(-LN(2)/2))/(LN(2)/2)*CG100*CJ100*VLOOKUP('Données projet'!$B$12,Paramètres!$A$1:$I$89,3,0)*0.475*44/12</f>
        <v>0.19532897526359971</v>
      </c>
      <c r="CN100" s="22">
        <f t="shared" si="66"/>
        <v>141.94732294814074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2.8421709430404007E-14</v>
      </c>
      <c r="CU100" s="17">
        <f>CT100*VLOOKUP('Données projet'!$B$13,Paramètres!$A$1:$I$89,3,0)*VLOOKUP('Données projet'!$B$13,Paramètres!$A$1:$I$89,5,0)</f>
        <v>2.4829205358400945E-14</v>
      </c>
      <c r="CV100" s="13">
        <f t="shared" si="95"/>
        <v>4.3867331143352915E-13</v>
      </c>
      <c r="CW100" s="20">
        <f t="shared" si="67"/>
        <v>8.0726688341261168E-13</v>
      </c>
      <c r="CX100" s="59">
        <f t="shared" si="68"/>
        <v>276.54542627938361</v>
      </c>
      <c r="CY100" s="59">
        <f ca="1">AVERAGE(OFFSET($CX$3,0,0,'Données projet'!$E$13+1,1))-AVERAGE(OFFSET($H$3,0,0,'Données projet'!$E$13+1,1))</f>
        <v>287.28439432670405</v>
      </c>
      <c r="CZ100" s="59">
        <f t="shared" si="96"/>
        <v>276.01618888357268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23.556878027128647</v>
      </c>
      <c r="DG100" s="21">
        <f>EXP(-LN(2)/25)*DG99+(1-EXP(-LN(2)/25))/(LN(2)/25)*Calculateur!DB100*Calculateur!DD100*VLOOKUP('Données projet'!$B$13,Paramètres!$A$1:$I$89,3,0)*0.475*44/12</f>
        <v>22.779517823675281</v>
      </c>
      <c r="DH100" s="21">
        <f>EXP(-LN(2)/2)*DH99+(1-EXP(-LN(2)/2))/(LN(2)/2)*DB100*DE100*VLOOKUP('Données projet'!$B$13,Paramètres!$A$1:$I$89,3,0)*0.475*44/12</f>
        <v>0.12552924634721419</v>
      </c>
      <c r="DI100" s="22">
        <f t="shared" si="69"/>
        <v>46.461925097151138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9">
        <f t="shared" si="55"/>
        <v>955.6592908898408</v>
      </c>
      <c r="S101" s="59">
        <f ca="1">AVERAGE(OFFSET($R$3,0,0,'Données projet'!$E$9+1,1))-AVERAGE(OFFSET($H$3,0,0,'Données projet'!$E$9+1,1))</f>
        <v>681.47578137804555</v>
      </c>
      <c r="T101" s="59">
        <f t="shared" si="88"/>
        <v>300.88511065995885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9.1833333333333318</v>
      </c>
      <c r="AI101" s="13">
        <f>IF('Données projet'!$A$62&gt;35,AI100+AH101-AQ100,IF(A101&lt;'Données projet'!$A$62,$AF$205^A101,IF(A101='Données projet'!$A$62,'Données projet'!$B$62,AI100+AH101-AQ100)))</f>
        <v>370.34333333333325</v>
      </c>
      <c r="AJ101" s="13">
        <f>AI101*VLOOKUP('Données projet'!$B$10,Paramètres!$A$1:$I$89,3,0)*VLOOKUP('Données projet'!$B$10,Paramètres!$A$1:$I$89,5,0)</f>
        <v>173.32067999999998</v>
      </c>
      <c r="AK101" s="13">
        <f t="shared" si="89"/>
        <v>43.832906027777845</v>
      </c>
      <c r="AL101" s="20">
        <f t="shared" si="58"/>
        <v>378.209162331713</v>
      </c>
      <c r="AM101" s="59">
        <f t="shared" si="59"/>
        <v>655.04582126634432</v>
      </c>
      <c r="AN101" s="59">
        <f ca="1">AVERAGE(OFFSET($AM$3,0,0,'Données projet'!$E$10+1,1))-AVERAGE(OFFSET($H$3,0,0,'Données projet'!$E$10+1,1))</f>
        <v>374.38106339726073</v>
      </c>
      <c r="AO101" s="59">
        <f t="shared" si="90"/>
        <v>296.53283288925957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62.08016719189542</v>
      </c>
      <c r="AV101" s="21">
        <f>EXP(-LN(2)/25)*AV100+(1-EXP(-LN(2)/25))/(LN(2)/25)*Calculateur!AQ101*Calculateur!AS101*VLOOKUP('Données projet'!$B$10,Paramètres!$A$1:$I$89,3,0)*0.475*44/12</f>
        <v>22.464927152354047</v>
      </c>
      <c r="AW101" s="21">
        <f>EXP(-LN(2)/2)*AW100+(1-EXP(-LN(2)/2))/(LN(2)/2)*AQ101*AT101*VLOOKUP('Données projet'!$B$10,Paramètres!$A$1:$I$89,3,0)*0.475*44/12</f>
        <v>6.9025424073297268</v>
      </c>
      <c r="AX101" s="21">
        <f t="shared" si="60"/>
        <v>91.447636751579196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4.8</v>
      </c>
      <c r="BD101" s="12">
        <f>IF('Données projet'!$A$88&gt;35,BD100+BC101-BL100,IF(A101&lt;'Données projet'!$A$88,$BA$205^A101,IF(A101='Données projet'!$A$88,'Données projet'!$B$88,BD100+BC101-BL100)))</f>
        <v>272.39999999999986</v>
      </c>
      <c r="BE101" s="13">
        <f>BD101*VLOOKUP('Données projet'!$B$11,Paramètres!$A$1:$I$89,3,0)*VLOOKUP('Données projet'!$B$11,Paramètres!$A$1:$I$89,5,0)</f>
        <v>259.21583999999984</v>
      </c>
      <c r="BF101" s="13">
        <f t="shared" si="91"/>
        <v>62.555197359548238</v>
      </c>
      <c r="BG101" s="20">
        <f t="shared" si="61"/>
        <v>560.41789006787951</v>
      </c>
      <c r="BH101" s="59">
        <f t="shared" si="62"/>
        <v>837.25454900251088</v>
      </c>
      <c r="BI101" s="59">
        <f ca="1">AVERAGE(OFFSET($BH$3,0,0,'Données projet'!$E$11+1,1))-AVERAGE(OFFSET($H$3,0,0,'Données projet'!$E$11+1,1))</f>
        <v>423.80243030843661</v>
      </c>
      <c r="BJ101" s="59">
        <f t="shared" si="92"/>
        <v>260.29028006191834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10.633069721408132</v>
      </c>
      <c r="BQ101" s="21">
        <f>EXP(-LN(2)/25)*BQ100+(1-EXP(-LN(2)/25))/(LN(2)/25)*Calculateur!BL101*Calculateur!BN101*VLOOKUP('Données projet'!$B$11,Paramètres!$A$1:$I$89,3,0)*0.475*44/12</f>
        <v>14.519487693907667</v>
      </c>
      <c r="BR101" s="21">
        <f>EXP(-LN(2)/2)*BR100+(1-EXP(-LN(2)/2))/(LN(2)/2)*BL101*BO101*VLOOKUP('Données projet'!$B$11,Paramètres!$A$1:$I$89,3,0)*0.475*44/12</f>
        <v>2.0244421921071369</v>
      </c>
      <c r="BS101" s="22">
        <f t="shared" si="63"/>
        <v>27.176999607422935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-2.2737367544323206E-13</v>
      </c>
      <c r="BZ101" s="13">
        <f>BY101*VLOOKUP('Données projet'!$B$12,Paramètres!$A$1:$I$89,3,0)*VLOOKUP('Données projet'!$B$12,Paramètres!$A$1:$I$89,5,0)</f>
        <v>-1.3596945791505279E-13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373.61861223558259</v>
      </c>
      <c r="CE101" s="59">
        <f t="shared" si="94"/>
        <v>277.62293009761049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107.30860846242813</v>
      </c>
      <c r="CL101" s="21">
        <f>EXP(-LN(2)/25)*CL100+(1-EXP(-LN(2)/25))/(LN(2)/25)*Calculateur!CG101*Calculateur!CI101*VLOOKUP('Données projet'!$B$12,Paramètres!$A$1:$I$89,3,0)*0.475*44/12</f>
        <v>31.41387636181982</v>
      </c>
      <c r="CM101" s="21">
        <f>EXP(-LN(2)/2)*CM100+(1-EXP(-LN(2)/2))/(LN(2)/2)*CG101*CJ101*VLOOKUP('Données projet'!$B$12,Paramètres!$A$1:$I$89,3,0)*0.475*44/12</f>
        <v>0.13811844297111076</v>
      </c>
      <c r="CN101" s="22">
        <f t="shared" si="66"/>
        <v>138.86060326721906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2.8421709430404007E-14</v>
      </c>
      <c r="CU101" s="17">
        <f>CT101*VLOOKUP('Données projet'!$B$13,Paramètres!$A$1:$I$89,3,0)*VLOOKUP('Données projet'!$B$13,Paramètres!$A$1:$I$89,5,0)</f>
        <v>2.4829205358400945E-14</v>
      </c>
      <c r="CV101" s="13">
        <f t="shared" si="95"/>
        <v>4.3867331143352915E-13</v>
      </c>
      <c r="CW101" s="20">
        <f t="shared" si="67"/>
        <v>8.0726688341261168E-13</v>
      </c>
      <c r="CX101" s="59">
        <f t="shared" si="68"/>
        <v>276.83665893463217</v>
      </c>
      <c r="CY101" s="59">
        <f ca="1">AVERAGE(OFFSET($CX$3,0,0,'Données projet'!$E$13+1,1))-AVERAGE(OFFSET($H$3,0,0,'Données projet'!$E$13+1,1))</f>
        <v>287.28439432670405</v>
      </c>
      <c r="CZ101" s="59">
        <f t="shared" si="96"/>
        <v>276.01618888357268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23.094942017293501</v>
      </c>
      <c r="DG101" s="21">
        <f>EXP(-LN(2)/25)*DG100+(1-EXP(-LN(2)/25))/(LN(2)/25)*Calculateur!DB101*Calculateur!DD101*VLOOKUP('Données projet'!$B$13,Paramètres!$A$1:$I$89,3,0)*0.475*44/12</f>
        <v>22.156610710864101</v>
      </c>
      <c r="DH101" s="21">
        <f>EXP(-LN(2)/2)*DH100+(1-EXP(-LN(2)/2))/(LN(2)/2)*DB101*DE101*VLOOKUP('Données projet'!$B$13,Paramètres!$A$1:$I$89,3,0)*0.475*44/12</f>
        <v>8.8762581329351803E-2</v>
      </c>
      <c r="DI101" s="22">
        <f t="shared" si="69"/>
        <v>45.340315309486961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9">
        <f t="shared" si="55"/>
        <v>972.96942716261128</v>
      </c>
      <c r="S102" s="59">
        <f ca="1">AVERAGE(OFFSET($R$3,0,0,'Données projet'!$E$9+1,1))-AVERAGE(OFFSET($H$3,0,0,'Données projet'!$E$9+1,1))</f>
        <v>681.47578137804555</v>
      </c>
      <c r="T102" s="59">
        <f t="shared" si="88"/>
        <v>300.88511065995885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9.1833333333333318</v>
      </c>
      <c r="AI102" s="13">
        <f>IF('Données projet'!$A$62&gt;35,AI101+AH102-AQ101,IF(A102&lt;'Données projet'!$A$62,$AF$205^A102,IF(A102='Données projet'!$A$62,'Données projet'!$B$62,AI101+AH102-AQ101)))</f>
        <v>379.52666666666659</v>
      </c>
      <c r="AJ102" s="13">
        <f>AI102*VLOOKUP('Données projet'!$B$10,Paramètres!$A$1:$I$89,3,0)*VLOOKUP('Données projet'!$B$10,Paramètres!$A$1:$I$89,5,0)</f>
        <v>177.61847999999995</v>
      </c>
      <c r="AK102" s="13">
        <f t="shared" si="89"/>
        <v>44.791931827234123</v>
      </c>
      <c r="AL102" s="20">
        <f t="shared" si="58"/>
        <v>387.36480059909928</v>
      </c>
      <c r="AM102" s="59">
        <f t="shared" si="59"/>
        <v>664.48763995350942</v>
      </c>
      <c r="AN102" s="59">
        <f ca="1">AVERAGE(OFFSET($AM$3,0,0,'Données projet'!$E$10+1,1))-AVERAGE(OFFSET($H$3,0,0,'Données projet'!$E$10+1,1))</f>
        <v>374.38106339726073</v>
      </c>
      <c r="AO102" s="59">
        <f t="shared" si="90"/>
        <v>296.53283288925957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60.862812978425467</v>
      </c>
      <c r="AV102" s="21">
        <f>EXP(-LN(2)/25)*AV101+(1-EXP(-LN(2)/25))/(LN(2)/25)*Calculateur!AQ102*Calculateur!AS102*VLOOKUP('Données projet'!$B$10,Paramètres!$A$1:$I$89,3,0)*0.475*44/12</f>
        <v>21.85062253799375</v>
      </c>
      <c r="AW102" s="21">
        <f>EXP(-LN(2)/2)*AW101+(1-EXP(-LN(2)/2))/(LN(2)/2)*AQ102*AT102*VLOOKUP('Données projet'!$B$10,Paramètres!$A$1:$I$89,3,0)*0.475*44/12</f>
        <v>4.8808345436505665</v>
      </c>
      <c r="AX102" s="21">
        <f t="shared" si="60"/>
        <v>87.594270060069789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4.8</v>
      </c>
      <c r="BD102" s="12">
        <f>IF('Données projet'!$A$88&gt;35,BD101+BC102-BL101,IF(A102&lt;'Données projet'!$A$88,$BA$205^A102,IF(A102='Données projet'!$A$88,'Données projet'!$B$88,BD101+BC102-BL101)))</f>
        <v>277.19999999999987</v>
      </c>
      <c r="BE102" s="13">
        <f>BD102*VLOOKUP('Données projet'!$B$11,Paramètres!$A$1:$I$89,3,0)*VLOOKUP('Données projet'!$B$11,Paramètres!$A$1:$I$89,5,0)</f>
        <v>263.7835199999999</v>
      </c>
      <c r="BF102" s="13">
        <f t="shared" si="91"/>
        <v>63.5281921545985</v>
      </c>
      <c r="BG102" s="20">
        <f t="shared" si="61"/>
        <v>570.06789866925885</v>
      </c>
      <c r="BH102" s="59">
        <f t="shared" si="62"/>
        <v>847.19073802366893</v>
      </c>
      <c r="BI102" s="59">
        <f ca="1">AVERAGE(OFFSET($BH$3,0,0,'Données projet'!$E$11+1,1))-AVERAGE(OFFSET($H$3,0,0,'Données projet'!$E$11+1,1))</f>
        <v>423.80243030843661</v>
      </c>
      <c r="BJ102" s="59">
        <f t="shared" si="92"/>
        <v>260.29028006191834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10.424561709703456</v>
      </c>
      <c r="BQ102" s="21">
        <f>EXP(-LN(2)/25)*BQ101+(1-EXP(-LN(2)/25))/(LN(2)/25)*Calculateur!BL102*Calculateur!BN102*VLOOKUP('Données projet'!$B$11,Paramètres!$A$1:$I$89,3,0)*0.475*44/12</f>
        <v>14.122451539371088</v>
      </c>
      <c r="BR102" s="21">
        <f>EXP(-LN(2)/2)*BR101+(1-EXP(-LN(2)/2))/(LN(2)/2)*BL102*BO102*VLOOKUP('Données projet'!$B$11,Paramètres!$A$1:$I$89,3,0)*0.475*44/12</f>
        <v>1.4314968021591159</v>
      </c>
      <c r="BS102" s="22">
        <f t="shared" si="63"/>
        <v>25.978510051233663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-2.2737367544323206E-13</v>
      </c>
      <c r="BZ102" s="13">
        <f>BY102*VLOOKUP('Données projet'!$B$12,Paramètres!$A$1:$I$89,3,0)*VLOOKUP('Données projet'!$B$12,Paramètres!$A$1:$I$89,5,0)</f>
        <v>-1.3596945791505279E-13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373.61861223558259</v>
      </c>
      <c r="CE102" s="59">
        <f t="shared" si="94"/>
        <v>277.62293009761049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105.20435210226825</v>
      </c>
      <c r="CL102" s="21">
        <f>EXP(-LN(2)/25)*CL101+(1-EXP(-LN(2)/25))/(LN(2)/25)*Calculateur!CG102*Calculateur!CI102*VLOOKUP('Données projet'!$B$12,Paramètres!$A$1:$I$89,3,0)*0.475*44/12</f>
        <v>30.554862260721897</v>
      </c>
      <c r="CM102" s="21">
        <f>EXP(-LN(2)/2)*CM101+(1-EXP(-LN(2)/2))/(LN(2)/2)*CG102*CJ102*VLOOKUP('Données projet'!$B$12,Paramètres!$A$1:$I$89,3,0)*0.475*44/12</f>
        <v>9.7664487631799857E-2</v>
      </c>
      <c r="CN102" s="22">
        <f t="shared" si="66"/>
        <v>135.85687885062194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2.8421709430404007E-14</v>
      </c>
      <c r="CU102" s="17">
        <f>CT102*VLOOKUP('Données projet'!$B$13,Paramètres!$A$1:$I$89,3,0)*VLOOKUP('Données projet'!$B$13,Paramètres!$A$1:$I$89,5,0)</f>
        <v>2.4829205358400945E-14</v>
      </c>
      <c r="CV102" s="13">
        <f t="shared" si="95"/>
        <v>4.3867331143352915E-13</v>
      </c>
      <c r="CW102" s="20">
        <f t="shared" si="67"/>
        <v>8.0726688341261168E-13</v>
      </c>
      <c r="CX102" s="59">
        <f t="shared" si="68"/>
        <v>277.12283935441093</v>
      </c>
      <c r="CY102" s="59">
        <f ca="1">AVERAGE(OFFSET($CX$3,0,0,'Données projet'!$E$13+1,1))-AVERAGE(OFFSET($H$3,0,0,'Données projet'!$E$13+1,1))</f>
        <v>287.28439432670405</v>
      </c>
      <c r="CZ102" s="59">
        <f t="shared" si="96"/>
        <v>276.01618888357268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22.642064290858077</v>
      </c>
      <c r="DG102" s="21">
        <f>EXP(-LN(2)/25)*DG101+(1-EXP(-LN(2)/25))/(LN(2)/25)*Calculateur!DB102*Calculateur!DD102*VLOOKUP('Données projet'!$B$13,Paramètres!$A$1:$I$89,3,0)*0.475*44/12</f>
        <v>21.550737025810005</v>
      </c>
      <c r="DH102" s="21">
        <f>EXP(-LN(2)/2)*DH101+(1-EXP(-LN(2)/2))/(LN(2)/2)*DB102*DE102*VLOOKUP('Données projet'!$B$13,Paramètres!$A$1:$I$89,3,0)*0.475*44/12</f>
        <v>6.2764623173607093E-2</v>
      </c>
      <c r="DI102" s="22">
        <f t="shared" si="69"/>
        <v>44.255565939841688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9">
        <f t="shared" si="55"/>
        <v>990.26607187578247</v>
      </c>
      <c r="S103" s="59">
        <f ca="1">AVERAGE(OFFSET($R$3,0,0,'Données projet'!$E$9+1,1))-AVERAGE(OFFSET($H$3,0,0,'Données projet'!$E$9+1,1))</f>
        <v>681.47578137804555</v>
      </c>
      <c r="T103" s="59">
        <f t="shared" si="88"/>
        <v>300.88511065995885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9.1833333333333318</v>
      </c>
      <c r="AI103" s="13">
        <f>IF('Données projet'!$A$62&gt;35,AI102+AH103-AQ102,IF(A103&lt;'Données projet'!$A$62,$AF$205^A103,IF(A103='Données projet'!$A$62,'Données projet'!$B$62,AI102+AH103-AQ102)))</f>
        <v>388.70999999999992</v>
      </c>
      <c r="AJ103" s="13">
        <f>AI103*VLOOKUP('Données projet'!$B$10,Paramètres!$A$1:$I$89,3,0)*VLOOKUP('Données projet'!$B$10,Paramètres!$A$1:$I$89,5,0)</f>
        <v>181.91627999999997</v>
      </c>
      <c r="AK103" s="13">
        <f t="shared" si="89"/>
        <v>45.748260044655694</v>
      </c>
      <c r="AL103" s="20">
        <f t="shared" si="58"/>
        <v>396.51574057777526</v>
      </c>
      <c r="AM103" s="59">
        <f t="shared" si="59"/>
        <v>673.91979576148447</v>
      </c>
      <c r="AN103" s="59">
        <f ca="1">AVERAGE(OFFSET($AM$3,0,0,'Données projet'!$E$10+1,1))-AVERAGE(OFFSET($H$3,0,0,'Données projet'!$E$10+1,1))</f>
        <v>374.38106339726073</v>
      </c>
      <c r="AO103" s="59">
        <f t="shared" si="90"/>
        <v>296.53283288925957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59.669330338568905</v>
      </c>
      <c r="AV103" s="21">
        <f>EXP(-LN(2)/25)*AV102+(1-EXP(-LN(2)/25))/(LN(2)/25)*Calculateur!AQ103*Calculateur!AS103*VLOOKUP('Données projet'!$B$10,Paramètres!$A$1:$I$89,3,0)*0.475*44/12</f>
        <v>21.253116115618013</v>
      </c>
      <c r="AW103" s="21">
        <f>EXP(-LN(2)/2)*AW102+(1-EXP(-LN(2)/2))/(LN(2)/2)*AQ103*AT103*VLOOKUP('Données projet'!$B$10,Paramètres!$A$1:$I$89,3,0)*0.475*44/12</f>
        <v>3.4512712036648638</v>
      </c>
      <c r="AX103" s="21">
        <f t="shared" si="60"/>
        <v>84.37371765785177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282</v>
      </c>
      <c r="BB103" s="12">
        <f>VLOOKUP(A103,'Données projet'!$A$87:$I$107,9,0)</f>
        <v>4.8</v>
      </c>
      <c r="BC103" s="12">
        <f t="array" ref="BC103">INDEX(BB:BB,MIN(IF(ISNUMBER(BB103:BB299),ROW(BB103:BB299),"")))</f>
        <v>4.8</v>
      </c>
      <c r="BD103" s="12">
        <f>IF('Données projet'!$A$88&gt;35,BD102+BC103-BL102,IF(A103&lt;'Données projet'!$A$88,$BA$205^A103,IF(A103='Données projet'!$A$88,'Données projet'!$B$88,BD102+BC103-BL102)))</f>
        <v>281.99999999999989</v>
      </c>
      <c r="BE103" s="13">
        <f>BD103*VLOOKUP('Données projet'!$B$11,Paramètres!$A$1:$I$89,3,0)*VLOOKUP('Données projet'!$B$11,Paramètres!$A$1:$I$89,5,0)</f>
        <v>268.35119999999989</v>
      </c>
      <c r="BF103" s="13">
        <f t="shared" si="91"/>
        <v>64.499227668096069</v>
      </c>
      <c r="BG103" s="20">
        <f t="shared" si="61"/>
        <v>579.71449485526716</v>
      </c>
      <c r="BH103" s="59">
        <f t="shared" si="62"/>
        <v>857.11855003897631</v>
      </c>
      <c r="BI103" s="59">
        <f ca="1">AVERAGE(OFFSET($BH$3,0,0,'Données projet'!$E$11+1,1))-AVERAGE(OFFSET($H$3,0,0,'Données projet'!$E$11+1,1))</f>
        <v>423.80243030843661</v>
      </c>
      <c r="BJ103" s="59">
        <f t="shared" si="92"/>
        <v>260.29028006191834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21</v>
      </c>
      <c r="BM103" s="16">
        <f>IF(ISNA(VLOOKUP(A103,'Données projet'!$A$87:$I$107,5,0)),0%,VLOOKUP(A103,'Données projet'!$A$87:$I$107,5,0)*VLOOKUP('Données projet'!$B$11,Paramètres!$A$1:$I$89,7,0))</f>
        <v>0.1075</v>
      </c>
      <c r="BN103" s="16">
        <f>IF(ISNA(VLOOKUP(A103,'Données projet'!$A$87:$I$107,6,0)),0%,VLOOKUP(A103,'Données projet'!$A$87:$I$107,6,0)*VLOOKUP('Données projet'!$B$11,Paramètres!$A$1:$I$89,7,0))</f>
        <v>0.1075</v>
      </c>
      <c r="BO103" s="16">
        <f>IF(ISNA(VLOOKUP(A103,'Données projet'!$A$87:$I$107,7,0)),0%,VLOOKUP(A103,'Données projet'!$A$87:$I$107,7,0))</f>
        <v>0.25</v>
      </c>
      <c r="BP103" s="21">
        <f>EXP(-LN(2)/35)*BP102+(1-EXP(-LN(2)/35))/(LN(2)/35)*BL103*BM103*VLOOKUP('Données projet'!$B$11,Paramètres!$A$1:$I$89,3,0)*0.475*44/12</f>
        <v>12.594954784647705</v>
      </c>
      <c r="BQ103" s="21">
        <f>EXP(-LN(2)/25)*BQ102+(1-EXP(-LN(2)/25))/(LN(2)/25)*Calculateur!BL103*Calculateur!BN103*VLOOKUP('Données projet'!$B$11,Paramètres!$A$1:$I$89,3,0)*0.475*44/12</f>
        <v>16.101734189894358</v>
      </c>
      <c r="BR103" s="21">
        <f>EXP(-LN(2)/2)*BR102+(1-EXP(-LN(2)/2))/(LN(2)/2)*BL103*BO103*VLOOKUP('Données projet'!$B$11,Paramètres!$A$1:$I$89,3,0)*0.475*44/12</f>
        <v>5.7259872087306274</v>
      </c>
      <c r="BS103" s="22">
        <f t="shared" si="63"/>
        <v>34.422676183272692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-2.2737367544323206E-13</v>
      </c>
      <c r="BZ103" s="13">
        <f>BY103*VLOOKUP('Données projet'!$B$12,Paramètres!$A$1:$I$89,3,0)*VLOOKUP('Données projet'!$B$12,Paramètres!$A$1:$I$89,5,0)</f>
        <v>-1.3596945791505279E-13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373.61861223558259</v>
      </c>
      <c r="CE103" s="59">
        <f t="shared" si="94"/>
        <v>277.62293009761049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103.14135892586145</v>
      </c>
      <c r="CL103" s="21">
        <f>EXP(-LN(2)/25)*CL102+(1-EXP(-LN(2)/25))/(LN(2)/25)*Calculateur!CG103*Calculateur!CI103*VLOOKUP('Données projet'!$B$12,Paramètres!$A$1:$I$89,3,0)*0.475*44/12</f>
        <v>29.719337945392084</v>
      </c>
      <c r="CM103" s="21">
        <f>EXP(-LN(2)/2)*CM102+(1-EXP(-LN(2)/2))/(LN(2)/2)*CG103*CJ103*VLOOKUP('Données projet'!$B$12,Paramètres!$A$1:$I$89,3,0)*0.475*44/12</f>
        <v>6.9059221485555378E-2</v>
      </c>
      <c r="CN103" s="22">
        <f t="shared" si="66"/>
        <v>132.9297560927391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2.8421709430404007E-14</v>
      </c>
      <c r="CU103" s="17">
        <f>CT103*VLOOKUP('Données projet'!$B$13,Paramètres!$A$1:$I$89,3,0)*VLOOKUP('Données projet'!$B$13,Paramètres!$A$1:$I$89,5,0)</f>
        <v>2.4829205358400945E-14</v>
      </c>
      <c r="CV103" s="13">
        <f t="shared" si="95"/>
        <v>4.3867331143352915E-13</v>
      </c>
      <c r="CW103" s="20">
        <f t="shared" si="67"/>
        <v>8.0726688341261168E-13</v>
      </c>
      <c r="CX103" s="59">
        <f t="shared" si="68"/>
        <v>277.40405518371</v>
      </c>
      <c r="CY103" s="59">
        <f ca="1">AVERAGE(OFFSET($CX$3,0,0,'Données projet'!$E$13+1,1))-AVERAGE(OFFSET($H$3,0,0,'Données projet'!$E$13+1,1))</f>
        <v>287.28439432670405</v>
      </c>
      <c r="CZ103" s="59">
        <f t="shared" si="96"/>
        <v>276.01618888357268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22.198067220409914</v>
      </c>
      <c r="DG103" s="21">
        <f>EXP(-LN(2)/25)*DG102+(1-EXP(-LN(2)/25))/(LN(2)/25)*Calculateur!DB103*Calculateur!DD103*VLOOKUP('Données projet'!$B$13,Paramètres!$A$1:$I$89,3,0)*0.475*44/12</f>
        <v>20.961430988535223</v>
      </c>
      <c r="DH103" s="21">
        <f>EXP(-LN(2)/2)*DH102+(1-EXP(-LN(2)/2))/(LN(2)/2)*DB103*DE103*VLOOKUP('Données projet'!$B$13,Paramètres!$A$1:$I$89,3,0)*0.475*44/12</f>
        <v>4.4381290664675901E-2</v>
      </c>
      <c r="DI103" s="22">
        <f t="shared" si="69"/>
        <v>43.203879499609812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9">
        <f t="shared" si="55"/>
        <v>1007.5495431743766</v>
      </c>
      <c r="S104" s="59">
        <f ca="1">AVERAGE(OFFSET($R$3,0,0,'Données projet'!$E$9+1,1))-AVERAGE(OFFSET($H$3,0,0,'Données projet'!$E$9+1,1))</f>
        <v>681.47578137804555</v>
      </c>
      <c r="T104" s="59">
        <f t="shared" si="88"/>
        <v>300.88511065995885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9.1833333333333318</v>
      </c>
      <c r="AI104" s="13">
        <f>IF('Données projet'!$A$62&gt;35,AI103+AH104-AQ103,IF(A104&lt;'Données projet'!$A$62,$AF$205^A104,IF(A104='Données projet'!$A$62,'Données projet'!$B$62,AI103+AH104-AQ103)))</f>
        <v>397.89333333333326</v>
      </c>
      <c r="AJ104" s="13">
        <f>AI104*VLOOKUP('Données projet'!$B$10,Paramètres!$A$1:$I$89,3,0)*VLOOKUP('Données projet'!$B$10,Paramètres!$A$1:$I$89,5,0)</f>
        <v>186.21407999999997</v>
      </c>
      <c r="AK104" s="13">
        <f t="shared" si="89"/>
        <v>46.70196174472121</v>
      </c>
      <c r="AL104" s="20">
        <f t="shared" si="58"/>
        <v>405.6621060387227</v>
      </c>
      <c r="AM104" s="59">
        <f t="shared" si="59"/>
        <v>683.3424985857971</v>
      </c>
      <c r="AN104" s="59">
        <f ca="1">AVERAGE(OFFSET($AM$3,0,0,'Données projet'!$E$10+1,1))-AVERAGE(OFFSET($H$3,0,0,'Données projet'!$E$10+1,1))</f>
        <v>374.38106339726073</v>
      </c>
      <c r="AO104" s="59">
        <f t="shared" si="90"/>
        <v>296.53283288925957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58.499251165327401</v>
      </c>
      <c r="AV104" s="21">
        <f>EXP(-LN(2)/25)*AV103+(1-EXP(-LN(2)/25))/(LN(2)/25)*Calculateur!AQ104*Calculateur!AS104*VLOOKUP('Données projet'!$B$10,Paramètres!$A$1:$I$89,3,0)*0.475*44/12</f>
        <v>20.671948537783638</v>
      </c>
      <c r="AW104" s="21">
        <f>EXP(-LN(2)/2)*AW103+(1-EXP(-LN(2)/2))/(LN(2)/2)*AQ104*AT104*VLOOKUP('Données projet'!$B$10,Paramètres!$A$1:$I$89,3,0)*0.475*44/12</f>
        <v>2.4404172718252837</v>
      </c>
      <c r="AX104" s="21">
        <f t="shared" si="60"/>
        <v>81.611616974936325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4.5999999999999996</v>
      </c>
      <c r="BD104" s="12">
        <f>IF('Données projet'!$A$88&gt;35,BD103+BC104-BL103,IF(A104&lt;'Données projet'!$A$88,$BA$205^A104,IF(A104='Données projet'!$A$88,'Données projet'!$B$88,BD103+BC104-BL103)))</f>
        <v>265.59999999999991</v>
      </c>
      <c r="BE104" s="13">
        <f>BD104*VLOOKUP('Données projet'!$B$11,Paramètres!$A$1:$I$89,3,0)*VLOOKUP('Données projet'!$B$11,Paramètres!$A$1:$I$89,5,0)</f>
        <v>252.74495999999991</v>
      </c>
      <c r="BF104" s="13">
        <f t="shared" si="91"/>
        <v>61.173358634109022</v>
      </c>
      <c r="BG104" s="20">
        <f t="shared" si="61"/>
        <v>546.74107162107293</v>
      </c>
      <c r="BH104" s="59">
        <f t="shared" si="62"/>
        <v>824.42146416814739</v>
      </c>
      <c r="BI104" s="59">
        <f ca="1">AVERAGE(OFFSET($BH$3,0,0,'Données projet'!$E$11+1,1))-AVERAGE(OFFSET($H$3,0,0,'Données projet'!$E$11+1,1))</f>
        <v>423.80243030843661</v>
      </c>
      <c r="BJ104" s="59">
        <f t="shared" si="92"/>
        <v>260.29028006191834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12.347975403484631</v>
      </c>
      <c r="BQ104" s="21">
        <f>EXP(-LN(2)/25)*BQ103+(1-EXP(-LN(2)/25))/(LN(2)/25)*Calculateur!BL104*Calculateur!BN104*VLOOKUP('Données projet'!$B$11,Paramètres!$A$1:$I$89,3,0)*0.475*44/12</f>
        <v>15.661431421718298</v>
      </c>
      <c r="BR104" s="21">
        <f>EXP(-LN(2)/2)*BR103+(1-EXP(-LN(2)/2))/(LN(2)/2)*BL104*BO104*VLOOKUP('Données projet'!$B$11,Paramètres!$A$1:$I$89,3,0)*0.475*44/12</f>
        <v>4.048884384280858</v>
      </c>
      <c r="BS104" s="22">
        <f t="shared" si="63"/>
        <v>32.058291209483791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-2.2737367544323206E-13</v>
      </c>
      <c r="BZ104" s="13">
        <f>BY104*VLOOKUP('Données projet'!$B$12,Paramètres!$A$1:$I$89,3,0)*VLOOKUP('Données projet'!$B$12,Paramètres!$A$1:$I$89,5,0)</f>
        <v>-1.3596945791505279E-13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373.61861223558259</v>
      </c>
      <c r="CE104" s="59">
        <f t="shared" si="94"/>
        <v>277.62293009761049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101.1188197873424</v>
      </c>
      <c r="CL104" s="21">
        <f>EXP(-LN(2)/25)*CL103+(1-EXP(-LN(2)/25))/(LN(2)/25)*Calculateur!CG104*Calculateur!CI104*VLOOKUP('Données projet'!$B$12,Paramètres!$A$1:$I$89,3,0)*0.475*44/12</f>
        <v>28.906661086403279</v>
      </c>
      <c r="CM104" s="21">
        <f>EXP(-LN(2)/2)*CM103+(1-EXP(-LN(2)/2))/(LN(2)/2)*CG104*CJ104*VLOOKUP('Données projet'!$B$12,Paramètres!$A$1:$I$89,3,0)*0.475*44/12</f>
        <v>4.8832243815899928E-2</v>
      </c>
      <c r="CN104" s="22">
        <f t="shared" si="66"/>
        <v>130.07431311756159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2.8421709430404007E-14</v>
      </c>
      <c r="CU104" s="17">
        <f>CT104*VLOOKUP('Données projet'!$B$13,Paramètres!$A$1:$I$89,3,0)*VLOOKUP('Données projet'!$B$13,Paramètres!$A$1:$I$89,5,0)</f>
        <v>2.4829205358400945E-14</v>
      </c>
      <c r="CV104" s="13">
        <f t="shared" si="95"/>
        <v>4.3867331143352915E-13</v>
      </c>
      <c r="CW104" s="20">
        <f t="shared" si="67"/>
        <v>8.0726688341261168E-13</v>
      </c>
      <c r="CX104" s="59">
        <f t="shared" si="68"/>
        <v>277.6803925470752</v>
      </c>
      <c r="CY104" s="59">
        <f ca="1">AVERAGE(OFFSET($CX$3,0,0,'Données projet'!$E$13+1,1))-AVERAGE(OFFSET($H$3,0,0,'Données projet'!$E$13+1,1))</f>
        <v>287.28439432670405</v>
      </c>
      <c r="CZ104" s="59">
        <f t="shared" si="96"/>
        <v>276.01618888357268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21.762776661701768</v>
      </c>
      <c r="DG104" s="21">
        <f>EXP(-LN(2)/25)*DG103+(1-EXP(-LN(2)/25))/(LN(2)/25)*Calculateur!DB104*Calculateur!DD104*VLOOKUP('Données projet'!$B$13,Paramètres!$A$1:$I$89,3,0)*0.475*44/12</f>
        <v>20.388239555839981</v>
      </c>
      <c r="DH104" s="21">
        <f>EXP(-LN(2)/2)*DH103+(1-EXP(-LN(2)/2))/(LN(2)/2)*DB104*DE104*VLOOKUP('Données projet'!$B$13,Paramètres!$A$1:$I$89,3,0)*0.475*44/12</f>
        <v>3.1382311586803546E-2</v>
      </c>
      <c r="DI104" s="22">
        <f t="shared" si="69"/>
        <v>42.182398529128555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9">
        <f t="shared" si="55"/>
        <v>1024.8201460246814</v>
      </c>
      <c r="S105" s="59">
        <f ca="1">AVERAGE(OFFSET($R$3,0,0,'Données projet'!$E$9+1,1))-AVERAGE(OFFSET($H$3,0,0,'Données projet'!$E$9+1,1))</f>
        <v>681.47578137804555</v>
      </c>
      <c r="T105" s="59">
        <f t="shared" si="88"/>
        <v>300.88511065995885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9.1833333333333318</v>
      </c>
      <c r="AI105" s="13">
        <f>IF('Données projet'!$A$62&gt;35,AI104+AH105-AQ104,IF(A105&lt;'Données projet'!$A$62,$AF$205^A105,IF(A105='Données projet'!$A$62,'Données projet'!$B$62,AI104+AH105-AQ104)))</f>
        <v>407.0766666666666</v>
      </c>
      <c r="AJ105" s="13">
        <f>AI105*VLOOKUP('Données projet'!$B$10,Paramètres!$A$1:$I$89,3,0)*VLOOKUP('Données projet'!$B$10,Paramètres!$A$1:$I$89,5,0)</f>
        <v>190.51187999999996</v>
      </c>
      <c r="AK105" s="13">
        <f t="shared" si="89"/>
        <v>47.653104524596984</v>
      </c>
      <c r="AL105" s="20">
        <f t="shared" si="58"/>
        <v>414.80401471367298</v>
      </c>
      <c r="AM105" s="59">
        <f t="shared" si="59"/>
        <v>692.75595078865592</v>
      </c>
      <c r="AN105" s="59">
        <f ca="1">AVERAGE(OFFSET($AM$3,0,0,'Données projet'!$E$10+1,1))-AVERAGE(OFFSET($H$3,0,0,'Données projet'!$E$10+1,1))</f>
        <v>374.38106339726073</v>
      </c>
      <c r="AO105" s="59">
        <f t="shared" si="90"/>
        <v>296.53283288925957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57.352116530995332</v>
      </c>
      <c r="AV105" s="21">
        <f>EXP(-LN(2)/25)*AV104+(1-EXP(-LN(2)/25))/(LN(2)/25)*Calculateur!AQ105*Calculateur!AS105*VLOOKUP('Données projet'!$B$10,Paramètres!$A$1:$I$89,3,0)*0.475*44/12</f>
        <v>20.106673017927417</v>
      </c>
      <c r="AW105" s="21">
        <f>EXP(-LN(2)/2)*AW104+(1-EXP(-LN(2)/2))/(LN(2)/2)*AQ105*AT105*VLOOKUP('Données projet'!$B$10,Paramètres!$A$1:$I$89,3,0)*0.475*44/12</f>
        <v>1.7256356018324321</v>
      </c>
      <c r="AX105" s="21">
        <f t="shared" si="60"/>
        <v>79.184425150755189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4.5999999999999996</v>
      </c>
      <c r="BD105" s="12">
        <f>IF('Données projet'!$A$88&gt;35,BD104+BC105-BL104,IF(A105&lt;'Données projet'!$A$88,$BA$205^A105,IF(A105='Données projet'!$A$88,'Données projet'!$B$88,BD104+BC105-BL104)))</f>
        <v>270.19999999999993</v>
      </c>
      <c r="BE105" s="13">
        <f>BD105*VLOOKUP('Données projet'!$B$11,Paramètres!$A$1:$I$89,3,0)*VLOOKUP('Données projet'!$B$11,Paramètres!$A$1:$I$89,5,0)</f>
        <v>257.12231999999995</v>
      </c>
      <c r="BF105" s="13">
        <f t="shared" si="91"/>
        <v>62.108576103251544</v>
      </c>
      <c r="BG105" s="20">
        <f t="shared" si="61"/>
        <v>555.99381071316304</v>
      </c>
      <c r="BH105" s="59">
        <f t="shared" si="62"/>
        <v>833.94574678814593</v>
      </c>
      <c r="BI105" s="59">
        <f ca="1">AVERAGE(OFFSET($BH$3,0,0,'Données projet'!$E$11+1,1))-AVERAGE(OFFSET($H$3,0,0,'Données projet'!$E$11+1,1))</f>
        <v>423.80243030843661</v>
      </c>
      <c r="BJ105" s="59">
        <f t="shared" si="92"/>
        <v>260.29028006191834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12.105839137343617</v>
      </c>
      <c r="BQ105" s="21">
        <f>EXP(-LN(2)/25)*BQ104+(1-EXP(-LN(2)/25))/(LN(2)/25)*Calculateur!BL105*Calculateur!BN105*VLOOKUP('Données projet'!$B$11,Paramètres!$A$1:$I$89,3,0)*0.475*44/12</f>
        <v>15.233168755892528</v>
      </c>
      <c r="BR105" s="21">
        <f>EXP(-LN(2)/2)*BR104+(1-EXP(-LN(2)/2))/(LN(2)/2)*BL105*BO105*VLOOKUP('Données projet'!$B$11,Paramètres!$A$1:$I$89,3,0)*0.475*44/12</f>
        <v>2.8629936043653141</v>
      </c>
      <c r="BS105" s="22">
        <f t="shared" si="63"/>
        <v>30.202001497601458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-2.2737367544323206E-13</v>
      </c>
      <c r="BZ105" s="13">
        <f>BY105*VLOOKUP('Données projet'!$B$12,Paramètres!$A$1:$I$89,3,0)*VLOOKUP('Données projet'!$B$12,Paramètres!$A$1:$I$89,5,0)</f>
        <v>-1.3596945791505279E-13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373.61861223558259</v>
      </c>
      <c r="CE105" s="59">
        <f t="shared" si="94"/>
        <v>277.62293009761049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99.135941407702646</v>
      </c>
      <c r="CL105" s="21">
        <f>EXP(-LN(2)/25)*CL104+(1-EXP(-LN(2)/25))/(LN(2)/25)*Calculateur!CG105*Calculateur!CI105*VLOOKUP('Données projet'!$B$12,Paramètres!$A$1:$I$89,3,0)*0.475*44/12</f>
        <v>28.116206918860343</v>
      </c>
      <c r="CM105" s="21">
        <f>EXP(-LN(2)/2)*CM104+(1-EXP(-LN(2)/2))/(LN(2)/2)*CG105*CJ105*VLOOKUP('Données projet'!$B$12,Paramètres!$A$1:$I$89,3,0)*0.475*44/12</f>
        <v>3.4529610742777689E-2</v>
      </c>
      <c r="CN105" s="22">
        <f t="shared" si="66"/>
        <v>127.28667793730577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2.8421709430404007E-14</v>
      </c>
      <c r="CU105" s="17">
        <f>CT105*VLOOKUP('Données projet'!$B$13,Paramètres!$A$1:$I$89,3,0)*VLOOKUP('Données projet'!$B$13,Paramètres!$A$1:$I$89,5,0)</f>
        <v>2.4829205358400945E-14</v>
      </c>
      <c r="CV105" s="13">
        <f t="shared" si="95"/>
        <v>4.3867331143352915E-13</v>
      </c>
      <c r="CW105" s="20">
        <f t="shared" si="67"/>
        <v>8.0726688341261168E-13</v>
      </c>
      <c r="CX105" s="59">
        <f t="shared" si="68"/>
        <v>277.95193607498373</v>
      </c>
      <c r="CY105" s="59">
        <f ca="1">AVERAGE(OFFSET($CX$3,0,0,'Données projet'!$E$13+1,1))-AVERAGE(OFFSET($H$3,0,0,'Données projet'!$E$13+1,1))</f>
        <v>287.28439432670405</v>
      </c>
      <c r="CZ105" s="59">
        <f t="shared" si="96"/>
        <v>276.01618888357268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21.336021885348863</v>
      </c>
      <c r="DG105" s="21">
        <f>EXP(-LN(2)/25)*DG104+(1-EXP(-LN(2)/25))/(LN(2)/25)*Calculateur!DB105*Calculateur!DD105*VLOOKUP('Données projet'!$B$13,Paramètres!$A$1:$I$89,3,0)*0.475*44/12</f>
        <v>19.830722073014616</v>
      </c>
      <c r="DH105" s="21">
        <f>EXP(-LN(2)/2)*DH104+(1-EXP(-LN(2)/2))/(LN(2)/2)*DB105*DE105*VLOOKUP('Données projet'!$B$13,Paramètres!$A$1:$I$89,3,0)*0.475*44/12</f>
        <v>2.2190645332337951E-2</v>
      </c>
      <c r="DI105" s="22">
        <f t="shared" si="69"/>
        <v>41.18893460369582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9">
        <f t="shared" si="55"/>
        <v>1042.0781730865915</v>
      </c>
      <c r="S106" s="59">
        <f ca="1">AVERAGE(OFFSET($R$3,0,0,'Données projet'!$E$9+1,1))-AVERAGE(OFFSET($H$3,0,0,'Données projet'!$E$9+1,1))</f>
        <v>681.47578137804555</v>
      </c>
      <c r="T106" s="59">
        <f t="shared" si="88"/>
        <v>300.88511065995885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9.1833333333333318</v>
      </c>
      <c r="AI106" s="13">
        <f>IF('Données projet'!$A$62&gt;35,AI105+AH106-AQ105,IF(A106&lt;'Données projet'!$A$62,$AF$205^A106,IF(A106='Données projet'!$A$62,'Données projet'!$B$62,AI105+AH106-AQ105)))</f>
        <v>416.25999999999993</v>
      </c>
      <c r="AJ106" s="13">
        <f>AI106*VLOOKUP('Données projet'!$B$10,Paramètres!$A$1:$I$89,3,0)*VLOOKUP('Données projet'!$B$10,Paramètres!$A$1:$I$89,5,0)</f>
        <v>194.80967999999996</v>
      </c>
      <c r="AK106" s="13">
        <f t="shared" si="89"/>
        <v>48.601752757478572</v>
      </c>
      <c r="AL106" s="20">
        <f t="shared" si="58"/>
        <v>423.94157871927513</v>
      </c>
      <c r="AM106" s="59">
        <f t="shared" si="59"/>
        <v>702.16034764903782</v>
      </c>
      <c r="AN106" s="59">
        <f ca="1">AVERAGE(OFFSET($AM$3,0,0,'Données projet'!$E$10+1,1))-AVERAGE(OFFSET($H$3,0,0,'Données projet'!$E$10+1,1))</f>
        <v>374.38106339726073</v>
      </c>
      <c r="AO106" s="59">
        <f t="shared" si="90"/>
        <v>296.53283288925957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56.22747650715948</v>
      </c>
      <c r="AV106" s="21">
        <f>EXP(-LN(2)/25)*AV105+(1-EXP(-LN(2)/25))/(LN(2)/25)*Calculateur!AQ106*Calculateur!AS106*VLOOKUP('Données projet'!$B$10,Paramètres!$A$1:$I$89,3,0)*0.475*44/12</f>
        <v>19.556854986888212</v>
      </c>
      <c r="AW106" s="21">
        <f>EXP(-LN(2)/2)*AW105+(1-EXP(-LN(2)/2))/(LN(2)/2)*AQ106*AT106*VLOOKUP('Données projet'!$B$10,Paramètres!$A$1:$I$89,3,0)*0.475*44/12</f>
        <v>1.2202086359126418</v>
      </c>
      <c r="AX106" s="21">
        <f t="shared" si="60"/>
        <v>77.004540129960333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4.5999999999999996</v>
      </c>
      <c r="BD106" s="12">
        <f>IF('Données projet'!$A$88&gt;35,BD105+BC106-BL105,IF(A106&lt;'Données projet'!$A$88,$BA$205^A106,IF(A106='Données projet'!$A$88,'Données projet'!$B$88,BD105+BC106-BL105)))</f>
        <v>274.79999999999995</v>
      </c>
      <c r="BE106" s="13">
        <f>BD106*VLOOKUP('Données projet'!$B$11,Paramètres!$A$1:$I$89,3,0)*VLOOKUP('Données projet'!$B$11,Paramètres!$A$1:$I$89,5,0)</f>
        <v>261.49967999999996</v>
      </c>
      <c r="BF106" s="13">
        <f t="shared" si="91"/>
        <v>63.041942045518894</v>
      </c>
      <c r="BG106" s="20">
        <f t="shared" si="61"/>
        <v>565.24332506261192</v>
      </c>
      <c r="BH106" s="59">
        <f t="shared" si="62"/>
        <v>843.46209399237455</v>
      </c>
      <c r="BI106" s="59">
        <f ca="1">AVERAGE(OFFSET($BH$3,0,0,'Données projet'!$E$11+1,1))-AVERAGE(OFFSET($H$3,0,0,'Données projet'!$E$11+1,1))</f>
        <v>423.80243030843661</v>
      </c>
      <c r="BJ106" s="59">
        <f t="shared" si="92"/>
        <v>260.29028006191834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11.86845101569309</v>
      </c>
      <c r="BQ106" s="21">
        <f>EXP(-LN(2)/25)*BQ105+(1-EXP(-LN(2)/25))/(LN(2)/25)*Calculateur!BL106*Calculateur!BN106*VLOOKUP('Données projet'!$B$11,Paramètres!$A$1:$I$89,3,0)*0.475*44/12</f>
        <v>14.816616955185118</v>
      </c>
      <c r="BR106" s="21">
        <f>EXP(-LN(2)/2)*BR105+(1-EXP(-LN(2)/2))/(LN(2)/2)*BL106*BO106*VLOOKUP('Données projet'!$B$11,Paramètres!$A$1:$I$89,3,0)*0.475*44/12</f>
        <v>2.0244421921404294</v>
      </c>
      <c r="BS106" s="22">
        <f t="shared" si="63"/>
        <v>28.709510163018638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-2.2737367544323206E-13</v>
      </c>
      <c r="BZ106" s="13">
        <f>BY106*VLOOKUP('Données projet'!$B$12,Paramètres!$A$1:$I$89,3,0)*VLOOKUP('Données projet'!$B$12,Paramètres!$A$1:$I$89,5,0)</f>
        <v>-1.3596945791505279E-13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373.61861223558259</v>
      </c>
      <c r="CE106" s="59">
        <f t="shared" si="94"/>
        <v>277.62293009761049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97.191946063651244</v>
      </c>
      <c r="CL106" s="21">
        <f>EXP(-LN(2)/25)*CL105+(1-EXP(-LN(2)/25))/(LN(2)/25)*Calculateur!CG106*Calculateur!CI106*VLOOKUP('Données projet'!$B$12,Paramètres!$A$1:$I$89,3,0)*0.475*44/12</f>
        <v>27.347367762097043</v>
      </c>
      <c r="CM106" s="21">
        <f>EXP(-LN(2)/2)*CM105+(1-EXP(-LN(2)/2))/(LN(2)/2)*CG106*CJ106*VLOOKUP('Données projet'!$B$12,Paramètres!$A$1:$I$89,3,0)*0.475*44/12</f>
        <v>2.4416121907949964E-2</v>
      </c>
      <c r="CN106" s="22">
        <f t="shared" si="66"/>
        <v>124.56372994765623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2.8421709430404007E-14</v>
      </c>
      <c r="CU106" s="17">
        <f>CT106*VLOOKUP('Données projet'!$B$13,Paramètres!$A$1:$I$89,3,0)*VLOOKUP('Données projet'!$B$13,Paramètres!$A$1:$I$89,5,0)</f>
        <v>2.4829205358400945E-14</v>
      </c>
      <c r="CV106" s="13">
        <f t="shared" si="95"/>
        <v>4.3867331143352915E-13</v>
      </c>
      <c r="CW106" s="20">
        <f t="shared" si="67"/>
        <v>8.0726688341261168E-13</v>
      </c>
      <c r="CX106" s="59">
        <f t="shared" si="68"/>
        <v>278.21876892976348</v>
      </c>
      <c r="CY106" s="59">
        <f ca="1">AVERAGE(OFFSET($CX$3,0,0,'Données projet'!$E$13+1,1))-AVERAGE(OFFSET($H$3,0,0,'Données projet'!$E$13+1,1))</f>
        <v>287.28439432670405</v>
      </c>
      <c r="CZ106" s="59">
        <f t="shared" si="96"/>
        <v>276.01618888357268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20.917635509865526</v>
      </c>
      <c r="DG106" s="21">
        <f>EXP(-LN(2)/25)*DG105+(1-EXP(-LN(2)/25))/(LN(2)/25)*Calculateur!DB106*Calculateur!DD106*VLOOKUP('Données projet'!$B$13,Paramètres!$A$1:$I$89,3,0)*0.475*44/12</f>
        <v>19.288449935075683</v>
      </c>
      <c r="DH106" s="21">
        <f>EXP(-LN(2)/2)*DH105+(1-EXP(-LN(2)/2))/(LN(2)/2)*DB106*DE106*VLOOKUP('Données projet'!$B$13,Paramètres!$A$1:$I$89,3,0)*0.475*44/12</f>
        <v>1.5691155793401773E-2</v>
      </c>
      <c r="DI106" s="22">
        <f t="shared" si="69"/>
        <v>40.221776600734614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9">
        <f t="shared" si="55"/>
        <v>1059.3239055063366</v>
      </c>
      <c r="S107" s="59">
        <f ca="1">AVERAGE(OFFSET($R$3,0,0,'Données projet'!$E$9+1,1))-AVERAGE(OFFSET($H$3,0,0,'Données projet'!$E$9+1,1))</f>
        <v>681.47578137804555</v>
      </c>
      <c r="T107" s="59">
        <f t="shared" si="88"/>
        <v>300.88511065995885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9.1833333333333318</v>
      </c>
      <c r="AI107" s="13">
        <f>IF('Données projet'!$A$62&gt;35,AI106+AH107-AQ106,IF(A107&lt;'Données projet'!$A$62,$AF$205^A107,IF(A107='Données projet'!$A$62,'Données projet'!$B$62,AI106+AH107-AQ106)))</f>
        <v>425.44333333333327</v>
      </c>
      <c r="AJ107" s="13">
        <f>AI107*VLOOKUP('Données projet'!$B$10,Paramètres!$A$1:$I$89,3,0)*VLOOKUP('Données projet'!$B$10,Paramètres!$A$1:$I$89,5,0)</f>
        <v>199.10747999999998</v>
      </c>
      <c r="AK107" s="13">
        <f t="shared" si="89"/>
        <v>49.547967814034735</v>
      </c>
      <c r="AL107" s="20">
        <f t="shared" si="58"/>
        <v>433.0749049427771</v>
      </c>
      <c r="AM107" s="59">
        <f t="shared" si="59"/>
        <v>711.55587777383801</v>
      </c>
      <c r="AN107" s="59">
        <f ca="1">AVERAGE(OFFSET($AM$3,0,0,'Données projet'!$E$10+1,1))-AVERAGE(OFFSET($H$3,0,0,'Données projet'!$E$10+1,1))</f>
        <v>374.38106339726073</v>
      </c>
      <c r="AO107" s="59">
        <f t="shared" si="90"/>
        <v>296.53283288925957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55.124889988228368</v>
      </c>
      <c r="AV107" s="21">
        <f>EXP(-LN(2)/25)*AV106+(1-EXP(-LN(2)/25))/(LN(2)/25)*Calculateur!AQ107*Calculateur!AS107*VLOOKUP('Données projet'!$B$10,Paramètres!$A$1:$I$89,3,0)*0.475*44/12</f>
        <v>19.022071758821447</v>
      </c>
      <c r="AW107" s="21">
        <f>EXP(-LN(2)/2)*AW106+(1-EXP(-LN(2)/2))/(LN(2)/2)*AQ107*AT107*VLOOKUP('Données projet'!$B$10,Paramètres!$A$1:$I$89,3,0)*0.475*44/12</f>
        <v>0.86281780091621607</v>
      </c>
      <c r="AX107" s="21">
        <f t="shared" si="60"/>
        <v>75.009779547966033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4.5999999999999996</v>
      </c>
      <c r="BD107" s="12">
        <f>IF('Données projet'!$A$88&gt;35,BD106+BC107-BL106,IF(A107&lt;'Données projet'!$A$88,$BA$205^A107,IF(A107='Données projet'!$A$88,'Données projet'!$B$88,BD106+BC107-BL106)))</f>
        <v>279.39999999999998</v>
      </c>
      <c r="BE107" s="13">
        <f>BD107*VLOOKUP('Données projet'!$B$11,Paramètres!$A$1:$I$89,3,0)*VLOOKUP('Données projet'!$B$11,Paramètres!$A$1:$I$89,5,0)</f>
        <v>265.87703999999997</v>
      </c>
      <c r="BF107" s="13">
        <f t="shared" si="91"/>
        <v>63.973491031659954</v>
      </c>
      <c r="BG107" s="20">
        <f t="shared" si="61"/>
        <v>574.48967488014102</v>
      </c>
      <c r="BH107" s="59">
        <f t="shared" si="62"/>
        <v>852.97064771120199</v>
      </c>
      <c r="BI107" s="59">
        <f ca="1">AVERAGE(OFFSET($BH$3,0,0,'Données projet'!$E$11+1,1))-AVERAGE(OFFSET($H$3,0,0,'Données projet'!$E$11+1,1))</f>
        <v>423.80243030843661</v>
      </c>
      <c r="BJ107" s="59">
        <f t="shared" si="92"/>
        <v>260.29028006191834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11.635717930315671</v>
      </c>
      <c r="BQ107" s="21">
        <f>EXP(-LN(2)/25)*BQ106+(1-EXP(-LN(2)/25))/(LN(2)/25)*Calculateur!BL107*Calculateur!BN107*VLOOKUP('Données projet'!$B$11,Paramètres!$A$1:$I$89,3,0)*0.475*44/12</f>
        <v>14.41145578537356</v>
      </c>
      <c r="BR107" s="21">
        <f>EXP(-LN(2)/2)*BR106+(1-EXP(-LN(2)/2))/(LN(2)/2)*BL107*BO107*VLOOKUP('Données projet'!$B$11,Paramètres!$A$1:$I$89,3,0)*0.475*44/12</f>
        <v>1.4314968021826573</v>
      </c>
      <c r="BS107" s="22">
        <f t="shared" si="63"/>
        <v>27.47867051787189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-2.2737367544323206E-13</v>
      </c>
      <c r="BZ107" s="13">
        <f>BY107*VLOOKUP('Données projet'!$B$12,Paramètres!$A$1:$I$89,3,0)*VLOOKUP('Données projet'!$B$12,Paramètres!$A$1:$I$89,5,0)</f>
        <v>-1.3596945791505279E-13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373.61861223558259</v>
      </c>
      <c r="CE107" s="59">
        <f t="shared" si="94"/>
        <v>277.62293009761049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95.2860712825766</v>
      </c>
      <c r="CL107" s="21">
        <f>EXP(-LN(2)/25)*CL106+(1-EXP(-LN(2)/25))/(LN(2)/25)*Calculateur!CG107*Calculateur!CI107*VLOOKUP('Données projet'!$B$12,Paramètres!$A$1:$I$89,3,0)*0.475*44/12</f>
        <v>26.599552552506932</v>
      </c>
      <c r="CM107" s="21">
        <f>EXP(-LN(2)/2)*CM106+(1-EXP(-LN(2)/2))/(LN(2)/2)*CG107*CJ107*VLOOKUP('Données projet'!$B$12,Paramètres!$A$1:$I$89,3,0)*0.475*44/12</f>
        <v>1.7264805371388844E-2</v>
      </c>
      <c r="CN107" s="22">
        <f t="shared" si="66"/>
        <v>121.90288864045492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2.8421709430404007E-14</v>
      </c>
      <c r="CU107" s="17">
        <f>CT107*VLOOKUP('Données projet'!$B$13,Paramètres!$A$1:$I$89,3,0)*VLOOKUP('Données projet'!$B$13,Paramètres!$A$1:$I$89,5,0)</f>
        <v>2.4829205358400945E-14</v>
      </c>
      <c r="CV107" s="13">
        <f t="shared" si="95"/>
        <v>4.3867331143352915E-13</v>
      </c>
      <c r="CW107" s="20">
        <f t="shared" si="67"/>
        <v>8.0726688341261168E-13</v>
      </c>
      <c r="CX107" s="59">
        <f t="shared" si="68"/>
        <v>278.48097283106171</v>
      </c>
      <c r="CY107" s="59">
        <f ca="1">AVERAGE(OFFSET($CX$3,0,0,'Données projet'!$E$13+1,1))-AVERAGE(OFFSET($H$3,0,0,'Données projet'!$E$13+1,1))</f>
        <v>287.28439432670405</v>
      </c>
      <c r="CZ107" s="59">
        <f t="shared" si="96"/>
        <v>276.01618888357268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20.507453436014927</v>
      </c>
      <c r="DG107" s="21">
        <f>EXP(-LN(2)/25)*DG106+(1-EXP(-LN(2)/25))/(LN(2)/25)*Calculateur!DB107*Calculateur!DD107*VLOOKUP('Données projet'!$B$13,Paramètres!$A$1:$I$89,3,0)*0.475*44/12</f>
        <v>18.761006257265539</v>
      </c>
      <c r="DH107" s="21">
        <f>EXP(-LN(2)/2)*DH106+(1-EXP(-LN(2)/2))/(LN(2)/2)*DB107*DE107*VLOOKUP('Données projet'!$B$13,Paramètres!$A$1:$I$89,3,0)*0.475*44/12</f>
        <v>1.1095322666168975E-2</v>
      </c>
      <c r="DI107" s="22">
        <f t="shared" si="69"/>
        <v>39.279555015946634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9">
        <f t="shared" si="55"/>
        <v>950.7183796349741</v>
      </c>
      <c r="S108" s="59">
        <f ca="1">AVERAGE(OFFSET($R$3,0,0,'Données projet'!$E$9+1,1))-AVERAGE(OFFSET($H$3,0,0,'Données projet'!$E$9+1,1))</f>
        <v>681.47578137804555</v>
      </c>
      <c r="T108" s="59">
        <f t="shared" si="88"/>
        <v>300.88511065995885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9.1833333333333318</v>
      </c>
      <c r="AI108" s="13">
        <f>IF('Données projet'!$A$62&gt;35,AI107+AH108-AQ107,IF(A108&lt;'Données projet'!$A$62,$AF$205^A108,IF(A108='Données projet'!$A$62,'Données projet'!$B$62,AI107+AH108-AQ107)))</f>
        <v>434.62666666666661</v>
      </c>
      <c r="AJ108" s="13">
        <f>AI108*VLOOKUP('Données projet'!$B$10,Paramètres!$A$1:$I$89,3,0)*VLOOKUP('Données projet'!$B$10,Paramètres!$A$1:$I$89,5,0)</f>
        <v>203.40527999999998</v>
      </c>
      <c r="AK108" s="13">
        <f t="shared" si="89"/>
        <v>50.491808264192287</v>
      </c>
      <c r="AL108" s="20">
        <f t="shared" si="58"/>
        <v>442.20409539346821</v>
      </c>
      <c r="AM108" s="59">
        <f t="shared" si="59"/>
        <v>720.94272347434003</v>
      </c>
      <c r="AN108" s="59">
        <f ca="1">AVERAGE(OFFSET($AM$3,0,0,'Données projet'!$E$10+1,1))-AVERAGE(OFFSET($H$3,0,0,'Données projet'!$E$10+1,1))</f>
        <v>374.38106339726073</v>
      </c>
      <c r="AO108" s="59">
        <f t="shared" si="90"/>
        <v>296.53283288925957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54.043924518422124</v>
      </c>
      <c r="AV108" s="21">
        <f>EXP(-LN(2)/25)*AV107+(1-EXP(-LN(2)/25))/(LN(2)/25)*Calculateur!AQ108*Calculateur!AS108*VLOOKUP('Données projet'!$B$10,Paramètres!$A$1:$I$89,3,0)*0.475*44/12</f>
        <v>18.501912206249195</v>
      </c>
      <c r="AW108" s="21">
        <f>EXP(-LN(2)/2)*AW107+(1-EXP(-LN(2)/2))/(LN(2)/2)*AQ108*AT108*VLOOKUP('Données projet'!$B$10,Paramètres!$A$1:$I$89,3,0)*0.475*44/12</f>
        <v>0.61010431795632092</v>
      </c>
      <c r="AX108" s="21">
        <f t="shared" si="60"/>
        <v>73.155941042627646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284</v>
      </c>
      <c r="BB108" s="12">
        <f>VLOOKUP(A108,'Données projet'!$A$87:$I$107,9,0)</f>
        <v>4.5999999999999996</v>
      </c>
      <c r="BC108" s="12">
        <f t="array" ref="BC108">INDEX(BB:BB,MIN(IF(ISNUMBER(BB108:BB304),ROW(BB108:BB304),"")))</f>
        <v>4.5999999999999996</v>
      </c>
      <c r="BD108" s="12">
        <f>IF('Données projet'!$A$88&gt;35,BD107+BC108-BL107,IF(A108&lt;'Données projet'!$A$88,$BA$205^A108,IF(A108='Données projet'!$A$88,'Données projet'!$B$88,BD107+BC108-BL107)))</f>
        <v>284</v>
      </c>
      <c r="BE108" s="13">
        <f>BD108*VLOOKUP('Données projet'!$B$11,Paramètres!$A$1:$I$89,3,0)*VLOOKUP('Données projet'!$B$11,Paramètres!$A$1:$I$89,5,0)</f>
        <v>270.25440000000003</v>
      </c>
      <c r="BF108" s="13">
        <f t="shared" si="91"/>
        <v>64.903256428828314</v>
      </c>
      <c r="BG108" s="20">
        <f t="shared" si="61"/>
        <v>583.73291828020922</v>
      </c>
      <c r="BH108" s="59">
        <f t="shared" si="62"/>
        <v>862.47154636108098</v>
      </c>
      <c r="BI108" s="59">
        <f ca="1">AVERAGE(OFFSET($BH$3,0,0,'Données projet'!$E$11+1,1))-AVERAGE(OFFSET($H$3,0,0,'Données projet'!$E$11+1,1))</f>
        <v>423.80243030843661</v>
      </c>
      <c r="BJ108" s="59">
        <f t="shared" si="92"/>
        <v>260.29028006191834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20</v>
      </c>
      <c r="BM108" s="16">
        <f>IF(ISNA(VLOOKUP(A108,'Données projet'!$A$87:$I$107,5,0)),0%,VLOOKUP(A108,'Données projet'!$A$87:$I$107,5,0)*VLOOKUP('Données projet'!$B$11,Paramètres!$A$1:$I$89,7,0))</f>
        <v>0.1075</v>
      </c>
      <c r="BN108" s="16">
        <f>IF(ISNA(VLOOKUP(A108,'Données projet'!$A$87:$I$107,6,0)),0%,VLOOKUP(A108,'Données projet'!$A$87:$I$107,6,0)*VLOOKUP('Données projet'!$B$11,Paramètres!$A$1:$I$89,7,0))</f>
        <v>0.1075</v>
      </c>
      <c r="BO108" s="16">
        <f>IF(ISNA(VLOOKUP(A108,'Données projet'!$A$87:$I$107,7,0)),0%,VLOOKUP(A108,'Données projet'!$A$87:$I$107,7,0))</f>
        <v>0.25</v>
      </c>
      <c r="BP108" s="21">
        <f>EXP(-LN(2)/35)*BP107+(1-EXP(-LN(2)/35))/(LN(2)/35)*BL108*BM108*VLOOKUP('Données projet'!$B$11,Paramètres!$A$1:$I$89,3,0)*0.475*44/12</f>
        <v>13.669274667090983</v>
      </c>
      <c r="BQ108" s="21">
        <f>EXP(-LN(2)/25)*BQ107+(1-EXP(-LN(2)/25))/(LN(2)/25)*Calculateur!BL108*Calculateur!BN108*VLOOKUP('Données projet'!$B$11,Paramètres!$A$1:$I$89,3,0)*0.475*44/12</f>
        <v>16.270194560042544</v>
      </c>
      <c r="BR108" s="21">
        <f>EXP(-LN(2)/2)*BR107+(1-EXP(-LN(2)/2))/(LN(2)/2)*BL108*BO108*VLOOKUP('Données projet'!$B$11,Paramètres!$A$1:$I$89,3,0)*0.475*44/12</f>
        <v>5.5015221557626521</v>
      </c>
      <c r="BS108" s="22">
        <f t="shared" si="63"/>
        <v>35.440991382896179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-2.2737367544323206E-13</v>
      </c>
      <c r="BZ108" s="13">
        <f>BY108*VLOOKUP('Données projet'!$B$12,Paramètres!$A$1:$I$89,3,0)*VLOOKUP('Données projet'!$B$12,Paramètres!$A$1:$I$89,5,0)</f>
        <v>-1.3596945791505279E-13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373.61861223558259</v>
      </c>
      <c r="CE108" s="59">
        <f t="shared" si="94"/>
        <v>277.62293009761049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93.417569543490004</v>
      </c>
      <c r="CL108" s="21">
        <f>EXP(-LN(2)/25)*CL107+(1-EXP(-LN(2)/25))/(LN(2)/25)*Calculateur!CG108*Calculateur!CI108*VLOOKUP('Données projet'!$B$12,Paramètres!$A$1:$I$89,3,0)*0.475*44/12</f>
        <v>25.872186389148954</v>
      </c>
      <c r="CM108" s="21">
        <f>EXP(-LN(2)/2)*CM107+(1-EXP(-LN(2)/2))/(LN(2)/2)*CG108*CJ108*VLOOKUP('Données projet'!$B$12,Paramètres!$A$1:$I$89,3,0)*0.475*44/12</f>
        <v>1.2208060953974982E-2</v>
      </c>
      <c r="CN108" s="22">
        <f t="shared" si="66"/>
        <v>119.30196399359293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2.8421709430404007E-14</v>
      </c>
      <c r="CU108" s="17">
        <f>CT108*VLOOKUP('Données projet'!$B$13,Paramètres!$A$1:$I$89,3,0)*VLOOKUP('Données projet'!$B$13,Paramètres!$A$1:$I$89,5,0)</f>
        <v>2.4829205358400945E-14</v>
      </c>
      <c r="CV108" s="13">
        <f t="shared" si="95"/>
        <v>4.3867331143352915E-13</v>
      </c>
      <c r="CW108" s="20">
        <f t="shared" si="67"/>
        <v>8.0726688341261168E-13</v>
      </c>
      <c r="CX108" s="59">
        <f t="shared" si="68"/>
        <v>278.73862808087256</v>
      </c>
      <c r="CY108" s="59">
        <f ca="1">AVERAGE(OFFSET($CX$3,0,0,'Données projet'!$E$13+1,1))-AVERAGE(OFFSET($H$3,0,0,'Données projet'!$E$13+1,1))</f>
        <v>287.28439432670405</v>
      </c>
      <c r="CZ108" s="59">
        <f t="shared" si="96"/>
        <v>276.01618888357268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20.105314782446179</v>
      </c>
      <c r="DG108" s="21">
        <f>EXP(-LN(2)/25)*DG107+(1-EXP(-LN(2)/25))/(LN(2)/25)*Calculateur!DB108*Calculateur!DD108*VLOOKUP('Données projet'!$B$13,Paramètres!$A$1:$I$89,3,0)*0.475*44/12</f>
        <v>18.247985554562174</v>
      </c>
      <c r="DH108" s="21">
        <f>EXP(-LN(2)/2)*DH107+(1-EXP(-LN(2)/2))/(LN(2)/2)*DB108*DE108*VLOOKUP('Données projet'!$B$13,Paramètres!$A$1:$I$89,3,0)*0.475*44/12</f>
        <v>7.8455778967008866E-3</v>
      </c>
      <c r="DI108" s="22">
        <f t="shared" si="69"/>
        <v>38.361145914905052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9">
        <f t="shared" si="55"/>
        <v>967.81435367527001</v>
      </c>
      <c r="S109" s="59">
        <f ca="1">AVERAGE(OFFSET($R$3,0,0,'Données projet'!$E$9+1,1))-AVERAGE(OFFSET($H$3,0,0,'Données projet'!$E$9+1,1))</f>
        <v>681.47578137804555</v>
      </c>
      <c r="T109" s="59">
        <f t="shared" si="88"/>
        <v>300.88511065995885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9.1833333333333318</v>
      </c>
      <c r="AI109" s="13">
        <f>IF('Données projet'!$A$62&gt;35,AI108+AH109-AQ108,IF(A109&lt;'Données projet'!$A$62,$AF$205^A109,IF(A109='Données projet'!$A$62,'Données projet'!$B$62,AI108+AH109-AQ108)))</f>
        <v>443.80999999999995</v>
      </c>
      <c r="AJ109" s="13">
        <f>AI109*VLOOKUP('Données projet'!$B$10,Paramètres!$A$1:$I$89,3,0)*VLOOKUP('Données projet'!$B$10,Paramètres!$A$1:$I$89,5,0)</f>
        <v>207.70307999999997</v>
      </c>
      <c r="AK109" s="13">
        <f t="shared" si="89"/>
        <v>51.433330061385618</v>
      </c>
      <c r="AL109" s="20">
        <f t="shared" si="58"/>
        <v>451.32924752357991</v>
      </c>
      <c r="AM109" s="59">
        <f t="shared" si="59"/>
        <v>730.32106111170901</v>
      </c>
      <c r="AN109" s="59">
        <f ca="1">AVERAGE(OFFSET($AM$3,0,0,'Données projet'!$E$10+1,1))-AVERAGE(OFFSET($H$3,0,0,'Données projet'!$E$10+1,1))</f>
        <v>374.38106339726073</v>
      </c>
      <c r="AO109" s="59">
        <f t="shared" si="90"/>
        <v>296.53283288925957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52.984156122154943</v>
      </c>
      <c r="AV109" s="21">
        <f>EXP(-LN(2)/25)*AV108+(1-EXP(-LN(2)/25))/(LN(2)/25)*Calculateur!AQ109*Calculateur!AS109*VLOOKUP('Données projet'!$B$10,Paramètres!$A$1:$I$89,3,0)*0.475*44/12</f>
        <v>17.995976443996035</v>
      </c>
      <c r="AW109" s="21">
        <f>EXP(-LN(2)/2)*AW108+(1-EXP(-LN(2)/2))/(LN(2)/2)*AQ109*AT109*VLOOKUP('Données projet'!$B$10,Paramètres!$A$1:$I$89,3,0)*0.475*44/12</f>
        <v>0.43140890045810804</v>
      </c>
      <c r="AX109" s="21">
        <f t="shared" si="60"/>
        <v>71.411541466609094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4.2</v>
      </c>
      <c r="BD109" s="12">
        <f>IF('Données projet'!$A$88&gt;35,BD108+BC109-BL108,IF(A109&lt;'Données projet'!$A$88,$BA$205^A109,IF(A109='Données projet'!$A$88,'Données projet'!$B$88,BD108+BC109-BL108)))</f>
        <v>268.2</v>
      </c>
      <c r="BE109" s="13">
        <f>BD109*VLOOKUP('Données projet'!$B$11,Paramètres!$A$1:$I$89,3,0)*VLOOKUP('Données projet'!$B$11,Paramètres!$A$1:$I$89,5,0)</f>
        <v>255.21911999999998</v>
      </c>
      <c r="BF109" s="13">
        <f t="shared" si="91"/>
        <v>61.702189391811984</v>
      </c>
      <c r="BG109" s="20">
        <f t="shared" si="61"/>
        <v>551.97128052407254</v>
      </c>
      <c r="BH109" s="59">
        <f t="shared" si="62"/>
        <v>830.96309411220159</v>
      </c>
      <c r="BI109" s="59">
        <f ca="1">AVERAGE(OFFSET($BH$3,0,0,'Données projet'!$E$11+1,1))-AVERAGE(OFFSET($H$3,0,0,'Données projet'!$E$11+1,1))</f>
        <v>423.80243030843661</v>
      </c>
      <c r="BJ109" s="59">
        <f t="shared" si="92"/>
        <v>260.29028006191834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13.401228528303623</v>
      </c>
      <c r="BQ109" s="21">
        <f>EXP(-LN(2)/25)*BQ108+(1-EXP(-LN(2)/25))/(LN(2)/25)*Calculateur!BL109*Calculateur!BN109*VLOOKUP('Données projet'!$B$11,Paramètres!$A$1:$I$89,3,0)*0.475*44/12</f>
        <v>15.825285234185834</v>
      </c>
      <c r="BR109" s="21">
        <f>EXP(-LN(2)/2)*BR108+(1-EXP(-LN(2)/2))/(LN(2)/2)*BL109*BO109*VLOOKUP('Données projet'!$B$11,Paramètres!$A$1:$I$89,3,0)*0.475*44/12</f>
        <v>3.8901636231878052</v>
      </c>
      <c r="BS109" s="22">
        <f t="shared" si="63"/>
        <v>33.116677385677264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-2.2737367544323206E-13</v>
      </c>
      <c r="BZ109" s="13">
        <f>BY109*VLOOKUP('Données projet'!$B$12,Paramètres!$A$1:$I$89,3,0)*VLOOKUP('Données projet'!$B$12,Paramètres!$A$1:$I$89,5,0)</f>
        <v>-1.3596945791505279E-13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373.61861223558259</v>
      </c>
      <c r="CE109" s="59">
        <f t="shared" si="94"/>
        <v>277.62293009761049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91.585707983833373</v>
      </c>
      <c r="CL109" s="21">
        <f>EXP(-LN(2)/25)*CL108+(1-EXP(-LN(2)/25))/(LN(2)/25)*Calculateur!CG109*Calculateur!CI109*VLOOKUP('Données projet'!$B$12,Paramètres!$A$1:$I$89,3,0)*0.475*44/12</f>
        <v>25.164710091778524</v>
      </c>
      <c r="CM109" s="21">
        <f>EXP(-LN(2)/2)*CM108+(1-EXP(-LN(2)/2))/(LN(2)/2)*CG109*CJ109*VLOOKUP('Données projet'!$B$12,Paramètres!$A$1:$I$89,3,0)*0.475*44/12</f>
        <v>8.6324026856944222E-3</v>
      </c>
      <c r="CN109" s="22">
        <f t="shared" si="66"/>
        <v>116.75905047829758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2.8421709430404007E-14</v>
      </c>
      <c r="CU109" s="17">
        <f>CT109*VLOOKUP('Données projet'!$B$13,Paramètres!$A$1:$I$89,3,0)*VLOOKUP('Données projet'!$B$13,Paramètres!$A$1:$I$89,5,0)</f>
        <v>2.4829205358400945E-14</v>
      </c>
      <c r="CV109" s="13">
        <f t="shared" si="95"/>
        <v>4.3867331143352915E-13</v>
      </c>
      <c r="CW109" s="20">
        <f t="shared" si="67"/>
        <v>8.0726688341261168E-13</v>
      </c>
      <c r="CX109" s="59">
        <f t="shared" si="68"/>
        <v>278.9918135881299</v>
      </c>
      <c r="CY109" s="59">
        <f ca="1">AVERAGE(OFFSET($CX$3,0,0,'Données projet'!$E$13+1,1))-AVERAGE(OFFSET($H$3,0,0,'Données projet'!$E$13+1,1))</f>
        <v>287.28439432670405</v>
      </c>
      <c r="CZ109" s="59">
        <f t="shared" si="96"/>
        <v>276.01618888357268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19.711061822593553</v>
      </c>
      <c r="DG109" s="21">
        <f>EXP(-LN(2)/25)*DG108+(1-EXP(-LN(2)/25))/(LN(2)/25)*Calculateur!DB109*Calculateur!DD109*VLOOKUP('Données projet'!$B$13,Paramètres!$A$1:$I$89,3,0)*0.475*44/12</f>
        <v>17.748993429952819</v>
      </c>
      <c r="DH109" s="21">
        <f>EXP(-LN(2)/2)*DH108+(1-EXP(-LN(2)/2))/(LN(2)/2)*DB109*DE109*VLOOKUP('Données projet'!$B$13,Paramètres!$A$1:$I$89,3,0)*0.475*44/12</f>
        <v>5.5476613330844877E-3</v>
      </c>
      <c r="DI109" s="22">
        <f t="shared" si="69"/>
        <v>37.465602913879451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9">
        <f t="shared" si="55"/>
        <v>984.89749533608847</v>
      </c>
      <c r="S110" s="59">
        <f ca="1">AVERAGE(OFFSET($R$3,0,0,'Données projet'!$E$9+1,1))-AVERAGE(OFFSET($H$3,0,0,'Données projet'!$E$9+1,1))</f>
        <v>681.47578137804555</v>
      </c>
      <c r="T110" s="59">
        <f t="shared" si="88"/>
        <v>300.88511065995885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9.1833333333333318</v>
      </c>
      <c r="AI110" s="13">
        <f>IF('Données projet'!$A$62&gt;35,AI109+AH110-AQ109,IF(A110&lt;'Données projet'!$A$62,$AF$205^A110,IF(A110='Données projet'!$A$62,'Données projet'!$B$62,AI109+AH110-AQ109)))</f>
        <v>452.99333333333328</v>
      </c>
      <c r="AJ110" s="13">
        <f>AI110*VLOOKUP('Données projet'!$B$10,Paramètres!$A$1:$I$89,3,0)*VLOOKUP('Données projet'!$B$10,Paramètres!$A$1:$I$89,5,0)</f>
        <v>212.00088</v>
      </c>
      <c r="AK110" s="13">
        <f t="shared" si="89"/>
        <v>52.372586711125109</v>
      </c>
      <c r="AL110" s="20">
        <f t="shared" si="58"/>
        <v>460.45045452187622</v>
      </c>
      <c r="AM110" s="59">
        <f t="shared" si="59"/>
        <v>739.69106141474981</v>
      </c>
      <c r="AN110" s="59">
        <f ca="1">AVERAGE(OFFSET($AM$3,0,0,'Données projet'!$E$10+1,1))-AVERAGE(OFFSET($H$3,0,0,'Données projet'!$E$10+1,1))</f>
        <v>374.38106339726073</v>
      </c>
      <c r="AO110" s="59">
        <f t="shared" si="90"/>
        <v>296.53283288925957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51.945169137743669</v>
      </c>
      <c r="AV110" s="21">
        <f>EXP(-LN(2)/25)*AV109+(1-EXP(-LN(2)/25))/(LN(2)/25)*Calculateur!AQ110*Calculateur!AS110*VLOOKUP('Données projet'!$B$10,Paramètres!$A$1:$I$89,3,0)*0.475*44/12</f>
        <v>17.503875521767693</v>
      </c>
      <c r="AW110" s="21">
        <f>EXP(-LN(2)/2)*AW109+(1-EXP(-LN(2)/2))/(LN(2)/2)*AQ110*AT110*VLOOKUP('Données projet'!$B$10,Paramètres!$A$1:$I$89,3,0)*0.475*44/12</f>
        <v>0.30505215897816046</v>
      </c>
      <c r="AX110" s="21">
        <f t="shared" si="60"/>
        <v>69.754096818489515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4.2</v>
      </c>
      <c r="BD110" s="12">
        <f>IF('Données projet'!$A$88&gt;35,BD109+BC110-BL109,IF(A110&lt;'Données projet'!$A$88,$BA$205^A110,IF(A110='Données projet'!$A$88,'Données projet'!$B$88,BD109+BC110-BL109)))</f>
        <v>272.39999999999998</v>
      </c>
      <c r="BE110" s="13">
        <f>BD110*VLOOKUP('Données projet'!$B$11,Paramètres!$A$1:$I$89,3,0)*VLOOKUP('Données projet'!$B$11,Paramètres!$A$1:$I$89,5,0)</f>
        <v>259.21584000000001</v>
      </c>
      <c r="BF110" s="13">
        <f t="shared" si="91"/>
        <v>62.555197359548238</v>
      </c>
      <c r="BG110" s="20">
        <f t="shared" si="61"/>
        <v>560.41789006787985</v>
      </c>
      <c r="BH110" s="59">
        <f t="shared" si="62"/>
        <v>839.6584969607535</v>
      </c>
      <c r="BI110" s="59">
        <f ca="1">AVERAGE(OFFSET($BH$3,0,0,'Données projet'!$E$11+1,1))-AVERAGE(OFFSET($H$3,0,0,'Données projet'!$E$11+1,1))</f>
        <v>423.80243030843661</v>
      </c>
      <c r="BJ110" s="59">
        <f t="shared" si="92"/>
        <v>260.29028006191834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13.138438610805881</v>
      </c>
      <c r="BQ110" s="21">
        <f>EXP(-LN(2)/25)*BQ109+(1-EXP(-LN(2)/25))/(LN(2)/25)*Calculateur!BL110*Calculateur!BN110*VLOOKUP('Données projet'!$B$11,Paramètres!$A$1:$I$89,3,0)*0.475*44/12</f>
        <v>15.392541977241441</v>
      </c>
      <c r="BR110" s="21">
        <f>EXP(-LN(2)/2)*BR109+(1-EXP(-LN(2)/2))/(LN(2)/2)*BL110*BO110*VLOOKUP('Données projet'!$B$11,Paramètres!$A$1:$I$89,3,0)*0.475*44/12</f>
        <v>2.7507610778813265</v>
      </c>
      <c r="BS110" s="22">
        <f t="shared" si="63"/>
        <v>31.281741665928646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-2.2737367544323206E-13</v>
      </c>
      <c r="BZ110" s="13">
        <f>BY110*VLOOKUP('Données projet'!$B$12,Paramètres!$A$1:$I$89,3,0)*VLOOKUP('Données projet'!$B$12,Paramètres!$A$1:$I$89,5,0)</f>
        <v>-1.3596945791505279E-13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373.61861223558259</v>
      </c>
      <c r="CE110" s="59">
        <f t="shared" si="94"/>
        <v>277.62293009761049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89.789768112036384</v>
      </c>
      <c r="CL110" s="21">
        <f>EXP(-LN(2)/25)*CL109+(1-EXP(-LN(2)/25))/(LN(2)/25)*Calculateur!CG110*Calculateur!CI110*VLOOKUP('Données projet'!$B$12,Paramètres!$A$1:$I$89,3,0)*0.475*44/12</f>
        <v>24.47657977096425</v>
      </c>
      <c r="CM110" s="21">
        <f>EXP(-LN(2)/2)*CM109+(1-EXP(-LN(2)/2))/(LN(2)/2)*CG110*CJ110*VLOOKUP('Données projet'!$B$12,Paramètres!$A$1:$I$89,3,0)*0.475*44/12</f>
        <v>6.104030476987491E-3</v>
      </c>
      <c r="CN110" s="22">
        <f t="shared" si="66"/>
        <v>114.27245191347762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2.8421709430404007E-14</v>
      </c>
      <c r="CU110" s="17">
        <f>CT110*VLOOKUP('Données projet'!$B$13,Paramètres!$A$1:$I$89,3,0)*VLOOKUP('Données projet'!$B$13,Paramètres!$A$1:$I$89,5,0)</f>
        <v>2.4829205358400945E-14</v>
      </c>
      <c r="CV110" s="13">
        <f t="shared" si="95"/>
        <v>4.3867331143352915E-13</v>
      </c>
      <c r="CW110" s="20">
        <f t="shared" si="67"/>
        <v>8.0726688341261168E-13</v>
      </c>
      <c r="CX110" s="59">
        <f t="shared" si="68"/>
        <v>279.24060689287444</v>
      </c>
      <c r="CY110" s="59">
        <f ca="1">AVERAGE(OFFSET($CX$3,0,0,'Données projet'!$E$13+1,1))-AVERAGE(OFFSET($H$3,0,0,'Données projet'!$E$13+1,1))</f>
        <v>287.28439432670405</v>
      </c>
      <c r="CZ110" s="59">
        <f t="shared" si="96"/>
        <v>276.01618888357268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19.324539922813077</v>
      </c>
      <c r="DG110" s="21">
        <f>EXP(-LN(2)/25)*DG109+(1-EXP(-LN(2)/25))/(LN(2)/25)*Calculateur!DB110*Calculateur!DD110*VLOOKUP('Données projet'!$B$13,Paramètres!$A$1:$I$89,3,0)*0.475*44/12</f>
        <v>17.26364627123176</v>
      </c>
      <c r="DH110" s="21">
        <f>EXP(-LN(2)/2)*DH109+(1-EXP(-LN(2)/2))/(LN(2)/2)*DB110*DE110*VLOOKUP('Données projet'!$B$13,Paramètres!$A$1:$I$89,3,0)*0.475*44/12</f>
        <v>3.9227889483504433E-3</v>
      </c>
      <c r="DI110" s="22">
        <f t="shared" si="69"/>
        <v>36.592108982993189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9">
        <f t="shared" si="55"/>
        <v>1001.9681103522703</v>
      </c>
      <c r="S111" s="59">
        <f ca="1">AVERAGE(OFFSET($R$3,0,0,'Données projet'!$E$9+1,1))-AVERAGE(OFFSET($H$3,0,0,'Données projet'!$E$9+1,1))</f>
        <v>681.47578137804555</v>
      </c>
      <c r="T111" s="59">
        <f t="shared" si="88"/>
        <v>300.88511065995885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9.1833333333333318</v>
      </c>
      <c r="AI111" s="13">
        <f>IF('Données projet'!$A$62&gt;35,AI110+AH111-AQ110,IF(A111&lt;'Données projet'!$A$62,$AF$205^A111,IF(A111='Données projet'!$A$62,'Données projet'!$B$62,AI110+AH111-AQ110)))</f>
        <v>462.17666666666662</v>
      </c>
      <c r="AJ111" s="13">
        <f>AI111*VLOOKUP('Données projet'!$B$10,Paramètres!$A$1:$I$89,3,0)*VLOOKUP('Données projet'!$B$10,Paramètres!$A$1:$I$89,5,0)</f>
        <v>216.29867999999996</v>
      </c>
      <c r="AK111" s="13">
        <f t="shared" si="89"/>
        <v>53.309629425511069</v>
      </c>
      <c r="AL111" s="20">
        <f t="shared" si="58"/>
        <v>469.567805582765</v>
      </c>
      <c r="AM111" s="59">
        <f t="shared" si="59"/>
        <v>749.05288977276427</v>
      </c>
      <c r="AN111" s="59">
        <f ca="1">AVERAGE(OFFSET($AM$3,0,0,'Données projet'!$E$10+1,1))-AVERAGE(OFFSET($H$3,0,0,'Données projet'!$E$10+1,1))</f>
        <v>374.38106339726073</v>
      </c>
      <c r="AO111" s="59">
        <f t="shared" si="90"/>
        <v>296.53283288925957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50.926556054377208</v>
      </c>
      <c r="AV111" s="21">
        <f>EXP(-LN(2)/25)*AV110+(1-EXP(-LN(2)/25))/(LN(2)/25)*Calculateur!AQ111*Calculateur!AS111*VLOOKUP('Données projet'!$B$10,Paramètres!$A$1:$I$89,3,0)*0.475*44/12</f>
        <v>17.025231125136148</v>
      </c>
      <c r="AW111" s="21">
        <f>EXP(-LN(2)/2)*AW110+(1-EXP(-LN(2)/2))/(LN(2)/2)*AQ111*AT111*VLOOKUP('Données projet'!$B$10,Paramètres!$A$1:$I$89,3,0)*0.475*44/12</f>
        <v>0.21570445022905402</v>
      </c>
      <c r="AX111" s="21">
        <f t="shared" si="60"/>
        <v>68.167491629742415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4.2</v>
      </c>
      <c r="BD111" s="12">
        <f>IF('Données projet'!$A$88&gt;35,BD110+BC111-BL110,IF(A111&lt;'Données projet'!$A$88,$BA$205^A111,IF(A111='Données projet'!$A$88,'Données projet'!$B$88,BD110+BC111-BL110)))</f>
        <v>276.59999999999997</v>
      </c>
      <c r="BE111" s="13">
        <f>BD111*VLOOKUP('Données projet'!$B$11,Paramètres!$A$1:$I$89,3,0)*VLOOKUP('Données projet'!$B$11,Paramètres!$A$1:$I$89,5,0)</f>
        <v>263.21255999999994</v>
      </c>
      <c r="BF111" s="13">
        <f t="shared" si="91"/>
        <v>63.406675731103839</v>
      </c>
      <c r="BG111" s="20">
        <f t="shared" si="61"/>
        <v>568.86183556500578</v>
      </c>
      <c r="BH111" s="59">
        <f t="shared" si="62"/>
        <v>848.34691975500505</v>
      </c>
      <c r="BI111" s="59">
        <f ca="1">AVERAGE(OFFSET($BH$3,0,0,'Données projet'!$E$11+1,1))-AVERAGE(OFFSET($H$3,0,0,'Données projet'!$E$11+1,1))</f>
        <v>423.80243030843661</v>
      </c>
      <c r="BJ111" s="59">
        <f t="shared" si="92"/>
        <v>260.29028006191834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12.880801843304248</v>
      </c>
      <c r="BQ111" s="21">
        <f>EXP(-LN(2)/25)*BQ110+(1-EXP(-LN(2)/25))/(LN(2)/25)*Calculateur!BL111*Calculateur!BN111*VLOOKUP('Données projet'!$B$11,Paramètres!$A$1:$I$89,3,0)*0.475*44/12</f>
        <v>14.971632107415171</v>
      </c>
      <c r="BR111" s="21">
        <f>EXP(-LN(2)/2)*BR110+(1-EXP(-LN(2)/2))/(LN(2)/2)*BL111*BO111*VLOOKUP('Données projet'!$B$11,Paramètres!$A$1:$I$89,3,0)*0.475*44/12</f>
        <v>1.9450818115939028</v>
      </c>
      <c r="BS111" s="22">
        <f t="shared" si="63"/>
        <v>29.797515762313321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-2.2737367544323206E-13</v>
      </c>
      <c r="BZ111" s="13">
        <f>BY111*VLOOKUP('Données projet'!$B$12,Paramètres!$A$1:$I$89,3,0)*VLOOKUP('Données projet'!$B$12,Paramètres!$A$1:$I$89,5,0)</f>
        <v>-1.3596945791505279E-13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373.61861223558259</v>
      </c>
      <c r="CE111" s="59">
        <f t="shared" si="94"/>
        <v>277.62293009761049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88.029045525710174</v>
      </c>
      <c r="CL111" s="21">
        <f>EXP(-LN(2)/25)*CL110+(1-EXP(-LN(2)/25))/(LN(2)/25)*Calculateur!CG111*Calculateur!CI111*VLOOKUP('Données projet'!$B$12,Paramètres!$A$1:$I$89,3,0)*0.475*44/12</f>
        <v>23.807266409959844</v>
      </c>
      <c r="CM111" s="21">
        <f>EXP(-LN(2)/2)*CM110+(1-EXP(-LN(2)/2))/(LN(2)/2)*CG111*CJ111*VLOOKUP('Données projet'!$B$12,Paramètres!$A$1:$I$89,3,0)*0.475*44/12</f>
        <v>4.3162013428472111E-3</v>
      </c>
      <c r="CN111" s="22">
        <f t="shared" si="66"/>
        <v>111.84062813701286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2.8421709430404007E-14</v>
      </c>
      <c r="CU111" s="17">
        <f>CT111*VLOOKUP('Données projet'!$B$13,Paramètres!$A$1:$I$89,3,0)*VLOOKUP('Données projet'!$B$13,Paramètres!$A$1:$I$89,5,0)</f>
        <v>2.4829205358400945E-14</v>
      </c>
      <c r="CV111" s="13">
        <f t="shared" si="95"/>
        <v>4.3867331143352915E-13</v>
      </c>
      <c r="CW111" s="20">
        <f t="shared" si="67"/>
        <v>8.0726688341261168E-13</v>
      </c>
      <c r="CX111" s="59">
        <f t="shared" si="68"/>
        <v>279.48508419000012</v>
      </c>
      <c r="CY111" s="59">
        <f ca="1">AVERAGE(OFFSET($CX$3,0,0,'Données projet'!$E$13+1,1))-AVERAGE(OFFSET($H$3,0,0,'Données projet'!$E$13+1,1))</f>
        <v>287.28439432670405</v>
      </c>
      <c r="CZ111" s="59">
        <f t="shared" si="96"/>
        <v>276.01618888357268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18.945597481732214</v>
      </c>
      <c r="DG111" s="21">
        <f>EXP(-LN(2)/25)*DG110+(1-EXP(-LN(2)/25))/(LN(2)/25)*Calculateur!DB111*Calculateur!DD111*VLOOKUP('Données projet'!$B$13,Paramètres!$A$1:$I$89,3,0)*0.475*44/12</f>
        <v>16.791570956089227</v>
      </c>
      <c r="DH111" s="21">
        <f>EXP(-LN(2)/2)*DH110+(1-EXP(-LN(2)/2))/(LN(2)/2)*DB111*DE111*VLOOKUP('Données projet'!$B$13,Paramètres!$A$1:$I$89,3,0)*0.475*44/12</f>
        <v>2.7738306665422438E-3</v>
      </c>
      <c r="DI111" s="22">
        <f t="shared" si="69"/>
        <v>35.73994226848798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9">
        <f t="shared" si="55"/>
        <v>1019.0264915829434</v>
      </c>
      <c r="S112" s="59">
        <f ca="1">AVERAGE(OFFSET($R$3,0,0,'Données projet'!$E$9+1,1))-AVERAGE(OFFSET($H$3,0,0,'Données projet'!$E$9+1,1))</f>
        <v>681.47578137804555</v>
      </c>
      <c r="T112" s="59">
        <f t="shared" si="88"/>
        <v>300.88511065995885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471.36</v>
      </c>
      <c r="AG112" s="12">
        <f>VLOOKUP(A112,'Données projet'!$A$61:$I$81,9,0)</f>
        <v>9.1833333333333318</v>
      </c>
      <c r="AH112" s="12">
        <f t="array" ref="AH112">INDEX(AG:AG,MIN(IF(ISNUMBER(AG112:AG308),ROW(AG112:AG308),"")))</f>
        <v>9.1833333333333318</v>
      </c>
      <c r="AI112" s="13">
        <f>IF('Données projet'!$A$62&gt;35,AI111+AH112-AQ111,IF(A112&lt;'Données projet'!$A$62,$AF$205^A112,IF(A112='Données projet'!$A$62,'Données projet'!$B$62,AI111+AH112-AQ111)))</f>
        <v>471.35999999999996</v>
      </c>
      <c r="AJ112" s="13">
        <f>AI112*VLOOKUP('Données projet'!$B$10,Paramètres!$A$1:$I$89,3,0)*VLOOKUP('Données projet'!$B$10,Paramètres!$A$1:$I$89,5,0)</f>
        <v>220.59647999999999</v>
      </c>
      <c r="AK112" s="13">
        <f t="shared" si="89"/>
        <v>54.244507265119324</v>
      </c>
      <c r="AL112" s="20">
        <f t="shared" si="58"/>
        <v>478.6813861534161</v>
      </c>
      <c r="AM112" s="59">
        <f t="shared" si="59"/>
        <v>758.40670650600532</v>
      </c>
      <c r="AN112" s="59">
        <f ca="1">AVERAGE(OFFSET($AM$3,0,0,'Données projet'!$E$10+1,1))-AVERAGE(OFFSET($H$3,0,0,'Données projet'!$E$10+1,1))</f>
        <v>374.38106339726073</v>
      </c>
      <c r="AO112" s="59">
        <f t="shared" si="90"/>
        <v>296.53283288925957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92.199999999999989</v>
      </c>
      <c r="AR112" s="16">
        <f>IF(ISNA(VLOOKUP(A112,'Données projet'!$A$61:$I$81,5,0)),0%,VLOOKUP(A112,'Données projet'!$A$61:$I$81,5,0)*VLOOKUP('Données projet'!$B$10,Paramètres!$A$1:$I$89,7,0))</f>
        <v>0.33</v>
      </c>
      <c r="AS112" s="16">
        <f>IF(ISNA(VLOOKUP(A112,'Données projet'!$A$61:$I$81,6,0)),0%,VLOOKUP(A112,'Données projet'!$A$61:$I$81,6,0)*VLOOKUP('Données projet'!$B$10,Paramètres!$A$1:$I$89,7,0))</f>
        <v>0.11000000000000001</v>
      </c>
      <c r="AT112" s="16">
        <f>IF(ISNA(VLOOKUP(A112,'Données projet'!$A$61:$I$81,7,0)),0%,VLOOKUP(A112,'Données projet'!$A$61:$I$81,7,0))</f>
        <v>0.2</v>
      </c>
      <c r="AU112" s="21">
        <f>EXP(-LN(2)/35)*AU111+(1-EXP(-LN(2)/35))/(LN(2)/35)*AQ112*AR112*VLOOKUP('Données projet'!$B$10,Paramètres!$A$1:$I$89,3,0)*0.475*44/12</f>
        <v>68.817356809006142</v>
      </c>
      <c r="AV112" s="21">
        <f>EXP(-LN(2)/25)*AV111+(1-EXP(-LN(2)/25))/(LN(2)/25)*Calculateur!AQ112*Calculateur!AS112*VLOOKUP('Données projet'!$B$10,Paramètres!$A$1:$I$89,3,0)*0.475*44/12</f>
        <v>22.831363463415105</v>
      </c>
      <c r="AW112" s="21">
        <f>EXP(-LN(2)/2)*AW111+(1-EXP(-LN(2)/2))/(LN(2)/2)*AQ112*AT112*VLOOKUP('Données projet'!$B$10,Paramètres!$A$1:$I$89,3,0)*0.475*44/12</f>
        <v>9.9236002285586764</v>
      </c>
      <c r="AX112" s="21">
        <f t="shared" si="60"/>
        <v>101.57232050097991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4.2</v>
      </c>
      <c r="BD112" s="12">
        <f>IF('Données projet'!$A$88&gt;35,BD111+BC112-BL111,IF(A112&lt;'Données projet'!$A$88,$BA$205^A112,IF(A112='Données projet'!$A$88,'Données projet'!$B$88,BD111+BC112-BL111)))</f>
        <v>280.79999999999995</v>
      </c>
      <c r="BE112" s="13">
        <f>BD112*VLOOKUP('Données projet'!$B$11,Paramètres!$A$1:$I$89,3,0)*VLOOKUP('Données projet'!$B$11,Paramètres!$A$1:$I$89,5,0)</f>
        <v>267.20927999999998</v>
      </c>
      <c r="BF112" s="13">
        <f t="shared" si="91"/>
        <v>64.256650415058076</v>
      </c>
      <c r="BG112" s="20">
        <f t="shared" si="61"/>
        <v>577.30316213955939</v>
      </c>
      <c r="BH112" s="59">
        <f t="shared" si="62"/>
        <v>857.02848249214867</v>
      </c>
      <c r="BI112" s="59">
        <f ca="1">AVERAGE(OFFSET($BH$3,0,0,'Données projet'!$E$11+1,1))-AVERAGE(OFFSET($H$3,0,0,'Données projet'!$E$11+1,1))</f>
        <v>423.80243030843661</v>
      </c>
      <c r="BJ112" s="59">
        <f t="shared" si="92"/>
        <v>260.29028006191834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12.628217175670409</v>
      </c>
      <c r="BQ112" s="21">
        <f>EXP(-LN(2)/25)*BQ111+(1-EXP(-LN(2)/25))/(LN(2)/25)*Calculateur!BL112*Calculateur!BN112*VLOOKUP('Données projet'!$B$11,Paramètres!$A$1:$I$89,3,0)*0.475*44/12</f>
        <v>14.562232040113988</v>
      </c>
      <c r="BR112" s="21">
        <f>EXP(-LN(2)/2)*BR111+(1-EXP(-LN(2)/2))/(LN(2)/2)*BL112*BO112*VLOOKUP('Données projet'!$B$11,Paramètres!$A$1:$I$89,3,0)*0.475*44/12</f>
        <v>1.3753805389406635</v>
      </c>
      <c r="BS112" s="22">
        <f t="shared" si="63"/>
        <v>28.565829754725062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-2.2737367544323206E-13</v>
      </c>
      <c r="BZ112" s="13">
        <f>BY112*VLOOKUP('Données projet'!$B$12,Paramètres!$A$1:$I$89,3,0)*VLOOKUP('Données projet'!$B$12,Paramètres!$A$1:$I$89,5,0)</f>
        <v>-1.3596945791505279E-13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373.61861223558259</v>
      </c>
      <c r="CE112" s="59">
        <f t="shared" si="94"/>
        <v>277.62293009761049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86.302849635367082</v>
      </c>
      <c r="CL112" s="21">
        <f>EXP(-LN(2)/25)*CL111+(1-EXP(-LN(2)/25))/(LN(2)/25)*Calculateur!CG112*Calculateur!CI112*VLOOKUP('Données projet'!$B$12,Paramètres!$A$1:$I$89,3,0)*0.475*44/12</f>
        <v>23.156255458009763</v>
      </c>
      <c r="CM112" s="21">
        <f>EXP(-LN(2)/2)*CM111+(1-EXP(-LN(2)/2))/(LN(2)/2)*CG112*CJ112*VLOOKUP('Données projet'!$B$12,Paramètres!$A$1:$I$89,3,0)*0.475*44/12</f>
        <v>3.0520152384937455E-3</v>
      </c>
      <c r="CN112" s="22">
        <f t="shared" si="66"/>
        <v>109.46215710861534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2.8421709430404007E-14</v>
      </c>
      <c r="CU112" s="17">
        <f>CT112*VLOOKUP('Données projet'!$B$13,Paramètres!$A$1:$I$89,3,0)*VLOOKUP('Données projet'!$B$13,Paramètres!$A$1:$I$89,5,0)</f>
        <v>2.4829205358400945E-14</v>
      </c>
      <c r="CV112" s="13">
        <f t="shared" si="95"/>
        <v>4.3867331143352915E-13</v>
      </c>
      <c r="CW112" s="20">
        <f t="shared" si="67"/>
        <v>8.0726688341261168E-13</v>
      </c>
      <c r="CX112" s="59">
        <f t="shared" si="68"/>
        <v>279.72532035259007</v>
      </c>
      <c r="CY112" s="59">
        <f ca="1">AVERAGE(OFFSET($CX$3,0,0,'Données projet'!$E$13+1,1))-AVERAGE(OFFSET($H$3,0,0,'Données projet'!$E$13+1,1))</f>
        <v>287.28439432670405</v>
      </c>
      <c r="CZ112" s="59">
        <f t="shared" si="96"/>
        <v>276.01618888357268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18.574085870788881</v>
      </c>
      <c r="DG112" s="21">
        <f>EXP(-LN(2)/25)*DG111+(1-EXP(-LN(2)/25))/(LN(2)/25)*Calculateur!DB112*Calculateur!DD112*VLOOKUP('Données projet'!$B$13,Paramètres!$A$1:$I$89,3,0)*0.475*44/12</f>
        <v>16.332404565264628</v>
      </c>
      <c r="DH112" s="21">
        <f>EXP(-LN(2)/2)*DH111+(1-EXP(-LN(2)/2))/(LN(2)/2)*DB112*DE112*VLOOKUP('Données projet'!$B$13,Paramètres!$A$1:$I$89,3,0)*0.475*44/12</f>
        <v>1.9613944741752216E-3</v>
      </c>
      <c r="DI112" s="22">
        <f t="shared" si="69"/>
        <v>34.908451830527682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9">
        <f t="shared" si="55"/>
        <v>1036.0729198709885</v>
      </c>
      <c r="S113" s="59">
        <f ca="1">AVERAGE(OFFSET($R$3,0,0,'Données projet'!$E$9+1,1))-AVERAGE(OFFSET($H$3,0,0,'Données projet'!$E$9+1,1))</f>
        <v>681.47578137804555</v>
      </c>
      <c r="T113" s="59">
        <f t="shared" si="88"/>
        <v>300.88511065995885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8.2299999999999986</v>
      </c>
      <c r="AI113" s="13">
        <f>IF('Données projet'!$A$62&gt;35,AI112+AH113-AQ112,IF(A113&lt;'Données projet'!$A$62,$AF$205^A113,IF(A113='Données projet'!$A$62,'Données projet'!$B$62,AI112+AH113-AQ112)))</f>
        <v>387.39</v>
      </c>
      <c r="AJ113" s="13">
        <f>AI113*VLOOKUP('Données projet'!$B$10,Paramètres!$A$1:$I$89,3,0)*VLOOKUP('Données projet'!$B$10,Paramètres!$A$1:$I$89,5,0)</f>
        <v>181.29852</v>
      </c>
      <c r="AK113" s="13">
        <f t="shared" si="89"/>
        <v>45.610961972441139</v>
      </c>
      <c r="AL113" s="20">
        <f t="shared" si="58"/>
        <v>395.20068110200162</v>
      </c>
      <c r="AM113" s="59">
        <f t="shared" si="59"/>
        <v>675.16207005684748</v>
      </c>
      <c r="AN113" s="59">
        <f ca="1">AVERAGE(OFFSET($AM$3,0,0,'Données projet'!$E$10+1,1))-AVERAGE(OFFSET($H$3,0,0,'Données projet'!$E$10+1,1))</f>
        <v>374.38106339726073</v>
      </c>
      <c r="AO113" s="59">
        <f t="shared" si="90"/>
        <v>296.53283288925957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67.467890416424552</v>
      </c>
      <c r="AV113" s="21">
        <f>EXP(-LN(2)/25)*AV112+(1-EXP(-LN(2)/25))/(LN(2)/25)*Calculateur!AQ113*Calculateur!AS113*VLOOKUP('Données projet'!$B$10,Paramètres!$A$1:$I$89,3,0)*0.475*44/12</f>
        <v>22.207038628858797</v>
      </c>
      <c r="AW113" s="21">
        <f>EXP(-LN(2)/2)*AW112+(1-EXP(-LN(2)/2))/(LN(2)/2)*AQ113*AT113*VLOOKUP('Données projet'!$B$10,Paramètres!$A$1:$I$89,3,0)*0.475*44/12</f>
        <v>7.0170450153982138</v>
      </c>
      <c r="AX113" s="21">
        <f t="shared" si="60"/>
        <v>96.691974060681559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285</v>
      </c>
      <c r="BB113" s="12">
        <f>VLOOKUP(A113,'Données projet'!$A$87:$I$107,9,0)</f>
        <v>4.2</v>
      </c>
      <c r="BC113" s="12">
        <f t="array" ref="BC113">INDEX(BB:BB,MIN(IF(ISNUMBER(BB113:BB309),ROW(BB113:BB309),"")))</f>
        <v>4.2</v>
      </c>
      <c r="BD113" s="12">
        <f>IF('Données projet'!$A$88&gt;35,BD112+BC113-BL112,IF(A113&lt;'Données projet'!$A$88,$BA$205^A113,IF(A113='Données projet'!$A$88,'Données projet'!$B$88,BD112+BC113-BL112)))</f>
        <v>284.99999999999994</v>
      </c>
      <c r="BE113" s="13">
        <f>BD113*VLOOKUP('Données projet'!$B$11,Paramètres!$A$1:$I$89,3,0)*VLOOKUP('Données projet'!$B$11,Paramètres!$A$1:$I$89,5,0)</f>
        <v>271.20599999999996</v>
      </c>
      <c r="BF113" s="13">
        <f t="shared" si="91"/>
        <v>65.105146500461984</v>
      </c>
      <c r="BG113" s="20">
        <f t="shared" si="61"/>
        <v>585.74191348830459</v>
      </c>
      <c r="BH113" s="59">
        <f t="shared" si="62"/>
        <v>865.70330244315051</v>
      </c>
      <c r="BI113" s="59">
        <f ca="1">AVERAGE(OFFSET($BH$3,0,0,'Données projet'!$E$11+1,1))-AVERAGE(OFFSET($H$3,0,0,'Données projet'!$E$11+1,1))</f>
        <v>423.80243030843661</v>
      </c>
      <c r="BJ113" s="59">
        <f t="shared" si="92"/>
        <v>260.29028006191834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19</v>
      </c>
      <c r="BM113" s="16">
        <f>IF(ISNA(VLOOKUP(A113,'Données projet'!$A$87:$I$107,5,0)),0%,VLOOKUP(A113,'Données projet'!$A$87:$I$107,5,0)*VLOOKUP('Données projet'!$B$11,Paramètres!$A$1:$I$89,7,0))</f>
        <v>0.1075</v>
      </c>
      <c r="BN113" s="16">
        <f>IF(ISNA(VLOOKUP(A113,'Données projet'!$A$87:$I$107,6,0)),0%,VLOOKUP(A113,'Données projet'!$A$87:$I$107,6,0)*VLOOKUP('Données projet'!$B$11,Paramètres!$A$1:$I$89,7,0))</f>
        <v>0.1075</v>
      </c>
      <c r="BO113" s="16">
        <f>IF(ISNA(VLOOKUP(A113,'Données projet'!$A$87:$I$107,7,0)),0%,VLOOKUP(A113,'Données projet'!$A$87:$I$107,7,0))</f>
        <v>0.25</v>
      </c>
      <c r="BP113" s="21">
        <f>EXP(-LN(2)/35)*BP112+(1-EXP(-LN(2)/35))/(LN(2)/35)*BL113*BM113*VLOOKUP('Données projet'!$B$11,Paramètres!$A$1:$I$89,3,0)*0.475*44/12</f>
        <v>14.529225304193998</v>
      </c>
      <c r="BQ113" s="21">
        <f>EXP(-LN(2)/25)*BQ112+(1-EXP(-LN(2)/25))/(LN(2)/25)*Calculateur!BL113*Calculateur!BN113*VLOOKUP('Données projet'!$B$11,Paramètres!$A$1:$I$89,3,0)*0.475*44/12</f>
        <v>16.304206790618839</v>
      </c>
      <c r="BR113" s="21">
        <f>EXP(-LN(2)/2)*BR112+(1-EXP(-LN(2)/2))/(LN(2)/2)*BL113*BO113*VLOOKUP('Données projet'!$B$11,Paramètres!$A$1:$I$89,3,0)*0.475*44/12</f>
        <v>5.2373769125047662</v>
      </c>
      <c r="BS113" s="22">
        <f t="shared" si="63"/>
        <v>36.0708090073176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-2.2737367544323206E-13</v>
      </c>
      <c r="BZ113" s="13">
        <f>BY113*VLOOKUP('Données projet'!$B$12,Paramètres!$A$1:$I$89,3,0)*VLOOKUP('Données projet'!$B$12,Paramètres!$A$1:$I$89,5,0)</f>
        <v>-1.3596945791505279E-13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373.61861223558259</v>
      </c>
      <c r="CE113" s="59">
        <f t="shared" si="94"/>
        <v>277.62293009761049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84.610503393558091</v>
      </c>
      <c r="CL113" s="21">
        <f>EXP(-LN(2)/25)*CL112+(1-EXP(-LN(2)/25))/(LN(2)/25)*Calculateur!CG113*Calculateur!CI113*VLOOKUP('Données projet'!$B$12,Paramètres!$A$1:$I$89,3,0)*0.475*44/12</f>
        <v>22.523046434775935</v>
      </c>
      <c r="CM113" s="21">
        <f>EXP(-LN(2)/2)*CM112+(1-EXP(-LN(2)/2))/(LN(2)/2)*CG113*CJ113*VLOOKUP('Données projet'!$B$12,Paramètres!$A$1:$I$89,3,0)*0.475*44/12</f>
        <v>2.1581006714236056E-3</v>
      </c>
      <c r="CN113" s="22">
        <f t="shared" si="66"/>
        <v>107.13570792900545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2.8421709430404007E-14</v>
      </c>
      <c r="CU113" s="17">
        <f>CT113*VLOOKUP('Données projet'!$B$13,Paramètres!$A$1:$I$89,3,0)*VLOOKUP('Données projet'!$B$13,Paramètres!$A$1:$I$89,5,0)</f>
        <v>2.4829205358400945E-14</v>
      </c>
      <c r="CV113" s="13">
        <f t="shared" si="95"/>
        <v>4.3867331143352915E-13</v>
      </c>
      <c r="CW113" s="20">
        <f t="shared" si="67"/>
        <v>8.0726688341261168E-13</v>
      </c>
      <c r="CX113" s="59">
        <f t="shared" si="68"/>
        <v>279.96138895484665</v>
      </c>
      <c r="CY113" s="59">
        <f ca="1">AVERAGE(OFFSET($CX$3,0,0,'Données projet'!$E$13+1,1))-AVERAGE(OFFSET($H$3,0,0,'Données projet'!$E$13+1,1))</f>
        <v>287.28439432670405</v>
      </c>
      <c r="CZ113" s="59">
        <f t="shared" si="96"/>
        <v>276.01618888357268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18.209859375936439</v>
      </c>
      <c r="DG113" s="21">
        <f>EXP(-LN(2)/25)*DG112+(1-EXP(-LN(2)/25))/(LN(2)/25)*Calculateur!DB113*Calculateur!DD113*VLOOKUP('Données projet'!$B$13,Paramètres!$A$1:$I$89,3,0)*0.475*44/12</f>
        <v>15.88579410354364</v>
      </c>
      <c r="DH113" s="21">
        <f>EXP(-LN(2)/2)*DH112+(1-EXP(-LN(2)/2))/(LN(2)/2)*DB113*DE113*VLOOKUP('Données projet'!$B$13,Paramètres!$A$1:$I$89,3,0)*0.475*44/12</f>
        <v>1.3869153332711219E-3</v>
      </c>
      <c r="DI113" s="22">
        <f t="shared" si="69"/>
        <v>34.097040394813348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9">
        <f t="shared" si="55"/>
        <v>1053.1076648239114</v>
      </c>
      <c r="S114" s="59">
        <f ca="1">AVERAGE(OFFSET($R$3,0,0,'Données projet'!$E$9+1,1))-AVERAGE(OFFSET($H$3,0,0,'Données projet'!$E$9+1,1))</f>
        <v>681.47578137804555</v>
      </c>
      <c r="T114" s="59">
        <f t="shared" si="88"/>
        <v>300.88511065995885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8.2299999999999986</v>
      </c>
      <c r="AI114" s="13">
        <f>IF('Données projet'!$A$62&gt;35,AI113+AH114-AQ113,IF(A114&lt;'Données projet'!$A$62,$AF$205^A114,IF(A114='Données projet'!$A$62,'Données projet'!$B$62,AI113+AH114-AQ113)))</f>
        <v>395.62</v>
      </c>
      <c r="AJ114" s="13">
        <f>AI114*VLOOKUP('Données projet'!$B$10,Paramètres!$A$1:$I$89,3,0)*VLOOKUP('Données projet'!$B$10,Paramètres!$A$1:$I$89,5,0)</f>
        <v>185.15016000000003</v>
      </c>
      <c r="AK114" s="13">
        <f t="shared" si="89"/>
        <v>46.466113860658915</v>
      </c>
      <c r="AL114" s="20">
        <f t="shared" si="58"/>
        <v>403.39834364064762</v>
      </c>
      <c r="AM114" s="59">
        <f t="shared" si="59"/>
        <v>683.59170593527119</v>
      </c>
      <c r="AN114" s="59">
        <f ca="1">AVERAGE(OFFSET($AM$3,0,0,'Données projet'!$E$10+1,1))-AVERAGE(OFFSET($H$3,0,0,'Données projet'!$E$10+1,1))</f>
        <v>374.38106339726073</v>
      </c>
      <c r="AO114" s="59">
        <f t="shared" si="90"/>
        <v>296.53283288925957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66.14488623670826</v>
      </c>
      <c r="AV114" s="21">
        <f>EXP(-LN(2)/25)*AV113+(1-EXP(-LN(2)/25))/(LN(2)/25)*Calculateur!AQ114*Calculateur!AS114*VLOOKUP('Données projet'!$B$10,Paramètres!$A$1:$I$89,3,0)*0.475*44/12</f>
        <v>21.599785989735246</v>
      </c>
      <c r="AW114" s="21">
        <f>EXP(-LN(2)/2)*AW113+(1-EXP(-LN(2)/2))/(LN(2)/2)*AQ114*AT114*VLOOKUP('Données projet'!$B$10,Paramètres!$A$1:$I$89,3,0)*0.475*44/12</f>
        <v>4.9618001142793391</v>
      </c>
      <c r="AX114" s="21">
        <f t="shared" si="60"/>
        <v>92.70647234072284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3.8</v>
      </c>
      <c r="BD114" s="12">
        <f>IF('Données projet'!$A$88&gt;35,BD113+BC114-BL113,IF(A114&lt;'Données projet'!$A$88,$BA$205^A114,IF(A114='Données projet'!$A$88,'Données projet'!$B$88,BD113+BC114-BL113)))</f>
        <v>269.79999999999995</v>
      </c>
      <c r="BE114" s="13">
        <f>BD114*VLOOKUP('Données projet'!$B$11,Paramètres!$A$1:$I$89,3,0)*VLOOKUP('Données projet'!$B$11,Paramètres!$A$1:$I$89,5,0)</f>
        <v>256.74167999999997</v>
      </c>
      <c r="BF114" s="13">
        <f t="shared" si="91"/>
        <v>62.027326852695715</v>
      </c>
      <c r="BG114" s="20">
        <f t="shared" si="61"/>
        <v>555.18935360177829</v>
      </c>
      <c r="BH114" s="59">
        <f t="shared" si="62"/>
        <v>835.38271589640181</v>
      </c>
      <c r="BI114" s="59">
        <f ca="1">AVERAGE(OFFSET($BH$3,0,0,'Données projet'!$E$11+1,1))-AVERAGE(OFFSET($H$3,0,0,'Données projet'!$E$11+1,1))</f>
        <v>423.80243030843661</v>
      </c>
      <c r="BJ114" s="59">
        <f t="shared" si="92"/>
        <v>260.29028006191834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14.244316057931144</v>
      </c>
      <c r="BQ114" s="21">
        <f>EXP(-LN(2)/25)*BQ113+(1-EXP(-LN(2)/25))/(LN(2)/25)*Calculateur!BL114*Calculateur!BN114*VLOOKUP('Données projet'!$B$11,Paramètres!$A$1:$I$89,3,0)*0.475*44/12</f>
        <v>15.858367398528395</v>
      </c>
      <c r="BR114" s="21">
        <f>EXP(-LN(2)/2)*BR113+(1-EXP(-LN(2)/2))/(LN(2)/2)*BL114*BO114*VLOOKUP('Données projet'!$B$11,Paramètres!$A$1:$I$89,3,0)*0.475*44/12</f>
        <v>3.703384730461984</v>
      </c>
      <c r="BS114" s="22">
        <f t="shared" si="63"/>
        <v>33.806068186921522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-1.3596945791505279E-13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373.61861223558259</v>
      </c>
      <c r="CE114" s="59">
        <f t="shared" si="94"/>
        <v>277.62293009761049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82.951343029321691</v>
      </c>
      <c r="CL114" s="21">
        <f>EXP(-LN(2)/25)*CL113+(1-EXP(-LN(2)/25))/(LN(2)/25)*Calculateur!CG114*Calculateur!CI114*VLOOKUP('Données projet'!$B$12,Paramètres!$A$1:$I$89,3,0)*0.475*44/12</f>
        <v>21.907152545581454</v>
      </c>
      <c r="CM114" s="21">
        <f>EXP(-LN(2)/2)*CM113+(1-EXP(-LN(2)/2))/(LN(2)/2)*CG114*CJ114*VLOOKUP('Données projet'!$B$12,Paramètres!$A$1:$I$89,3,0)*0.475*44/12</f>
        <v>1.5260076192468728E-3</v>
      </c>
      <c r="CN114" s="22">
        <f t="shared" si="66"/>
        <v>104.86002158252239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2.8421709430404007E-14</v>
      </c>
      <c r="CU114" s="17">
        <f>CT114*VLOOKUP('Données projet'!$B$13,Paramètres!$A$1:$I$89,3,0)*VLOOKUP('Données projet'!$B$13,Paramètres!$A$1:$I$89,5,0)</f>
        <v>2.4829205358400945E-14</v>
      </c>
      <c r="CV114" s="13">
        <f t="shared" si="95"/>
        <v>4.3867331143352915E-13</v>
      </c>
      <c r="CW114" s="20">
        <f t="shared" si="67"/>
        <v>8.0726688341261168E-13</v>
      </c>
      <c r="CX114" s="59">
        <f t="shared" si="68"/>
        <v>280.19336229462436</v>
      </c>
      <c r="CY114" s="59">
        <f ca="1">AVERAGE(OFFSET($CX$3,0,0,'Données projet'!$E$13+1,1))-AVERAGE(OFFSET($H$3,0,0,'Données projet'!$E$13+1,1))</f>
        <v>287.28439432670405</v>
      </c>
      <c r="CZ114" s="59">
        <f t="shared" si="96"/>
        <v>276.01618888357268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17.852775140491829</v>
      </c>
      <c r="DG114" s="21">
        <f>EXP(-LN(2)/25)*DG113+(1-EXP(-LN(2)/25))/(LN(2)/25)*Calculateur!DB114*Calculateur!DD114*VLOOKUP('Données projet'!$B$13,Paramètres!$A$1:$I$89,3,0)*0.475*44/12</f>
        <v>15.451396228384635</v>
      </c>
      <c r="DH114" s="21">
        <f>EXP(-LN(2)/2)*DH113+(1-EXP(-LN(2)/2))/(LN(2)/2)*DB114*DE114*VLOOKUP('Données projet'!$B$13,Paramètres!$A$1:$I$89,3,0)*0.475*44/12</f>
        <v>9.8069723708761082E-4</v>
      </c>
      <c r="DI114" s="22">
        <f t="shared" si="69"/>
        <v>33.305152066113557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9">
        <f t="shared" si="55"/>
        <v>1070.1309855250167</v>
      </c>
      <c r="S115" s="59">
        <f ca="1">AVERAGE(OFFSET($R$3,0,0,'Données projet'!$E$9+1,1))-AVERAGE(OFFSET($H$3,0,0,'Données projet'!$E$9+1,1))</f>
        <v>681.47578137804555</v>
      </c>
      <c r="T115" s="59">
        <f t="shared" si="88"/>
        <v>300.88511065995885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8.2299999999999986</v>
      </c>
      <c r="AI115" s="13">
        <f>IF('Données projet'!$A$62&gt;35,AI114+AH115-AQ114,IF(A115&lt;'Données projet'!$A$62,$AF$205^A115,IF(A115='Données projet'!$A$62,'Données projet'!$B$62,AI114+AH115-AQ114)))</f>
        <v>403.85</v>
      </c>
      <c r="AJ115" s="13">
        <f>AI115*VLOOKUP('Données projet'!$B$10,Paramètres!$A$1:$I$89,3,0)*VLOOKUP('Données projet'!$B$10,Paramètres!$A$1:$I$89,5,0)</f>
        <v>189.0018</v>
      </c>
      <c r="AK115" s="13">
        <f t="shared" si="89"/>
        <v>47.319197393100204</v>
      </c>
      <c r="AL115" s="20">
        <f t="shared" si="58"/>
        <v>411.59240379298285</v>
      </c>
      <c r="AM115" s="59">
        <f t="shared" si="59"/>
        <v>692.01371520855378</v>
      </c>
      <c r="AN115" s="59">
        <f ca="1">AVERAGE(OFFSET($AM$3,0,0,'Données projet'!$E$10+1,1))-AVERAGE(OFFSET($H$3,0,0,'Données projet'!$E$10+1,1))</f>
        <v>374.38106339726073</v>
      </c>
      <c r="AO115" s="59">
        <f t="shared" si="90"/>
        <v>296.53283288925957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64.847825362003334</v>
      </c>
      <c r="AV115" s="21">
        <f>EXP(-LN(2)/25)*AV114+(1-EXP(-LN(2)/25))/(LN(2)/25)*Calculateur!AQ115*Calculateur!AS115*VLOOKUP('Données projet'!$B$10,Paramètres!$A$1:$I$89,3,0)*0.475*44/12</f>
        <v>21.009138705962556</v>
      </c>
      <c r="AW115" s="21">
        <f>EXP(-LN(2)/2)*AW114+(1-EXP(-LN(2)/2))/(LN(2)/2)*AQ115*AT115*VLOOKUP('Données projet'!$B$10,Paramètres!$A$1:$I$89,3,0)*0.475*44/12</f>
        <v>3.5085225076991073</v>
      </c>
      <c r="AX115" s="21">
        <f t="shared" si="60"/>
        <v>89.365486575665003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3.8</v>
      </c>
      <c r="BD115" s="12">
        <f>IF('Données projet'!$A$88&gt;35,BD114+BC115-BL114,IF(A115&lt;'Données projet'!$A$88,$BA$205^A115,IF(A115='Données projet'!$A$88,'Données projet'!$B$88,BD114+BC115-BL114)))</f>
        <v>273.59999999999997</v>
      </c>
      <c r="BE115" s="13">
        <f>BD115*VLOOKUP('Données projet'!$B$11,Paramètres!$A$1:$I$89,3,0)*VLOOKUP('Données projet'!$B$11,Paramètres!$A$1:$I$89,5,0)</f>
        <v>260.35775999999998</v>
      </c>
      <c r="BF115" s="13">
        <f t="shared" si="91"/>
        <v>62.7986318267358</v>
      </c>
      <c r="BG115" s="20">
        <f t="shared" si="61"/>
        <v>562.83071576489817</v>
      </c>
      <c r="BH115" s="59">
        <f t="shared" si="62"/>
        <v>843.25202718046899</v>
      </c>
      <c r="BI115" s="59">
        <f ca="1">AVERAGE(OFFSET($BH$3,0,0,'Données projet'!$E$11+1,1))-AVERAGE(OFFSET($H$3,0,0,'Données projet'!$E$11+1,1))</f>
        <v>423.80243030843661</v>
      </c>
      <c r="BJ115" s="59">
        <f t="shared" si="92"/>
        <v>260.29028006191834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13.964993708210024</v>
      </c>
      <c r="BQ115" s="21">
        <f>EXP(-LN(2)/25)*BQ114+(1-EXP(-LN(2)/25))/(LN(2)/25)*Calculateur!BL115*Calculateur!BN115*VLOOKUP('Données projet'!$B$11,Paramètres!$A$1:$I$89,3,0)*0.475*44/12</f>
        <v>15.42471950806034</v>
      </c>
      <c r="BR115" s="21">
        <f>EXP(-LN(2)/2)*BR114+(1-EXP(-LN(2)/2))/(LN(2)/2)*BL115*BO115*VLOOKUP('Données projet'!$B$11,Paramètres!$A$1:$I$89,3,0)*0.475*44/12</f>
        <v>2.6186884562523836</v>
      </c>
      <c r="BS115" s="22">
        <f t="shared" si="63"/>
        <v>32.008401672522751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-1.3596945791505279E-13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373.61861223558259</v>
      </c>
      <c r="CE115" s="59">
        <f t="shared" si="94"/>
        <v>277.62293009761049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81.324717787840072</v>
      </c>
      <c r="CL115" s="21">
        <f>EXP(-LN(2)/25)*CL114+(1-EXP(-LN(2)/25))/(LN(2)/25)*Calculateur!CG115*Calculateur!CI115*VLOOKUP('Données projet'!$B$12,Paramètres!$A$1:$I$89,3,0)*0.475*44/12</f>
        <v>21.308100307175447</v>
      </c>
      <c r="CM115" s="21">
        <f>EXP(-LN(2)/2)*CM114+(1-EXP(-LN(2)/2))/(LN(2)/2)*CG115*CJ115*VLOOKUP('Données projet'!$B$12,Paramètres!$A$1:$I$89,3,0)*0.475*44/12</f>
        <v>1.0790503357118028E-3</v>
      </c>
      <c r="CN115" s="22">
        <f t="shared" si="66"/>
        <v>102.63389714535124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2.8421709430404007E-14</v>
      </c>
      <c r="CU115" s="17">
        <f>CT115*VLOOKUP('Données projet'!$B$13,Paramètres!$A$1:$I$89,3,0)*VLOOKUP('Données projet'!$B$13,Paramètres!$A$1:$I$89,5,0)</f>
        <v>2.4829205358400945E-14</v>
      </c>
      <c r="CV115" s="13">
        <f t="shared" si="95"/>
        <v>4.3867331143352915E-13</v>
      </c>
      <c r="CW115" s="20">
        <f t="shared" si="67"/>
        <v>8.0726688341261168E-13</v>
      </c>
      <c r="CX115" s="59">
        <f t="shared" si="68"/>
        <v>280.42131141557167</v>
      </c>
      <c r="CY115" s="59">
        <f ca="1">AVERAGE(OFFSET($CX$3,0,0,'Données projet'!$E$13+1,1))-AVERAGE(OFFSET($H$3,0,0,'Données projet'!$E$13+1,1))</f>
        <v>287.28439432670405</v>
      </c>
      <c r="CZ115" s="59">
        <f t="shared" si="96"/>
        <v>276.01618888357268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17.50269310910441</v>
      </c>
      <c r="DG115" s="21">
        <f>EXP(-LN(2)/25)*DG114+(1-EXP(-LN(2)/25))/(LN(2)/25)*Calculateur!DB115*Calculateur!DD115*VLOOKUP('Données projet'!$B$13,Paramètres!$A$1:$I$89,3,0)*0.475*44/12</f>
        <v>15.028876985965844</v>
      </c>
      <c r="DH115" s="21">
        <f>EXP(-LN(2)/2)*DH114+(1-EXP(-LN(2)/2))/(LN(2)/2)*DB115*DE115*VLOOKUP('Données projet'!$B$13,Paramètres!$A$1:$I$89,3,0)*0.475*44/12</f>
        <v>6.9345766663556096E-4</v>
      </c>
      <c r="DI115" s="22">
        <f t="shared" si="69"/>
        <v>32.532263552736886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9">
        <f t="shared" si="55"/>
        <v>1087.1431311825938</v>
      </c>
      <c r="S116" s="59">
        <f ca="1">AVERAGE(OFFSET($R$3,0,0,'Données projet'!$E$9+1,1))-AVERAGE(OFFSET($H$3,0,0,'Données projet'!$E$9+1,1))</f>
        <v>681.47578137804555</v>
      </c>
      <c r="T116" s="59">
        <f t="shared" si="88"/>
        <v>300.88511065995885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8.2299999999999986</v>
      </c>
      <c r="AI116" s="13">
        <f>IF('Données projet'!$A$62&gt;35,AI115+AH116-AQ115,IF(A116&lt;'Données projet'!$A$62,$AF$205^A116,IF(A116='Données projet'!$A$62,'Données projet'!$B$62,AI115+AH116-AQ115)))</f>
        <v>412.08000000000004</v>
      </c>
      <c r="AJ116" s="13">
        <f>AI116*VLOOKUP('Données projet'!$B$10,Paramètres!$A$1:$I$89,3,0)*VLOOKUP('Données projet'!$B$10,Paramètres!$A$1:$I$89,5,0)</f>
        <v>192.85344000000003</v>
      </c>
      <c r="AK116" s="13">
        <f t="shared" si="89"/>
        <v>48.170259577628116</v>
      </c>
      <c r="AL116" s="20">
        <f t="shared" si="58"/>
        <v>419.78294343103568</v>
      </c>
      <c r="AM116" s="59">
        <f t="shared" si="59"/>
        <v>700.4282495599233</v>
      </c>
      <c r="AN116" s="59">
        <f ca="1">AVERAGE(OFFSET($AM$3,0,0,'Données projet'!$E$10+1,1))-AVERAGE(OFFSET($H$3,0,0,'Données projet'!$E$10+1,1))</f>
        <v>374.38106339726073</v>
      </c>
      <c r="AO116" s="59">
        <f t="shared" si="90"/>
        <v>296.53283288925957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63.576199059922359</v>
      </c>
      <c r="AV116" s="21">
        <f>EXP(-LN(2)/25)*AV115+(1-EXP(-LN(2)/25))/(LN(2)/25)*Calculateur!AQ116*Calculateur!AS116*VLOOKUP('Données projet'!$B$10,Paramètres!$A$1:$I$89,3,0)*0.475*44/12</f>
        <v>20.434642703225421</v>
      </c>
      <c r="AW116" s="21">
        <f>EXP(-LN(2)/2)*AW115+(1-EXP(-LN(2)/2))/(LN(2)/2)*AQ116*AT116*VLOOKUP('Données projet'!$B$10,Paramètres!$A$1:$I$89,3,0)*0.475*44/12</f>
        <v>2.48090005713967</v>
      </c>
      <c r="AX116" s="21">
        <f t="shared" si="60"/>
        <v>86.491741820287444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3.8</v>
      </c>
      <c r="BD116" s="12">
        <f>IF('Données projet'!$A$88&gt;35,BD115+BC116-BL115,IF(A116&lt;'Données projet'!$A$88,$BA$205^A116,IF(A116='Données projet'!$A$88,'Données projet'!$B$88,BD115+BC116-BL115)))</f>
        <v>277.39999999999998</v>
      </c>
      <c r="BE116" s="13">
        <f>BD116*VLOOKUP('Données projet'!$B$11,Paramètres!$A$1:$I$89,3,0)*VLOOKUP('Données projet'!$B$11,Paramètres!$A$1:$I$89,5,0)</f>
        <v>263.97383999999994</v>
      </c>
      <c r="BF116" s="13">
        <f t="shared" si="91"/>
        <v>63.56869082277958</v>
      </c>
      <c r="BG116" s="20">
        <f t="shared" si="61"/>
        <v>570.46990784967431</v>
      </c>
      <c r="BH116" s="59">
        <f t="shared" si="62"/>
        <v>851.115213978562</v>
      </c>
      <c r="BI116" s="59">
        <f ca="1">AVERAGE(OFFSET($BH$3,0,0,'Données projet'!$E$11+1,1))-AVERAGE(OFFSET($H$3,0,0,'Données projet'!$E$11+1,1))</f>
        <v>423.80243030843661</v>
      </c>
      <c r="BJ116" s="59">
        <f t="shared" si="92"/>
        <v>260.29028006191834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13.691148699397123</v>
      </c>
      <c r="BQ116" s="21">
        <f>EXP(-LN(2)/25)*BQ115+(1-EXP(-LN(2)/25))/(LN(2)/25)*Calculateur!BL116*Calculateur!BN116*VLOOKUP('Données projet'!$B$11,Paramètres!$A$1:$I$89,3,0)*0.475*44/12</f>
        <v>15.002929741961685</v>
      </c>
      <c r="BR116" s="21">
        <f>EXP(-LN(2)/2)*BR115+(1-EXP(-LN(2)/2))/(LN(2)/2)*BL116*BO116*VLOOKUP('Données projet'!$B$11,Paramètres!$A$1:$I$89,3,0)*0.475*44/12</f>
        <v>1.8516923652309922</v>
      </c>
      <c r="BS116" s="22">
        <f t="shared" si="63"/>
        <v>30.5457708065898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-1.3596945791505279E-13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373.61861223558259</v>
      </c>
      <c r="CE116" s="59">
        <f t="shared" si="94"/>
        <v>277.62293009761049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79.729989675200471</v>
      </c>
      <c r="CL116" s="21">
        <f>EXP(-LN(2)/25)*CL115+(1-EXP(-LN(2)/25))/(LN(2)/25)*Calculateur!CG116*Calculateur!CI116*VLOOKUP('Données projet'!$B$12,Paramètres!$A$1:$I$89,3,0)*0.475*44/12</f>
        <v>20.725429183731439</v>
      </c>
      <c r="CM116" s="21">
        <f>EXP(-LN(2)/2)*CM115+(1-EXP(-LN(2)/2))/(LN(2)/2)*CG116*CJ116*VLOOKUP('Données projet'!$B$12,Paramètres!$A$1:$I$89,3,0)*0.475*44/12</f>
        <v>7.6300380962343638E-4</v>
      </c>
      <c r="CN116" s="22">
        <f t="shared" si="66"/>
        <v>100.45618186274153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2.8421709430404007E-14</v>
      </c>
      <c r="CU116" s="17">
        <f>CT116*VLOOKUP('Données projet'!$B$13,Paramètres!$A$1:$I$89,3,0)*VLOOKUP('Données projet'!$B$13,Paramètres!$A$1:$I$89,5,0)</f>
        <v>2.4829205358400945E-14</v>
      </c>
      <c r="CV116" s="13">
        <f t="shared" si="95"/>
        <v>4.3867331143352915E-13</v>
      </c>
      <c r="CW116" s="20">
        <f t="shared" si="67"/>
        <v>8.0726688341261168E-13</v>
      </c>
      <c r="CX116" s="59">
        <f t="shared" si="68"/>
        <v>280.64530612888842</v>
      </c>
      <c r="CY116" s="59">
        <f ca="1">AVERAGE(OFFSET($CX$3,0,0,'Données projet'!$E$13+1,1))-AVERAGE(OFFSET($H$3,0,0,'Données projet'!$E$13+1,1))</f>
        <v>287.28439432670405</v>
      </c>
      <c r="CZ116" s="59">
        <f t="shared" si="96"/>
        <v>276.01618888357268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17.159475972823543</v>
      </c>
      <c r="DG116" s="21">
        <f>EXP(-LN(2)/25)*DG115+(1-EXP(-LN(2)/25))/(LN(2)/25)*Calculateur!DB116*Calculateur!DD116*VLOOKUP('Données projet'!$B$13,Paramètres!$A$1:$I$89,3,0)*0.475*44/12</f>
        <v>14.617911554450316</v>
      </c>
      <c r="DH116" s="21">
        <f>EXP(-LN(2)/2)*DH115+(1-EXP(-LN(2)/2))/(LN(2)/2)*DB116*DE116*VLOOKUP('Données projet'!$B$13,Paramètres!$A$1:$I$89,3,0)*0.475*44/12</f>
        <v>4.9034861854380541E-4</v>
      </c>
      <c r="DI116" s="22">
        <f t="shared" si="69"/>
        <v>31.777877875892404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9">
        <f t="shared" si="55"/>
        <v>1104.1443417238165</v>
      </c>
      <c r="S117" s="59">
        <f ca="1">AVERAGE(OFFSET($R$3,0,0,'Données projet'!$E$9+1,1))-AVERAGE(OFFSET($H$3,0,0,'Données projet'!$E$9+1,1))</f>
        <v>681.47578137804555</v>
      </c>
      <c r="T117" s="59">
        <f t="shared" si="88"/>
        <v>300.88511065995885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8.2299999999999986</v>
      </c>
      <c r="AI117" s="13">
        <f>IF('Données projet'!$A$62&gt;35,AI116+AH117-AQ116,IF(A117&lt;'Données projet'!$A$62,$AF$205^A117,IF(A117='Données projet'!$A$62,'Données projet'!$B$62,AI116+AH117-AQ116)))</f>
        <v>420.31000000000006</v>
      </c>
      <c r="AJ117" s="13">
        <f>AI117*VLOOKUP('Données projet'!$B$10,Paramètres!$A$1:$I$89,3,0)*VLOOKUP('Données projet'!$B$10,Paramètres!$A$1:$I$89,5,0)</f>
        <v>196.70508000000004</v>
      </c>
      <c r="AK117" s="13">
        <f t="shared" si="89"/>
        <v>49.019345437069703</v>
      </c>
      <c r="AL117" s="20">
        <f t="shared" si="58"/>
        <v>427.97004096956312</v>
      </c>
      <c r="AM117" s="59">
        <f t="shared" si="59"/>
        <v>708.83545600426851</v>
      </c>
      <c r="AN117" s="59">
        <f ca="1">AVERAGE(OFFSET($AM$3,0,0,'Données projet'!$E$10+1,1))-AVERAGE(OFFSET($H$3,0,0,'Données projet'!$E$10+1,1))</f>
        <v>374.38106339726073</v>
      </c>
      <c r="AO117" s="59">
        <f t="shared" si="90"/>
        <v>296.53283288925957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62.329508574009736</v>
      </c>
      <c r="AV117" s="21">
        <f>EXP(-LN(2)/25)*AV116+(1-EXP(-LN(2)/25))/(LN(2)/25)*Calculateur!AQ117*Calculateur!AS117*VLOOKUP('Données projet'!$B$10,Paramètres!$A$1:$I$89,3,0)*0.475*44/12</f>
        <v>19.875856323894567</v>
      </c>
      <c r="AW117" s="21">
        <f>EXP(-LN(2)/2)*AW116+(1-EXP(-LN(2)/2))/(LN(2)/2)*AQ117*AT117*VLOOKUP('Données projet'!$B$10,Paramètres!$A$1:$I$89,3,0)*0.475*44/12</f>
        <v>1.7542612538495539</v>
      </c>
      <c r="AX117" s="21">
        <f t="shared" si="60"/>
        <v>83.959626151753852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3.8</v>
      </c>
      <c r="BD117" s="12">
        <f>IF('Données projet'!$A$88&gt;35,BD116+BC117-BL116,IF(A117&lt;'Données projet'!$A$88,$BA$205^A117,IF(A117='Données projet'!$A$88,'Données projet'!$B$88,BD116+BC117-BL116)))</f>
        <v>281.2</v>
      </c>
      <c r="BE117" s="13">
        <f>BD117*VLOOKUP('Données projet'!$B$11,Paramètres!$A$1:$I$89,3,0)*VLOOKUP('Données projet'!$B$11,Paramètres!$A$1:$I$89,5,0)</f>
        <v>267.58992000000001</v>
      </c>
      <c r="BF117" s="13">
        <f t="shared" si="91"/>
        <v>64.33752288177115</v>
      </c>
      <c r="BG117" s="20">
        <f t="shared" si="61"/>
        <v>578.1069630190849</v>
      </c>
      <c r="BH117" s="59">
        <f t="shared" si="62"/>
        <v>858.97237805379041</v>
      </c>
      <c r="BI117" s="59">
        <f ca="1">AVERAGE(OFFSET($BH$3,0,0,'Données projet'!$E$11+1,1))-AVERAGE(OFFSET($H$3,0,0,'Données projet'!$E$11+1,1))</f>
        <v>423.80243030843661</v>
      </c>
      <c r="BJ117" s="59">
        <f t="shared" si="92"/>
        <v>260.29028006191834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13.422673624178081</v>
      </c>
      <c r="BQ117" s="21">
        <f>EXP(-LN(2)/25)*BQ116+(1-EXP(-LN(2)/25))/(LN(2)/25)*Calculateur!BL117*Calculateur!BN117*VLOOKUP('Données projet'!$B$11,Paramètres!$A$1:$I$89,3,0)*0.475*44/12</f>
        <v>14.592673839197957</v>
      </c>
      <c r="BR117" s="21">
        <f>EXP(-LN(2)/2)*BR116+(1-EXP(-LN(2)/2))/(LN(2)/2)*BL117*BO117*VLOOKUP('Données projet'!$B$11,Paramètres!$A$1:$I$89,3,0)*0.475*44/12</f>
        <v>1.309344228126192</v>
      </c>
      <c r="BS117" s="22">
        <f t="shared" si="63"/>
        <v>29.324691691502231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-1.3596945791505279E-13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373.61861223558259</v>
      </c>
      <c r="CE117" s="59">
        <f t="shared" si="94"/>
        <v>277.62293009761049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78.166533208161624</v>
      </c>
      <c r="CL117" s="21">
        <f>EXP(-LN(2)/25)*CL116+(1-EXP(-LN(2)/25))/(LN(2)/25)*Calculateur!CG117*Calculateur!CI117*VLOOKUP('Données projet'!$B$12,Paramètres!$A$1:$I$89,3,0)*0.475*44/12</f>
        <v>20.158691232799352</v>
      </c>
      <c r="CM117" s="21">
        <f>EXP(-LN(2)/2)*CM116+(1-EXP(-LN(2)/2))/(LN(2)/2)*CG117*CJ117*VLOOKUP('Données projet'!$B$12,Paramètres!$A$1:$I$89,3,0)*0.475*44/12</f>
        <v>5.3952516785590139E-4</v>
      </c>
      <c r="CN117" s="22">
        <f t="shared" si="66"/>
        <v>98.325763966128832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2.8421709430404007E-14</v>
      </c>
      <c r="CU117" s="17">
        <f>CT117*VLOOKUP('Données projet'!$B$13,Paramètres!$A$1:$I$89,3,0)*VLOOKUP('Données projet'!$B$13,Paramètres!$A$1:$I$89,5,0)</f>
        <v>2.4829205358400945E-14</v>
      </c>
      <c r="CV117" s="13">
        <f t="shared" si="95"/>
        <v>4.3867331143352915E-13</v>
      </c>
      <c r="CW117" s="20">
        <f t="shared" si="67"/>
        <v>8.0726688341261168E-13</v>
      </c>
      <c r="CX117" s="59">
        <f t="shared" si="68"/>
        <v>280.86541503470625</v>
      </c>
      <c r="CY117" s="59">
        <f ca="1">AVERAGE(OFFSET($CX$3,0,0,'Données projet'!$E$13+1,1))-AVERAGE(OFFSET($H$3,0,0,'Données projet'!$E$13+1,1))</f>
        <v>287.28439432670405</v>
      </c>
      <c r="CZ117" s="59">
        <f t="shared" si="96"/>
        <v>276.01618888357268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16.822989115243359</v>
      </c>
      <c r="DG117" s="21">
        <f>EXP(-LN(2)/25)*DG116+(1-EXP(-LN(2)/25))/(LN(2)/25)*Calculateur!DB117*Calculateur!DD117*VLOOKUP('Données projet'!$B$13,Paramètres!$A$1:$I$89,3,0)*0.475*44/12</f>
        <v>14.218183994271314</v>
      </c>
      <c r="DH117" s="21">
        <f>EXP(-LN(2)/2)*DH116+(1-EXP(-LN(2)/2))/(LN(2)/2)*DB117*DE117*VLOOKUP('Données projet'!$B$13,Paramètres!$A$1:$I$89,3,0)*0.475*44/12</f>
        <v>3.4672883331778048E-4</v>
      </c>
      <c r="DI117" s="22">
        <f t="shared" si="69"/>
        <v>31.041519838347991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9">
        <f t="shared" si="55"/>
        <v>1003.8043674523901</v>
      </c>
      <c r="S118" s="59">
        <f ca="1">AVERAGE(OFFSET($R$3,0,0,'Données projet'!$E$9+1,1))-AVERAGE(OFFSET($H$3,0,0,'Données projet'!$E$9+1,1))</f>
        <v>681.47578137804555</v>
      </c>
      <c r="T118" s="59">
        <f t="shared" si="88"/>
        <v>300.88511065995885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8.2299999999999986</v>
      </c>
      <c r="AI118" s="13">
        <f>IF('Données projet'!$A$62&gt;35,AI117+AH118-AQ117,IF(A118&lt;'Données projet'!$A$62,$AF$205^A118,IF(A118='Données projet'!$A$62,'Données projet'!$B$62,AI117+AH118-AQ117)))</f>
        <v>428.54000000000008</v>
      </c>
      <c r="AJ118" s="13">
        <f>AI118*VLOOKUP('Données projet'!$B$10,Paramètres!$A$1:$I$89,3,0)*VLOOKUP('Données projet'!$B$10,Paramètres!$A$1:$I$89,5,0)</f>
        <v>200.55672000000001</v>
      </c>
      <c r="AK118" s="13">
        <f t="shared" si="89"/>
        <v>49.866498130238412</v>
      </c>
      <c r="AL118" s="20">
        <f t="shared" si="58"/>
        <v>436.15377157683184</v>
      </c>
      <c r="AM118" s="59">
        <f t="shared" si="59"/>
        <v>717.2354771199291</v>
      </c>
      <c r="AN118" s="59">
        <f ca="1">AVERAGE(OFFSET($AM$3,0,0,'Données projet'!$E$10+1,1))-AVERAGE(OFFSET($H$3,0,0,'Données projet'!$E$10+1,1))</f>
        <v>374.38106339726073</v>
      </c>
      <c r="AO118" s="59">
        <f t="shared" si="90"/>
        <v>296.53283288925957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61.107264928119747</v>
      </c>
      <c r="AV118" s="21">
        <f>EXP(-LN(2)/25)*AV117+(1-EXP(-LN(2)/25))/(LN(2)/25)*Calculateur!AQ118*Calculateur!AS118*VLOOKUP('Données projet'!$B$10,Paramètres!$A$1:$I$89,3,0)*0.475*44/12</f>
        <v>19.332349987491813</v>
      </c>
      <c r="AW118" s="21">
        <f>EXP(-LN(2)/2)*AW117+(1-EXP(-LN(2)/2))/(LN(2)/2)*AQ118*AT118*VLOOKUP('Données projet'!$B$10,Paramètres!$A$1:$I$89,3,0)*0.475*44/12</f>
        <v>1.240450028569835</v>
      </c>
      <c r="AX118" s="21">
        <f t="shared" si="60"/>
        <v>81.680064944181396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285</v>
      </c>
      <c r="BB118" s="12">
        <f>VLOOKUP(A118,'Données projet'!$A$87:$I$107,9,0)</f>
        <v>3.8</v>
      </c>
      <c r="BC118" s="12">
        <f t="array" ref="BC118">INDEX(BB:BB,MIN(IF(ISNUMBER(BB118:BB314),ROW(BB118:BB314),"")))</f>
        <v>3.8</v>
      </c>
      <c r="BD118" s="12">
        <f>IF('Données projet'!$A$88&gt;35,BD117+BC118-BL117,IF(A118&lt;'Données projet'!$A$88,$BA$205^A118,IF(A118='Données projet'!$A$88,'Données projet'!$B$88,BD117+BC118-BL117)))</f>
        <v>285</v>
      </c>
      <c r="BE118" s="13">
        <f>BD118*VLOOKUP('Données projet'!$B$11,Paramètres!$A$1:$I$89,3,0)*VLOOKUP('Données projet'!$B$11,Paramètres!$A$1:$I$89,5,0)</f>
        <v>271.20600000000002</v>
      </c>
      <c r="BF118" s="13">
        <f t="shared" si="91"/>
        <v>65.105146500462041</v>
      </c>
      <c r="BG118" s="20">
        <f t="shared" si="61"/>
        <v>585.7419134883047</v>
      </c>
      <c r="BH118" s="59">
        <f t="shared" si="62"/>
        <v>866.8236190314019</v>
      </c>
      <c r="BI118" s="59">
        <f ca="1">AVERAGE(OFFSET($BH$3,0,0,'Données projet'!$E$11+1,1))-AVERAGE(OFFSET($H$3,0,0,'Données projet'!$E$11+1,1))</f>
        <v>423.80243030843661</v>
      </c>
      <c r="BJ118" s="59">
        <f t="shared" si="92"/>
        <v>260.29028006191834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18</v>
      </c>
      <c r="BM118" s="16">
        <f>IF(ISNA(VLOOKUP(A118,'Données projet'!$A$87:$I$107,5,0)),0%,VLOOKUP(A118,'Données projet'!$A$87:$I$107,5,0)*VLOOKUP('Données projet'!$B$11,Paramètres!$A$1:$I$89,7,0))</f>
        <v>0.1075</v>
      </c>
      <c r="BN118" s="16">
        <f>IF(ISNA(VLOOKUP(A118,'Données projet'!$A$87:$I$107,6,0)),0%,VLOOKUP(A118,'Données projet'!$A$87:$I$107,6,0)*VLOOKUP('Données projet'!$B$11,Paramètres!$A$1:$I$89,7,0))</f>
        <v>0.1075</v>
      </c>
      <c r="BO118" s="16">
        <f>IF(ISNA(VLOOKUP(A118,'Données projet'!$A$87:$I$107,7,0)),0%,VLOOKUP(A118,'Données projet'!$A$87:$I$107,7,0))</f>
        <v>0.25</v>
      </c>
      <c r="BP118" s="21">
        <f>EXP(-LN(2)/35)*BP117+(1-EXP(-LN(2)/35))/(LN(2)/35)*BL118*BM118*VLOOKUP('Données projet'!$B$11,Paramètres!$A$1:$I$89,3,0)*0.475*44/12</f>
        <v>15.195016642901939</v>
      </c>
      <c r="BQ118" s="21">
        <f>EXP(-LN(2)/25)*BQ117+(1-EXP(-LN(2)/25))/(LN(2)/25)*Calculateur!BL118*Calculateur!BN118*VLOOKUP('Données projet'!$B$11,Paramètres!$A$1:$I$89,3,0)*0.475*44/12</f>
        <v>16.221175117556715</v>
      </c>
      <c r="BR118" s="21">
        <f>EXP(-LN(2)/2)*BR117+(1-EXP(-LN(2)/2))/(LN(2)/2)*BL118*BO118*VLOOKUP('Données projet'!$B$11,Paramètres!$A$1:$I$89,3,0)*0.475*44/12</f>
        <v>4.9662171363386891</v>
      </c>
      <c r="BS118" s="22">
        <f t="shared" si="63"/>
        <v>36.382408896797344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-1.3596945791505279E-13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373.61861223558259</v>
      </c>
      <c r="CE118" s="59">
        <f t="shared" si="94"/>
        <v>277.62293009761049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76.63373516882713</v>
      </c>
      <c r="CL118" s="21">
        <f>EXP(-LN(2)/25)*CL117+(1-EXP(-LN(2)/25))/(LN(2)/25)*Calculateur!CG118*Calculateur!CI118*VLOOKUP('Données projet'!$B$12,Paramètres!$A$1:$I$89,3,0)*0.475*44/12</f>
        <v>19.607450760938956</v>
      </c>
      <c r="CM118" s="21">
        <f>EXP(-LN(2)/2)*CM117+(1-EXP(-LN(2)/2))/(LN(2)/2)*CG118*CJ118*VLOOKUP('Données projet'!$B$12,Paramètres!$A$1:$I$89,3,0)*0.475*44/12</f>
        <v>3.8150190481171819E-4</v>
      </c>
      <c r="CN118" s="22">
        <f t="shared" si="66"/>
        <v>96.241567431670902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2.8421709430404007E-14</v>
      </c>
      <c r="CU118" s="17">
        <f>CT118*VLOOKUP('Données projet'!$B$13,Paramètres!$A$1:$I$89,3,0)*VLOOKUP('Données projet'!$B$13,Paramètres!$A$1:$I$89,5,0)</f>
        <v>2.4829205358400945E-14</v>
      </c>
      <c r="CV118" s="13">
        <f t="shared" si="95"/>
        <v>4.3867331143352915E-13</v>
      </c>
      <c r="CW118" s="20">
        <f t="shared" si="67"/>
        <v>8.0726688341261168E-13</v>
      </c>
      <c r="CX118" s="59">
        <f t="shared" si="68"/>
        <v>281.08170554309805</v>
      </c>
      <c r="CY118" s="59">
        <f ca="1">AVERAGE(OFFSET($CX$3,0,0,'Données projet'!$E$13+1,1))-AVERAGE(OFFSET($H$3,0,0,'Données projet'!$E$13+1,1))</f>
        <v>287.28439432670405</v>
      </c>
      <c r="CZ118" s="59">
        <f t="shared" si="96"/>
        <v>276.01618888357268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16.493100559703606</v>
      </c>
      <c r="DG118" s="21">
        <f>EXP(-LN(2)/25)*DG117+(1-EXP(-LN(2)/25))/(LN(2)/25)*Calculateur!DB118*Calculateur!DD118*VLOOKUP('Données projet'!$B$13,Paramètres!$A$1:$I$89,3,0)*0.475*44/12</f>
        <v>13.829387005246165</v>
      </c>
      <c r="DH118" s="21">
        <f>EXP(-LN(2)/2)*DH117+(1-EXP(-LN(2)/2))/(LN(2)/2)*DB118*DE118*VLOOKUP('Données projet'!$B$13,Paramètres!$A$1:$I$89,3,0)*0.475*44/12</f>
        <v>2.4517430927190271E-4</v>
      </c>
      <c r="DI118" s="22">
        <f t="shared" si="69"/>
        <v>30.322732739259042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9">
        <f t="shared" si="55"/>
        <v>1020.9699073813121</v>
      </c>
      <c r="S119" s="59">
        <f ca="1">AVERAGE(OFFSET($R$3,0,0,'Données projet'!$E$9+1,1))-AVERAGE(OFFSET($H$3,0,0,'Données projet'!$E$9+1,1))</f>
        <v>681.47578137804555</v>
      </c>
      <c r="T119" s="59">
        <f t="shared" si="88"/>
        <v>300.88511065995885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8.2299999999999986</v>
      </c>
      <c r="AI119" s="13">
        <f>IF('Données projet'!$A$62&gt;35,AI118+AH119-AQ118,IF(A119&lt;'Données projet'!$A$62,$AF$205^A119,IF(A119='Données projet'!$A$62,'Données projet'!$B$62,AI118+AH119-AQ118)))</f>
        <v>436.7700000000001</v>
      </c>
      <c r="AJ119" s="13">
        <f>AI119*VLOOKUP('Données projet'!$B$10,Paramètres!$A$1:$I$89,3,0)*VLOOKUP('Données projet'!$B$10,Paramètres!$A$1:$I$89,5,0)</f>
        <v>204.40836000000004</v>
      </c>
      <c r="AK119" s="13">
        <f t="shared" si="89"/>
        <v>50.71175906339802</v>
      </c>
      <c r="AL119" s="20">
        <f t="shared" si="58"/>
        <v>444.33420736875161</v>
      </c>
      <c r="AM119" s="59">
        <f t="shared" si="59"/>
        <v>725.62845126347315</v>
      </c>
      <c r="AN119" s="59">
        <f ca="1">AVERAGE(OFFSET($AM$3,0,0,'Données projet'!$E$10+1,1))-AVERAGE(OFFSET($H$3,0,0,'Données projet'!$E$10+1,1))</f>
        <v>374.38106339726073</v>
      </c>
      <c r="AO119" s="59">
        <f t="shared" si="90"/>
        <v>296.53283288925957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59.908988734630647</v>
      </c>
      <c r="AV119" s="21">
        <f>EXP(-LN(2)/25)*AV118+(1-EXP(-LN(2)/25))/(LN(2)/25)*Calculateur!AQ119*Calculateur!AS119*VLOOKUP('Données projet'!$B$10,Paramètres!$A$1:$I$89,3,0)*0.475*44/12</f>
        <v>18.803705860439749</v>
      </c>
      <c r="AW119" s="21">
        <f>EXP(-LN(2)/2)*AW118+(1-EXP(-LN(2)/2))/(LN(2)/2)*AQ119*AT119*VLOOKUP('Données projet'!$B$10,Paramètres!$A$1:$I$89,3,0)*0.475*44/12</f>
        <v>0.87713062692477695</v>
      </c>
      <c r="AX119" s="21">
        <f t="shared" si="60"/>
        <v>79.58982522199517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3.6</v>
      </c>
      <c r="BD119" s="12">
        <f>IF('Données projet'!$A$88&gt;35,BD118+BC119-BL118,IF(A119&lt;'Données projet'!$A$88,$BA$205^A119,IF(A119='Données projet'!$A$88,'Données projet'!$B$88,BD118+BC119-BL118)))</f>
        <v>270.60000000000002</v>
      </c>
      <c r="BE119" s="13">
        <f>BD119*VLOOKUP('Données projet'!$B$11,Paramètres!$A$1:$I$89,3,0)*VLOOKUP('Données projet'!$B$11,Paramètres!$A$1:$I$89,5,0)</f>
        <v>257.50296000000003</v>
      </c>
      <c r="BF119" s="13">
        <f t="shared" si="91"/>
        <v>62.189811354397172</v>
      </c>
      <c r="BG119" s="20">
        <f t="shared" si="61"/>
        <v>556.79824344224187</v>
      </c>
      <c r="BH119" s="59">
        <f t="shared" si="62"/>
        <v>838.09248733696336</v>
      </c>
      <c r="BI119" s="59">
        <f ca="1">AVERAGE(OFFSET($BH$3,0,0,'Données projet'!$E$11+1,1))-AVERAGE(OFFSET($H$3,0,0,'Données projet'!$E$11+1,1))</f>
        <v>423.80243030843661</v>
      </c>
      <c r="BJ119" s="59">
        <f t="shared" si="92"/>
        <v>260.29028006191834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14.89705163457964</v>
      </c>
      <c r="BQ119" s="21">
        <f>EXP(-LN(2)/25)*BQ118+(1-EXP(-LN(2)/25))/(LN(2)/25)*Calculateur!BL119*Calculateur!BN119*VLOOKUP('Données projet'!$B$11,Paramètres!$A$1:$I$89,3,0)*0.475*44/12</f>
        <v>15.777606230932602</v>
      </c>
      <c r="BR119" s="21">
        <f>EXP(-LN(2)/2)*BR118+(1-EXP(-LN(2)/2))/(LN(2)/2)*BL119*BO119*VLOOKUP('Données projet'!$B$11,Paramètres!$A$1:$I$89,3,0)*0.475*44/12</f>
        <v>3.5116458139499245</v>
      </c>
      <c r="BS119" s="22">
        <f t="shared" si="63"/>
        <v>34.186303679462164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-1.3596945791505279E-13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373.61861223558259</v>
      </c>
      <c r="CE119" s="59">
        <f t="shared" si="94"/>
        <v>277.62293009761049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75.130994364129492</v>
      </c>
      <c r="CL119" s="21">
        <f>EXP(-LN(2)/25)*CL118+(1-EXP(-LN(2)/25))/(LN(2)/25)*Calculateur!CG119*Calculateur!CI119*VLOOKUP('Données projet'!$B$12,Paramètres!$A$1:$I$89,3,0)*0.475*44/12</f>
        <v>19.071283988770059</v>
      </c>
      <c r="CM119" s="21">
        <f>EXP(-LN(2)/2)*CM118+(1-EXP(-LN(2)/2))/(LN(2)/2)*CG119*CJ119*VLOOKUP('Données projet'!$B$12,Paramètres!$A$1:$I$89,3,0)*0.475*44/12</f>
        <v>2.6976258392795069E-4</v>
      </c>
      <c r="CN119" s="22">
        <f t="shared" si="66"/>
        <v>94.202548115483481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2.8421709430404007E-14</v>
      </c>
      <c r="CU119" s="17">
        <f>CT119*VLOOKUP('Données projet'!$B$13,Paramètres!$A$1:$I$89,3,0)*VLOOKUP('Données projet'!$B$13,Paramètres!$A$1:$I$89,5,0)</f>
        <v>2.4829205358400945E-14</v>
      </c>
      <c r="CV119" s="13">
        <f t="shared" si="95"/>
        <v>4.3867331143352915E-13</v>
      </c>
      <c r="CW119" s="20">
        <f t="shared" si="67"/>
        <v>8.0726688341261168E-13</v>
      </c>
      <c r="CX119" s="59">
        <f t="shared" si="68"/>
        <v>281.29424389472229</v>
      </c>
      <c r="CY119" s="59">
        <f ca="1">AVERAGE(OFFSET($CX$3,0,0,'Données projet'!$E$13+1,1))-AVERAGE(OFFSET($H$3,0,0,'Données projet'!$E$13+1,1))</f>
        <v>287.28439432670405</v>
      </c>
      <c r="CZ119" s="59">
        <f t="shared" si="96"/>
        <v>276.01618888357268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16.169680917525838</v>
      </c>
      <c r="DG119" s="21">
        <f>EXP(-LN(2)/25)*DG118+(1-EXP(-LN(2)/25))/(LN(2)/25)*Calculateur!DB119*Calculateur!DD119*VLOOKUP('Données projet'!$B$13,Paramètres!$A$1:$I$89,3,0)*0.475*44/12</f>
        <v>13.451221690331854</v>
      </c>
      <c r="DH119" s="21">
        <f>EXP(-LN(2)/2)*DH118+(1-EXP(-LN(2)/2))/(LN(2)/2)*DB119*DE119*VLOOKUP('Données projet'!$B$13,Paramètres!$A$1:$I$89,3,0)*0.475*44/12</f>
        <v>1.7336441665889024E-4</v>
      </c>
      <c r="DI119" s="22">
        <f t="shared" si="69"/>
        <v>29.621075972274355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9">
        <f t="shared" si="55"/>
        <v>1038.1238539317492</v>
      </c>
      <c r="S120" s="59">
        <f ca="1">AVERAGE(OFFSET($R$3,0,0,'Données projet'!$E$9+1,1))-AVERAGE(OFFSET($H$3,0,0,'Données projet'!$E$9+1,1))</f>
        <v>681.47578137804555</v>
      </c>
      <c r="T120" s="59">
        <f t="shared" si="88"/>
        <v>300.88511065995885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8.2299999999999986</v>
      </c>
      <c r="AI120" s="13">
        <f>IF('Données projet'!$A$62&gt;35,AI119+AH120-AQ119,IF(A120&lt;'Données projet'!$A$62,$AF$205^A120,IF(A120='Données projet'!$A$62,'Données projet'!$B$62,AI119+AH120-AQ119)))</f>
        <v>445.00000000000011</v>
      </c>
      <c r="AJ120" s="13">
        <f>AI120*VLOOKUP('Données projet'!$B$10,Paramètres!$A$1:$I$89,3,0)*VLOOKUP('Données projet'!$B$10,Paramètres!$A$1:$I$89,5,0)</f>
        <v>208.26000000000008</v>
      </c>
      <c r="AK120" s="13">
        <f t="shared" si="89"/>
        <v>51.555167993086684</v>
      </c>
      <c r="AL120" s="20">
        <f t="shared" si="58"/>
        <v>452.51141758795944</v>
      </c>
      <c r="AM120" s="59">
        <f t="shared" si="59"/>
        <v>734.01451276906914</v>
      </c>
      <c r="AN120" s="59">
        <f ca="1">AVERAGE(OFFSET($AM$3,0,0,'Données projet'!$E$10+1,1))-AVERAGE(OFFSET($H$3,0,0,'Données projet'!$E$10+1,1))</f>
        <v>374.38106339726073</v>
      </c>
      <c r="AO120" s="59">
        <f t="shared" si="90"/>
        <v>296.53283288925957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58.734210006419559</v>
      </c>
      <c r="AV120" s="21">
        <f>EXP(-LN(2)/25)*AV119+(1-EXP(-LN(2)/25))/(LN(2)/25)*Calculateur!AQ120*Calculateur!AS120*VLOOKUP('Données projet'!$B$10,Paramètres!$A$1:$I$89,3,0)*0.475*44/12</f>
        <v>18.289517534842108</v>
      </c>
      <c r="AW120" s="21">
        <f>EXP(-LN(2)/2)*AW119+(1-EXP(-LN(2)/2))/(LN(2)/2)*AQ120*AT120*VLOOKUP('Données projet'!$B$10,Paramètres!$A$1:$I$89,3,0)*0.475*44/12</f>
        <v>0.6202250142849175</v>
      </c>
      <c r="AX120" s="21">
        <f t="shared" si="60"/>
        <v>77.643952555546576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3.6</v>
      </c>
      <c r="BD120" s="12">
        <f>IF('Données projet'!$A$88&gt;35,BD119+BC120-BL119,IF(A120&lt;'Données projet'!$A$88,$BA$205^A120,IF(A120='Données projet'!$A$88,'Données projet'!$B$88,BD119+BC120-BL119)))</f>
        <v>274.20000000000005</v>
      </c>
      <c r="BE120" s="13">
        <f>BD120*VLOOKUP('Données projet'!$B$11,Paramètres!$A$1:$I$89,3,0)*VLOOKUP('Données projet'!$B$11,Paramètres!$A$1:$I$89,5,0)</f>
        <v>260.92872000000006</v>
      </c>
      <c r="BF120" s="13">
        <f t="shared" si="91"/>
        <v>62.920302429198031</v>
      </c>
      <c r="BG120" s="20">
        <f t="shared" si="61"/>
        <v>564.03704739752004</v>
      </c>
      <c r="BH120" s="59">
        <f t="shared" si="62"/>
        <v>845.54014257862968</v>
      </c>
      <c r="BI120" s="59">
        <f ca="1">AVERAGE(OFFSET($BH$3,0,0,'Données projet'!$E$11+1,1))-AVERAGE(OFFSET($H$3,0,0,'Données projet'!$E$11+1,1))</f>
        <v>423.80243030843661</v>
      </c>
      <c r="BJ120" s="59">
        <f t="shared" si="92"/>
        <v>260.29028006191834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14.604929538329833</v>
      </c>
      <c r="BQ120" s="21">
        <f>EXP(-LN(2)/25)*BQ119+(1-EXP(-LN(2)/25))/(LN(2)/25)*Calculateur!BL120*Calculateur!BN120*VLOOKUP('Données projet'!$B$11,Paramètres!$A$1:$I$89,3,0)*0.475*44/12</f>
        <v>15.346166758839498</v>
      </c>
      <c r="BR120" s="21">
        <f>EXP(-LN(2)/2)*BR119+(1-EXP(-LN(2)/2))/(LN(2)/2)*BL120*BO120*VLOOKUP('Données projet'!$B$11,Paramètres!$A$1:$I$89,3,0)*0.475*44/12</f>
        <v>2.483108568169345</v>
      </c>
      <c r="BS120" s="22">
        <f t="shared" si="63"/>
        <v>32.434204865338671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-1.3596945791505279E-13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373.61861223558259</v>
      </c>
      <c r="CE120" s="59">
        <f t="shared" si="94"/>
        <v>277.62293009761049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73.657721390030588</v>
      </c>
      <c r="CL120" s="21">
        <f>EXP(-LN(2)/25)*CL119+(1-EXP(-LN(2)/25))/(LN(2)/25)*Calculateur!CG120*Calculateur!CI120*VLOOKUP('Données projet'!$B$12,Paramètres!$A$1:$I$89,3,0)*0.475*44/12</f>
        <v>18.549778725181906</v>
      </c>
      <c r="CM120" s="21">
        <f>EXP(-LN(2)/2)*CM119+(1-EXP(-LN(2)/2))/(LN(2)/2)*CG120*CJ120*VLOOKUP('Données projet'!$B$12,Paramètres!$A$1:$I$89,3,0)*0.475*44/12</f>
        <v>1.907509524058591E-4</v>
      </c>
      <c r="CN120" s="22">
        <f t="shared" si="66"/>
        <v>92.207690866164896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2.8421709430404007E-14</v>
      </c>
      <c r="CU120" s="17">
        <f>CT120*VLOOKUP('Données projet'!$B$13,Paramètres!$A$1:$I$89,3,0)*VLOOKUP('Données projet'!$B$13,Paramètres!$A$1:$I$89,5,0)</f>
        <v>2.4829205358400945E-14</v>
      </c>
      <c r="CV120" s="13">
        <f t="shared" si="95"/>
        <v>4.3867331143352915E-13</v>
      </c>
      <c r="CW120" s="20">
        <f t="shared" si="67"/>
        <v>8.0726688341261168E-13</v>
      </c>
      <c r="CX120" s="59">
        <f t="shared" si="68"/>
        <v>281.50309518111044</v>
      </c>
      <c r="CY120" s="59">
        <f ca="1">AVERAGE(OFFSET($CX$3,0,0,'Données projet'!$E$13+1,1))-AVERAGE(OFFSET($H$3,0,0,'Données projet'!$E$13+1,1))</f>
        <v>287.28439432670405</v>
      </c>
      <c r="CZ120" s="59">
        <f t="shared" si="96"/>
        <v>276.01618888357268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15.852603337264672</v>
      </c>
      <c r="DG120" s="21">
        <f>EXP(-LN(2)/25)*DG119+(1-EXP(-LN(2)/25))/(LN(2)/25)*Calculateur!DB120*Calculateur!DD120*VLOOKUP('Données projet'!$B$13,Paramètres!$A$1:$I$89,3,0)*0.475*44/12</f>
        <v>13.083397325840725</v>
      </c>
      <c r="DH120" s="21">
        <f>EXP(-LN(2)/2)*DH119+(1-EXP(-LN(2)/2))/(LN(2)/2)*DB120*DE120*VLOOKUP('Données projet'!$B$13,Paramètres!$A$1:$I$89,3,0)*0.475*44/12</f>
        <v>1.2258715463595135E-4</v>
      </c>
      <c r="DI120" s="22">
        <f t="shared" si="69"/>
        <v>28.936123250260032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9">
        <f t="shared" si="55"/>
        <v>1055.2664729085182</v>
      </c>
      <c r="S121" s="59">
        <f ca="1">AVERAGE(OFFSET($R$3,0,0,'Données projet'!$E$9+1,1))-AVERAGE(OFFSET($H$3,0,0,'Données projet'!$E$9+1,1))</f>
        <v>681.47578137804555</v>
      </c>
      <c r="T121" s="59">
        <f t="shared" si="88"/>
        <v>300.88511065995885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8.2299999999999986</v>
      </c>
      <c r="AI121" s="13">
        <f>IF('Données projet'!$A$62&gt;35,AI120+AH121-AQ120,IF(A121&lt;'Données projet'!$A$62,$AF$205^A121,IF(A121='Données projet'!$A$62,'Données projet'!$B$62,AI120+AH121-AQ120)))</f>
        <v>453.23000000000013</v>
      </c>
      <c r="AJ121" s="13">
        <f>AI121*VLOOKUP('Données projet'!$B$10,Paramètres!$A$1:$I$89,3,0)*VLOOKUP('Données projet'!$B$10,Paramètres!$A$1:$I$89,5,0)</f>
        <v>212.11164000000005</v>
      </c>
      <c r="AK121" s="13">
        <f t="shared" si="89"/>
        <v>52.396763121120088</v>
      </c>
      <c r="AL121" s="20">
        <f t="shared" si="58"/>
        <v>460.68546876928417</v>
      </c>
      <c r="AM121" s="59">
        <f t="shared" si="59"/>
        <v>742.39379213388452</v>
      </c>
      <c r="AN121" s="59">
        <f ca="1">AVERAGE(OFFSET($AM$3,0,0,'Données projet'!$E$10+1,1))-AVERAGE(OFFSET($H$3,0,0,'Données projet'!$E$10+1,1))</f>
        <v>374.38106339726073</v>
      </c>
      <c r="AO121" s="59">
        <f t="shared" si="90"/>
        <v>296.53283288925957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57.58246797252442</v>
      </c>
      <c r="AV121" s="21">
        <f>EXP(-LN(2)/25)*AV120+(1-EXP(-LN(2)/25))/(LN(2)/25)*Calculateur!AQ121*Calculateur!AS121*VLOOKUP('Données projet'!$B$10,Paramètres!$A$1:$I$89,3,0)*0.475*44/12</f>
        <v>17.789389716047925</v>
      </c>
      <c r="AW121" s="21">
        <f>EXP(-LN(2)/2)*AW120+(1-EXP(-LN(2)/2))/(LN(2)/2)*AQ121*AT121*VLOOKUP('Données projet'!$B$10,Paramètres!$A$1:$I$89,3,0)*0.475*44/12</f>
        <v>0.43856531346238847</v>
      </c>
      <c r="AX121" s="21">
        <f t="shared" si="60"/>
        <v>75.810423002034739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3.6</v>
      </c>
      <c r="BD121" s="12">
        <f>IF('Données projet'!$A$88&gt;35,BD120+BC121-BL120,IF(A121&lt;'Données projet'!$A$88,$BA$205^A121,IF(A121='Données projet'!$A$88,'Données projet'!$B$88,BD120+BC121-BL120)))</f>
        <v>277.80000000000007</v>
      </c>
      <c r="BE121" s="13">
        <f>BD121*VLOOKUP('Données projet'!$B$11,Paramètres!$A$1:$I$89,3,0)*VLOOKUP('Données projet'!$B$11,Paramètres!$A$1:$I$89,5,0)</f>
        <v>264.35448000000002</v>
      </c>
      <c r="BF121" s="13">
        <f t="shared" si="91"/>
        <v>63.649677966098189</v>
      </c>
      <c r="BG121" s="20">
        <f t="shared" si="61"/>
        <v>571.27390845762102</v>
      </c>
      <c r="BH121" s="59">
        <f t="shared" si="62"/>
        <v>852.98223182222137</v>
      </c>
      <c r="BI121" s="59">
        <f ca="1">AVERAGE(OFFSET($BH$3,0,0,'Données projet'!$E$11+1,1))-AVERAGE(OFFSET($H$3,0,0,'Données projet'!$E$11+1,1))</f>
        <v>423.80243030843661</v>
      </c>
      <c r="BJ121" s="59">
        <f t="shared" si="92"/>
        <v>260.29028006191834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14.318535778210599</v>
      </c>
      <c r="BQ121" s="21">
        <f>EXP(-LN(2)/25)*BQ120+(1-EXP(-LN(2)/25))/(LN(2)/25)*Calculateur!BL121*Calculateur!BN121*VLOOKUP('Données projet'!$B$11,Paramètres!$A$1:$I$89,3,0)*0.475*44/12</f>
        <v>14.926525021799197</v>
      </c>
      <c r="BR121" s="21">
        <f>EXP(-LN(2)/2)*BR120+(1-EXP(-LN(2)/2))/(LN(2)/2)*BL121*BO121*VLOOKUP('Données projet'!$B$11,Paramètres!$A$1:$I$89,3,0)*0.475*44/12</f>
        <v>1.7558229069749625</v>
      </c>
      <c r="BS121" s="22">
        <f t="shared" si="63"/>
        <v>31.000883706984759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-1.3596945791505279E-13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373.61861223558259</v>
      </c>
      <c r="CE121" s="59">
        <f t="shared" si="94"/>
        <v>277.62293009761049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72.213338400345989</v>
      </c>
      <c r="CL121" s="21">
        <f>EXP(-LN(2)/25)*CL120+(1-EXP(-LN(2)/25))/(LN(2)/25)*Calculateur!CG121*Calculateur!CI121*VLOOKUP('Données projet'!$B$12,Paramètres!$A$1:$I$89,3,0)*0.475*44/12</f>
        <v>18.042534050451341</v>
      </c>
      <c r="CM121" s="21">
        <f>EXP(-LN(2)/2)*CM120+(1-EXP(-LN(2)/2))/(LN(2)/2)*CG121*CJ121*VLOOKUP('Données projet'!$B$12,Paramètres!$A$1:$I$89,3,0)*0.475*44/12</f>
        <v>1.3488129196397535E-4</v>
      </c>
      <c r="CN121" s="22">
        <f t="shared" si="66"/>
        <v>90.256007332089297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2.8421709430404007E-14</v>
      </c>
      <c r="CU121" s="17">
        <f>CT121*VLOOKUP('Données projet'!$B$13,Paramètres!$A$1:$I$89,3,0)*VLOOKUP('Données projet'!$B$13,Paramètres!$A$1:$I$89,5,0)</f>
        <v>2.4829205358400945E-14</v>
      </c>
      <c r="CV121" s="13">
        <f t="shared" si="95"/>
        <v>4.3867331143352915E-13</v>
      </c>
      <c r="CW121" s="20">
        <f t="shared" si="67"/>
        <v>8.0726688341261168E-13</v>
      </c>
      <c r="CX121" s="59">
        <f t="shared" si="68"/>
        <v>281.7083233646012</v>
      </c>
      <c r="CY121" s="59">
        <f ca="1">AVERAGE(OFFSET($CX$3,0,0,'Données projet'!$E$13+1,1))-AVERAGE(OFFSET($H$3,0,0,'Données projet'!$E$13+1,1))</f>
        <v>287.28439432670405</v>
      </c>
      <c r="CZ121" s="59">
        <f t="shared" si="96"/>
        <v>276.01618888357268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15.541743454954199</v>
      </c>
      <c r="DG121" s="21">
        <f>EXP(-LN(2)/25)*DG120+(1-EXP(-LN(2)/25))/(LN(2)/25)*Calculateur!DB121*Calculateur!DD121*VLOOKUP('Données projet'!$B$13,Paramètres!$A$1:$I$89,3,0)*0.475*44/12</f>
        <v>12.725631137939647</v>
      </c>
      <c r="DH121" s="21">
        <f>EXP(-LN(2)/2)*DH120+(1-EXP(-LN(2)/2))/(LN(2)/2)*DB121*DE121*VLOOKUP('Données projet'!$B$13,Paramètres!$A$1:$I$89,3,0)*0.475*44/12</f>
        <v>8.668220832944512E-5</v>
      </c>
      <c r="DI121" s="22">
        <f t="shared" si="69"/>
        <v>28.267461275102175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9">
        <f t="shared" si="55"/>
        <v>1072.3980194559442</v>
      </c>
      <c r="S122" s="59">
        <f ca="1">AVERAGE(OFFSET($R$3,0,0,'Données projet'!$E$9+1,1))-AVERAGE(OFFSET($H$3,0,0,'Données projet'!$E$9+1,1))</f>
        <v>681.47578137804555</v>
      </c>
      <c r="T122" s="59">
        <f t="shared" si="88"/>
        <v>300.88511065995885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8.2299999999999986</v>
      </c>
      <c r="AI122" s="13">
        <f>IF('Données projet'!$A$62&gt;35,AI121+AH122-AQ121,IF(A122&lt;'Données projet'!$A$62,$AF$205^A122,IF(A122='Données projet'!$A$62,'Données projet'!$B$62,AI121+AH122-AQ121)))</f>
        <v>461.46000000000015</v>
      </c>
      <c r="AJ122" s="13">
        <f>AI122*VLOOKUP('Données projet'!$B$10,Paramètres!$A$1:$I$89,3,0)*VLOOKUP('Données projet'!$B$10,Paramètres!$A$1:$I$89,5,0)</f>
        <v>215.96328000000008</v>
      </c>
      <c r="AK122" s="13">
        <f t="shared" si="89"/>
        <v>53.236581182498291</v>
      </c>
      <c r="AL122" s="20">
        <f t="shared" si="58"/>
        <v>468.85642489285124</v>
      </c>
      <c r="AM122" s="59">
        <f t="shared" si="59"/>
        <v>750.76641619078032</v>
      </c>
      <c r="AN122" s="59">
        <f ca="1">AVERAGE(OFFSET($AM$3,0,0,'Données projet'!$E$10+1,1))-AVERAGE(OFFSET($H$3,0,0,'Données projet'!$E$10+1,1))</f>
        <v>374.38106339726073</v>
      </c>
      <c r="AO122" s="59">
        <f t="shared" si="90"/>
        <v>296.53283288925957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56.453310897420685</v>
      </c>
      <c r="AV122" s="21">
        <f>EXP(-LN(2)/25)*AV121+(1-EXP(-LN(2)/25))/(LN(2)/25)*Calculateur!AQ122*Calculateur!AS122*VLOOKUP('Données projet'!$B$10,Paramètres!$A$1:$I$89,3,0)*0.475*44/12</f>
        <v>17.302937918759248</v>
      </c>
      <c r="AW122" s="21">
        <f>EXP(-LN(2)/2)*AW121+(1-EXP(-LN(2)/2))/(LN(2)/2)*AQ122*AT122*VLOOKUP('Données projet'!$B$10,Paramètres!$A$1:$I$89,3,0)*0.475*44/12</f>
        <v>0.31011250714245875</v>
      </c>
      <c r="AX122" s="21">
        <f t="shared" si="60"/>
        <v>74.066361323322397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3.6</v>
      </c>
      <c r="BD122" s="12">
        <f>IF('Données projet'!$A$88&gt;35,BD121+BC122-BL121,IF(A122&lt;'Données projet'!$A$88,$BA$205^A122,IF(A122='Données projet'!$A$88,'Données projet'!$B$88,BD121+BC122-BL121)))</f>
        <v>281.40000000000009</v>
      </c>
      <c r="BE122" s="13">
        <f>BD122*VLOOKUP('Données projet'!$B$11,Paramètres!$A$1:$I$89,3,0)*VLOOKUP('Données projet'!$B$11,Paramètres!$A$1:$I$89,5,0)</f>
        <v>267.78024000000011</v>
      </c>
      <c r="BF122" s="13">
        <f t="shared" si="91"/>
        <v>64.377954092757676</v>
      </c>
      <c r="BG122" s="20">
        <f t="shared" si="61"/>
        <v>578.508854711553</v>
      </c>
      <c r="BH122" s="59">
        <f t="shared" si="62"/>
        <v>860.41884600948219</v>
      </c>
      <c r="BI122" s="59">
        <f ca="1">AVERAGE(OFFSET($BH$3,0,0,'Données projet'!$E$11+1,1))-AVERAGE(OFFSET($H$3,0,0,'Données projet'!$E$11+1,1))</f>
        <v>423.80243030843661</v>
      </c>
      <c r="BJ122" s="59">
        <f t="shared" si="92"/>
        <v>260.29028006191834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14.037758025044358</v>
      </c>
      <c r="BQ122" s="21">
        <f>EXP(-LN(2)/25)*BQ121+(1-EXP(-LN(2)/25))/(LN(2)/25)*Calculateur!BL122*Calculateur!BN122*VLOOKUP('Données projet'!$B$11,Paramètres!$A$1:$I$89,3,0)*0.475*44/12</f>
        <v>14.518358410126263</v>
      </c>
      <c r="BR122" s="21">
        <f>EXP(-LN(2)/2)*BR121+(1-EXP(-LN(2)/2))/(LN(2)/2)*BL122*BO122*VLOOKUP('Données projet'!$B$11,Paramètres!$A$1:$I$89,3,0)*0.475*44/12</f>
        <v>1.2415542840846727</v>
      </c>
      <c r="BS122" s="22">
        <f t="shared" si="63"/>
        <v>29.797670719255294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-1.3596945791505279E-13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373.61861223558259</v>
      </c>
      <c r="CE122" s="59">
        <f t="shared" si="94"/>
        <v>277.62293009761049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70.797278880102468</v>
      </c>
      <c r="CL122" s="21">
        <f>EXP(-LN(2)/25)*CL121+(1-EXP(-LN(2)/25))/(LN(2)/25)*Calculateur!CG122*Calculateur!CI122*VLOOKUP('Données projet'!$B$12,Paramètres!$A$1:$I$89,3,0)*0.475*44/12</f>
        <v>17.549160008026121</v>
      </c>
      <c r="CM122" s="21">
        <f>EXP(-LN(2)/2)*CM121+(1-EXP(-LN(2)/2))/(LN(2)/2)*CG122*CJ122*VLOOKUP('Données projet'!$B$12,Paramètres!$A$1:$I$89,3,0)*0.475*44/12</f>
        <v>9.5375476202929548E-5</v>
      </c>
      <c r="CN122" s="22">
        <f t="shared" si="66"/>
        <v>88.346534263604795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2.8421709430404007E-14</v>
      </c>
      <c r="CU122" s="17">
        <f>CT122*VLOOKUP('Données projet'!$B$13,Paramètres!$A$1:$I$89,3,0)*VLOOKUP('Données projet'!$B$13,Paramètres!$A$1:$I$89,5,0)</f>
        <v>2.4829205358400945E-14</v>
      </c>
      <c r="CV122" s="13">
        <f t="shared" si="95"/>
        <v>4.3867331143352915E-13</v>
      </c>
      <c r="CW122" s="20">
        <f t="shared" si="67"/>
        <v>8.0726688341261168E-13</v>
      </c>
      <c r="CX122" s="59">
        <f t="shared" si="68"/>
        <v>281.90999129792993</v>
      </c>
      <c r="CY122" s="59">
        <f ca="1">AVERAGE(OFFSET($CX$3,0,0,'Données projet'!$E$13+1,1))-AVERAGE(OFFSET($H$3,0,0,'Données projet'!$E$13+1,1))</f>
        <v>287.28439432670405</v>
      </c>
      <c r="CZ122" s="59">
        <f t="shared" si="96"/>
        <v>276.01618888357268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15.236979345330029</v>
      </c>
      <c r="DG122" s="21">
        <f>EXP(-LN(2)/25)*DG121+(1-EXP(-LN(2)/25))/(LN(2)/25)*Calculateur!DB122*Calculateur!DD122*VLOOKUP('Données projet'!$B$13,Paramètres!$A$1:$I$89,3,0)*0.475*44/12</f>
        <v>12.37764808526083</v>
      </c>
      <c r="DH122" s="21">
        <f>EXP(-LN(2)/2)*DH121+(1-EXP(-LN(2)/2))/(LN(2)/2)*DB122*DE122*VLOOKUP('Données projet'!$B$13,Paramètres!$A$1:$I$89,3,0)*0.475*44/12</f>
        <v>6.1293577317975676E-5</v>
      </c>
      <c r="DI122" s="22">
        <f t="shared" si="69"/>
        <v>27.614688724168175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9">
        <f t="shared" si="55"/>
        <v>1089.5187387280791</v>
      </c>
      <c r="S123" s="59">
        <f ca="1">AVERAGE(OFFSET($R$3,0,0,'Données projet'!$E$9+1,1))-AVERAGE(OFFSET($H$3,0,0,'Données projet'!$E$9+1,1))</f>
        <v>681.47578137804555</v>
      </c>
      <c r="T123" s="59">
        <f t="shared" si="88"/>
        <v>300.88511065995885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8.2299999999999986</v>
      </c>
      <c r="AI123" s="13">
        <f>IF('Données projet'!$A$62&gt;35,AI122+AH123-AQ122,IF(A123&lt;'Données projet'!$A$62,$AF$205^A123,IF(A123='Données projet'!$A$62,'Données projet'!$B$62,AI122+AH123-AQ122)))</f>
        <v>469.69000000000017</v>
      </c>
      <c r="AJ123" s="13">
        <f>AI123*VLOOKUP('Données projet'!$B$10,Paramètres!$A$1:$I$89,3,0)*VLOOKUP('Données projet'!$B$10,Paramètres!$A$1:$I$89,5,0)</f>
        <v>219.81492000000009</v>
      </c>
      <c r="AK123" s="13">
        <f t="shared" si="89"/>
        <v>54.074657526864193</v>
      </c>
      <c r="AL123" s="20">
        <f t="shared" si="58"/>
        <v>477.02434752595531</v>
      </c>
      <c r="AM123" s="59">
        <f t="shared" si="59"/>
        <v>759.13250826943192</v>
      </c>
      <c r="AN123" s="59">
        <f ca="1">AVERAGE(OFFSET($AM$3,0,0,'Données projet'!$E$10+1,1))-AVERAGE(OFFSET($H$3,0,0,'Données projet'!$E$10+1,1))</f>
        <v>374.38106339726073</v>
      </c>
      <c r="AO123" s="59">
        <f t="shared" si="90"/>
        <v>296.53283288925957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55.346295903841927</v>
      </c>
      <c r="AV123" s="21">
        <f>EXP(-LN(2)/25)*AV122+(1-EXP(-LN(2)/25))/(LN(2)/25)*Calculateur!AQ123*Calculateur!AS123*VLOOKUP('Données projet'!$B$10,Paramètres!$A$1:$I$89,3,0)*0.475*44/12</f>
        <v>16.829788171448818</v>
      </c>
      <c r="AW123" s="21">
        <f>EXP(-LN(2)/2)*AW122+(1-EXP(-LN(2)/2))/(LN(2)/2)*AQ123*AT123*VLOOKUP('Données projet'!$B$10,Paramètres!$A$1:$I$89,3,0)*0.475*44/12</f>
        <v>0.21928265673119424</v>
      </c>
      <c r="AX123" s="21">
        <f t="shared" si="60"/>
        <v>72.395366732021941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285</v>
      </c>
      <c r="BB123" s="12">
        <f>VLOOKUP(A123,'Données projet'!$A$87:$I$107,9,0)</f>
        <v>3.6</v>
      </c>
      <c r="BC123" s="12">
        <f t="array" ref="BC123">INDEX(BB:BB,MIN(IF(ISNUMBER(BB123:BB319),ROW(BB123:BB319),"")))</f>
        <v>3.6</v>
      </c>
      <c r="BD123" s="12">
        <f>IF('Données projet'!$A$88&gt;35,BD122+BC123-BL122,IF(A123&lt;'Données projet'!$A$88,$BA$205^A123,IF(A123='Données projet'!$A$88,'Données projet'!$B$88,BD122+BC123-BL122)))</f>
        <v>285.00000000000011</v>
      </c>
      <c r="BE123" s="13">
        <f>BD123*VLOOKUP('Données projet'!$B$11,Paramètres!$A$1:$I$89,3,0)*VLOOKUP('Données projet'!$B$11,Paramètres!$A$1:$I$89,5,0)</f>
        <v>271.20600000000013</v>
      </c>
      <c r="BF123" s="13">
        <f t="shared" si="91"/>
        <v>65.105146500462041</v>
      </c>
      <c r="BG123" s="20">
        <f t="shared" si="61"/>
        <v>585.74191348830493</v>
      </c>
      <c r="BH123" s="59">
        <f t="shared" si="62"/>
        <v>867.85007423178149</v>
      </c>
      <c r="BI123" s="59">
        <f ca="1">AVERAGE(OFFSET($BH$3,0,0,'Données projet'!$E$11+1,1))-AVERAGE(OFFSET($H$3,0,0,'Données projet'!$E$11+1,1))</f>
        <v>423.80243030843661</v>
      </c>
      <c r="BJ123" s="59">
        <f t="shared" si="92"/>
        <v>260.29028006191834</v>
      </c>
      <c r="BK123" s="15">
        <f>IF(ISNA(VLOOKUP(A123,'Données projet'!$A$87:$I$107,3,0)),0,VLOOKUP(A123,'Données projet'!$A$87:$I$107,3,0))</f>
        <v>20</v>
      </c>
      <c r="BL123" s="15">
        <f>IF(ISNA(VLOOKUP(A123,'Données projet'!$A$87:$I$107,4,0)),0,VLOOKUP(A123,'Données projet'!$A$87:$I$107,4,0))</f>
        <v>285</v>
      </c>
      <c r="BM123" s="16">
        <f>IF(ISNA(VLOOKUP(A123,'Données projet'!$A$87:$I$107,5,0)),0%,VLOOKUP(A123,'Données projet'!$A$87:$I$107,5,0)*VLOOKUP('Données projet'!$B$11,Paramètres!$A$1:$I$89,7,0))</f>
        <v>0.1075</v>
      </c>
      <c r="BN123" s="16">
        <f>IF(ISNA(VLOOKUP(A123,'Données projet'!$A$87:$I$107,6,0)),0%,VLOOKUP(A123,'Données projet'!$A$87:$I$107,6,0)*VLOOKUP('Données projet'!$B$11,Paramètres!$A$1:$I$89,7,0))</f>
        <v>0.1075</v>
      </c>
      <c r="BO123" s="16">
        <f>IF(ISNA(VLOOKUP(A123,'Données projet'!$A$87:$I$107,7,0)),0%,VLOOKUP(A123,'Données projet'!$A$87:$I$107,7,0))</f>
        <v>0.25</v>
      </c>
      <c r="BP123" s="21">
        <f>EXP(-LN(2)/35)*BP122+(1-EXP(-LN(2)/35))/(LN(2)/35)*BL123*BM123*VLOOKUP('Données projet'!$B$11,Paramètres!$A$1:$I$89,3,0)*0.475*44/12</f>
        <v>45.992082625658625</v>
      </c>
      <c r="BQ123" s="21">
        <f>EXP(-LN(2)/25)*BQ122+(1-EXP(-LN(2)/25))/(LN(2)/25)*Calculateur!BL123*Calculateur!BN123*VLOOKUP('Données projet'!$B$11,Paramètres!$A$1:$I$89,3,0)*0.475*44/12</f>
        <v>46.224049407458097</v>
      </c>
      <c r="BR123" s="21">
        <f>EXP(-LN(2)/2)*BR122+(1-EXP(-LN(2)/2))/(LN(2)/2)*BL123*BO123*VLOOKUP('Données projet'!$B$11,Paramètres!$A$1:$I$89,3,0)*0.475*44/12</f>
        <v>64.850451554104708</v>
      </c>
      <c r="BS123" s="22">
        <f t="shared" si="63"/>
        <v>157.06658358722143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-1.3596945791505279E-13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373.61861223558259</v>
      </c>
      <c r="CE123" s="59">
        <f t="shared" si="94"/>
        <v>277.62293009761049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69.408987423339894</v>
      </c>
      <c r="CL123" s="21">
        <f>EXP(-LN(2)/25)*CL122+(1-EXP(-LN(2)/25))/(LN(2)/25)*Calculateur!CG123*Calculateur!CI123*VLOOKUP('Données projet'!$B$12,Paramètres!$A$1:$I$89,3,0)*0.475*44/12</f>
        <v>17.069277304736431</v>
      </c>
      <c r="CM123" s="21">
        <f>EXP(-LN(2)/2)*CM122+(1-EXP(-LN(2)/2))/(LN(2)/2)*CG123*CJ123*VLOOKUP('Données projet'!$B$12,Paramètres!$A$1:$I$89,3,0)*0.475*44/12</f>
        <v>6.7440645981987673E-5</v>
      </c>
      <c r="CN123" s="22">
        <f t="shared" si="66"/>
        <v>86.478332168722304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2.8421709430404007E-14</v>
      </c>
      <c r="CU123" s="17">
        <f>CT123*VLOOKUP('Données projet'!$B$13,Paramètres!$A$1:$I$89,3,0)*VLOOKUP('Données projet'!$B$13,Paramètres!$A$1:$I$89,5,0)</f>
        <v>2.4829205358400945E-14</v>
      </c>
      <c r="CV123" s="13">
        <f t="shared" si="95"/>
        <v>4.3867331143352915E-13</v>
      </c>
      <c r="CW123" s="20">
        <f t="shared" si="67"/>
        <v>8.0726688341261168E-13</v>
      </c>
      <c r="CX123" s="59">
        <f t="shared" si="68"/>
        <v>282.10816074347741</v>
      </c>
      <c r="CY123" s="59">
        <f ca="1">AVERAGE(OFFSET($CX$3,0,0,'Données projet'!$E$13+1,1))-AVERAGE(OFFSET($H$3,0,0,'Données projet'!$E$13+1,1))</f>
        <v>287.28439432670405</v>
      </c>
      <c r="CZ123" s="59">
        <f t="shared" si="96"/>
        <v>276.01618888357268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14.938191474007837</v>
      </c>
      <c r="DG123" s="21">
        <f>EXP(-LN(2)/25)*DG122+(1-EXP(-LN(2)/25))/(LN(2)/25)*Calculateur!DB123*Calculateur!DD123*VLOOKUP('Données projet'!$B$13,Paramètres!$A$1:$I$89,3,0)*0.475*44/12</f>
        <v>12.039180647457149</v>
      </c>
      <c r="DH123" s="21">
        <f>EXP(-LN(2)/2)*DH122+(1-EXP(-LN(2)/2))/(LN(2)/2)*DB123*DE123*VLOOKUP('Données projet'!$B$13,Paramètres!$A$1:$I$89,3,0)*0.475*44/12</f>
        <v>4.334110416472256E-5</v>
      </c>
      <c r="DI123" s="22">
        <f t="shared" si="69"/>
        <v>26.977415462569152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9">
        <f t="shared" si="55"/>
        <v>1106.6288665012289</v>
      </c>
      <c r="S124" s="59">
        <f ca="1">AVERAGE(OFFSET($R$3,0,0,'Données projet'!$E$9+1,1))-AVERAGE(OFFSET($H$3,0,0,'Données projet'!$E$9+1,1))</f>
        <v>681.47578137804555</v>
      </c>
      <c r="T124" s="59">
        <f t="shared" si="88"/>
        <v>300.88511065995885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477.92</v>
      </c>
      <c r="AG124" s="12">
        <f>VLOOKUP(A124,'Données projet'!$A$61:$I$81,9,0)</f>
        <v>8.2299999999999986</v>
      </c>
      <c r="AH124" s="12">
        <f t="array" ref="AH124">INDEX(AG:AG,MIN(IF(ISNUMBER(AG124:AG320),ROW(AG124:AG320),"")))</f>
        <v>8.2299999999999986</v>
      </c>
      <c r="AI124" s="13">
        <f>IF('Données projet'!$A$62&gt;35,AI123+AH124-AQ123,IF(A124&lt;'Données projet'!$A$62,$AF$205^A124,IF(A124='Données projet'!$A$62,'Données projet'!$B$62,AI123+AH124-AQ123)))</f>
        <v>477.92000000000019</v>
      </c>
      <c r="AJ124" s="13">
        <f>AI124*VLOOKUP('Données projet'!$B$10,Paramètres!$A$1:$I$89,3,0)*VLOOKUP('Données projet'!$B$10,Paramètres!$A$1:$I$89,5,0)</f>
        <v>223.66656000000006</v>
      </c>
      <c r="AK124" s="13">
        <f t="shared" si="89"/>
        <v>54.911026194090759</v>
      </c>
      <c r="AL124" s="20">
        <f t="shared" si="58"/>
        <v>485.18929595470814</v>
      </c>
      <c r="AM124" s="59">
        <f t="shared" si="59"/>
        <v>767.49218834689259</v>
      </c>
      <c r="AN124" s="59">
        <f ca="1">AVERAGE(OFFSET($AM$3,0,0,'Données projet'!$E$10+1,1))-AVERAGE(OFFSET($H$3,0,0,'Données projet'!$E$10+1,1))</f>
        <v>374.38106339726073</v>
      </c>
      <c r="AO124" s="59">
        <f t="shared" si="90"/>
        <v>296.53283288925957</v>
      </c>
      <c r="AP124" s="15">
        <f>IF(ISNA(VLOOKUP(A124,'Données projet'!$A$61:$I$81,3,0)),0,VLOOKUP(A124,'Données projet'!$A$61:$I$81,3,0))</f>
        <v>7</v>
      </c>
      <c r="AQ124" s="15">
        <f>IF(ISNA(VLOOKUP(A124,'Données projet'!$A$61:$I$81,4,0)),0,VLOOKUP(A124,'Données projet'!$A$61:$I$81,4,0))</f>
        <v>236.89000000000001</v>
      </c>
      <c r="AR124" s="16">
        <f>IF(ISNA(VLOOKUP(A124,'Données projet'!$A$61:$I$81,5,0)),0%,VLOOKUP(A124,'Données projet'!$A$61:$I$81,5,0)*VLOOKUP('Données projet'!$B$10,Paramètres!$A$1:$I$89,7,0))</f>
        <v>0.33</v>
      </c>
      <c r="AS124" s="16">
        <f>IF(ISNA(VLOOKUP(A124,'Données projet'!$A$61:$I$81,6,0)),0%,VLOOKUP(A124,'Données projet'!$A$61:$I$81,6,0)*VLOOKUP('Données projet'!$B$10,Paramètres!$A$1:$I$89,7,0))</f>
        <v>0.11000000000000001</v>
      </c>
      <c r="AT124" s="16">
        <f>IF(ISNA(VLOOKUP(A124,'Données projet'!$A$61:$I$81,7,0)),0%,VLOOKUP(A124,'Données projet'!$A$61:$I$81,7,0))</f>
        <v>0.2</v>
      </c>
      <c r="AU124" s="21">
        <f>EXP(-LN(2)/35)*AU123+(1-EXP(-LN(2)/35))/(LN(2)/35)*AQ124*AR124*VLOOKUP('Données projet'!$B$10,Paramètres!$A$1:$I$89,3,0)*0.475*44/12</f>
        <v>102.79373622752556</v>
      </c>
      <c r="AV124" s="21">
        <f>EXP(-LN(2)/25)*AV123+(1-EXP(-LN(2)/25))/(LN(2)/25)*Calculateur!AQ124*Calculateur!AS124*VLOOKUP('Données projet'!$B$10,Paramètres!$A$1:$I$89,3,0)*0.475*44/12</f>
        <v>32.483461898659932</v>
      </c>
      <c r="AW124" s="21">
        <f>EXP(-LN(2)/2)*AW123+(1-EXP(-LN(2)/2))/(LN(2)/2)*AQ124*AT124*VLOOKUP('Données projet'!$B$10,Paramètres!$A$1:$I$89,3,0)*0.475*44/12</f>
        <v>25.259934292324992</v>
      </c>
      <c r="AX124" s="21">
        <f t="shared" si="60"/>
        <v>160.53713241851048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1.0818439477588981E-13</v>
      </c>
      <c r="BF124" s="13">
        <f t="shared" si="91"/>
        <v>1.6104228458716316E-12</v>
      </c>
      <c r="BG124" s="20">
        <f t="shared" si="61"/>
        <v>2.9932409441277661E-12</v>
      </c>
      <c r="BH124" s="59">
        <f t="shared" si="62"/>
        <v>282.3028923921874</v>
      </c>
      <c r="BI124" s="59">
        <f ca="1">AVERAGE(OFFSET($BH$3,0,0,'Données projet'!$E$11+1,1))-AVERAGE(OFFSET($H$3,0,0,'Données projet'!$E$11+1,1))</f>
        <v>423.80243030843661</v>
      </c>
      <c r="BJ124" s="59">
        <f t="shared" si="92"/>
        <v>260.29028006191834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45.090205937769916</v>
      </c>
      <c r="BQ124" s="21">
        <f>EXP(-LN(2)/25)*BQ123+(1-EXP(-LN(2)/25))/(LN(2)/25)*Calculateur!BL124*Calculateur!BN124*VLOOKUP('Données projet'!$B$11,Paramètres!$A$1:$I$89,3,0)*0.475*44/12</f>
        <v>44.960050345594041</v>
      </c>
      <c r="BR124" s="21">
        <f>EXP(-LN(2)/2)*BR123+(1-EXP(-LN(2)/2))/(LN(2)/2)*BL124*BO124*VLOOKUP('Données projet'!$B$11,Paramètres!$A$1:$I$89,3,0)*0.475*44/12</f>
        <v>45.856194056917118</v>
      </c>
      <c r="BS124" s="22">
        <f t="shared" si="63"/>
        <v>135.90645034028108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-1.3596945791505279E-13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373.61861223558259</v>
      </c>
      <c r="CE124" s="59">
        <f t="shared" si="94"/>
        <v>277.62293009761049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68.047919515270266</v>
      </c>
      <c r="CL124" s="21">
        <f>EXP(-LN(2)/25)*CL123+(1-EXP(-LN(2)/25))/(LN(2)/25)*Calculateur!CG124*Calculateur!CI124*VLOOKUP('Données projet'!$B$12,Paramètres!$A$1:$I$89,3,0)*0.475*44/12</f>
        <v>16.602517019204132</v>
      </c>
      <c r="CM124" s="21">
        <f>EXP(-LN(2)/2)*CM123+(1-EXP(-LN(2)/2))/(LN(2)/2)*CG124*CJ124*VLOOKUP('Données projet'!$B$12,Paramètres!$A$1:$I$89,3,0)*0.475*44/12</f>
        <v>4.7687738101464774E-5</v>
      </c>
      <c r="CN124" s="22">
        <f t="shared" si="66"/>
        <v>84.650484222212498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2.4829205358400945E-14</v>
      </c>
      <c r="CV124" s="13">
        <f t="shared" si="95"/>
        <v>4.3867331143352915E-13</v>
      </c>
      <c r="CW124" s="20">
        <f t="shared" si="67"/>
        <v>8.0726688341261168E-13</v>
      </c>
      <c r="CX124" s="59">
        <f t="shared" si="68"/>
        <v>282.30289239218519</v>
      </c>
      <c r="CY124" s="59">
        <f ca="1">AVERAGE(OFFSET($CX$3,0,0,'Données projet'!$E$13+1,1))-AVERAGE(OFFSET($H$3,0,0,'Données projet'!$E$13+1,1))</f>
        <v>287.28439432670405</v>
      </c>
      <c r="CZ124" s="59">
        <f t="shared" si="96"/>
        <v>276.01618888357268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14.645262650599667</v>
      </c>
      <c r="DG124" s="21">
        <f>EXP(-LN(2)/25)*DG123+(1-EXP(-LN(2)/25))/(LN(2)/25)*Calculateur!DB124*Calculateur!DD124*VLOOKUP('Données projet'!$B$13,Paramètres!$A$1:$I$89,3,0)*0.475*44/12</f>
        <v>11.709968619539438</v>
      </c>
      <c r="DH124" s="21">
        <f>EXP(-LN(2)/2)*DH123+(1-EXP(-LN(2)/2))/(LN(2)/2)*DB124*DE124*VLOOKUP('Données projet'!$B$13,Paramètres!$A$1:$I$89,3,0)*0.475*44/12</f>
        <v>3.0646788658987838E-5</v>
      </c>
      <c r="DI124" s="22">
        <f t="shared" si="69"/>
        <v>26.355261916927766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9">
        <f t="shared" si="55"/>
        <v>1123.7286297349485</v>
      </c>
      <c r="S125" s="59">
        <f ca="1">AVERAGE(OFFSET($R$3,0,0,'Données projet'!$E$9+1,1))-AVERAGE(OFFSET($H$3,0,0,'Données projet'!$E$9+1,1))</f>
        <v>681.47578137804555</v>
      </c>
      <c r="T125" s="59">
        <f t="shared" si="88"/>
        <v>300.88511065995885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5.7330000000000014</v>
      </c>
      <c r="AI125" s="13">
        <f>IF('Données projet'!$A$62&gt;35,AI124+AH125-AQ124,IF(A125&lt;'Données projet'!$A$62,$AF$205^A125,IF(A125='Données projet'!$A$62,'Données projet'!$B$62,AI124+AH125-AQ124)))</f>
        <v>246.76300000000018</v>
      </c>
      <c r="AJ125" s="13">
        <f>AI125*VLOOKUP('Données projet'!$B$10,Paramètres!$A$1:$I$89,3,0)*VLOOKUP('Données projet'!$B$10,Paramètres!$A$1:$I$89,5,0)</f>
        <v>115.48508400000009</v>
      </c>
      <c r="AK125" s="13">
        <f t="shared" si="89"/>
        <v>30.619630481516761</v>
      </c>
      <c r="AL125" s="20">
        <f t="shared" si="58"/>
        <v>254.46571105530847</v>
      </c>
      <c r="AM125" s="59">
        <f t="shared" si="59"/>
        <v>536.95995693745022</v>
      </c>
      <c r="AN125" s="59">
        <f ca="1">AVERAGE(OFFSET($AM$3,0,0,'Données projet'!$E$10+1,1))-AVERAGE(OFFSET($H$3,0,0,'Données projet'!$E$10+1,1))</f>
        <v>374.38106339726073</v>
      </c>
      <c r="AO125" s="59">
        <f t="shared" si="90"/>
        <v>296.53283288925957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100.77801375809197</v>
      </c>
      <c r="AV125" s="21">
        <f>EXP(-LN(2)/25)*AV124+(1-EXP(-LN(2)/25))/(LN(2)/25)*Calculateur!AQ125*Calculateur!AS125*VLOOKUP('Données projet'!$B$10,Paramètres!$A$1:$I$89,3,0)*0.475*44/12</f>
        <v>31.595199924810057</v>
      </c>
      <c r="AW125" s="21">
        <f>EXP(-LN(2)/2)*AW124+(1-EXP(-LN(2)/2))/(LN(2)/2)*AQ125*AT125*VLOOKUP('Données projet'!$B$10,Paramètres!$A$1:$I$89,3,0)*0.475*44/12</f>
        <v>17.861470830429617</v>
      </c>
      <c r="AX125" s="21">
        <f t="shared" si="60"/>
        <v>150.23468451333164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1.0818439477588981E-13</v>
      </c>
      <c r="BF125" s="13">
        <f t="shared" si="91"/>
        <v>1.6104228458716316E-12</v>
      </c>
      <c r="BG125" s="20">
        <f t="shared" si="61"/>
        <v>2.9932409441277661E-12</v>
      </c>
      <c r="BH125" s="59">
        <f t="shared" si="62"/>
        <v>282.49424588214481</v>
      </c>
      <c r="BI125" s="59">
        <f ca="1">AVERAGE(OFFSET($BH$3,0,0,'Données projet'!$E$11+1,1))-AVERAGE(OFFSET($H$3,0,0,'Données projet'!$E$11+1,1))</f>
        <v>423.80243030843661</v>
      </c>
      <c r="BJ125" s="59">
        <f t="shared" si="92"/>
        <v>260.29028006191834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44.20601450164024</v>
      </c>
      <c r="BQ125" s="21">
        <f>EXP(-LN(2)/25)*BQ124+(1-EXP(-LN(2)/25))/(LN(2)/25)*Calculateur!BL125*Calculateur!BN125*VLOOKUP('Données projet'!$B$11,Paramètres!$A$1:$I$89,3,0)*0.475*44/12</f>
        <v>43.730615404547486</v>
      </c>
      <c r="BR125" s="21">
        <f>EXP(-LN(2)/2)*BR124+(1-EXP(-LN(2)/2))/(LN(2)/2)*BL125*BO125*VLOOKUP('Données projet'!$B$11,Paramètres!$A$1:$I$89,3,0)*0.475*44/12</f>
        <v>32.425225777052354</v>
      </c>
      <c r="BS125" s="22">
        <f t="shared" si="63"/>
        <v>120.36185568324009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-1.3596945791505279E-13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373.61861223558259</v>
      </c>
      <c r="CE125" s="59">
        <f t="shared" si="94"/>
        <v>277.62293009761049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66.713541318708423</v>
      </c>
      <c r="CL125" s="21">
        <f>EXP(-LN(2)/25)*CL124+(1-EXP(-LN(2)/25))/(LN(2)/25)*Calculateur!CG125*Calculateur!CI125*VLOOKUP('Données projet'!$B$12,Paramètres!$A$1:$I$89,3,0)*0.475*44/12</f>
        <v>16.148520318225572</v>
      </c>
      <c r="CM125" s="21">
        <f>EXP(-LN(2)/2)*CM124+(1-EXP(-LN(2)/2))/(LN(2)/2)*CG125*CJ125*VLOOKUP('Données projet'!$B$12,Paramètres!$A$1:$I$89,3,0)*0.475*44/12</f>
        <v>3.3720322990993837E-5</v>
      </c>
      <c r="CN125" s="22">
        <f t="shared" si="66"/>
        <v>82.862095357256976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2.4829205358400945E-14</v>
      </c>
      <c r="CV125" s="13">
        <f t="shared" si="95"/>
        <v>4.3867331143352915E-13</v>
      </c>
      <c r="CW125" s="20">
        <f t="shared" si="67"/>
        <v>8.0726688341261168E-13</v>
      </c>
      <c r="CX125" s="59">
        <f t="shared" si="68"/>
        <v>282.49424588214259</v>
      </c>
      <c r="CY125" s="59">
        <f ca="1">AVERAGE(OFFSET($CX$3,0,0,'Données projet'!$E$13+1,1))-AVERAGE(OFFSET($H$3,0,0,'Données projet'!$E$13+1,1))</f>
        <v>287.28439432670405</v>
      </c>
      <c r="CZ125" s="59">
        <f t="shared" si="96"/>
        <v>276.01618888357268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14.358077982749592</v>
      </c>
      <c r="DG125" s="21">
        <f>EXP(-LN(2)/25)*DG124+(1-EXP(-LN(2)/25))/(LN(2)/25)*Calculateur!DB125*Calculateur!DD125*VLOOKUP('Données projet'!$B$13,Paramètres!$A$1:$I$89,3,0)*0.475*44/12</f>
        <v>11.389758911837646</v>
      </c>
      <c r="DH125" s="21">
        <f>EXP(-LN(2)/2)*DH124+(1-EXP(-LN(2)/2))/(LN(2)/2)*DB125*DE125*VLOOKUP('Données projet'!$B$13,Paramètres!$A$1:$I$89,3,0)*0.475*44/12</f>
        <v>2.167055208236128E-5</v>
      </c>
      <c r="DI125" s="22">
        <f t="shared" si="69"/>
        <v>25.747858565139321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9">
        <f t="shared" si="55"/>
        <v>1140.8182470868849</v>
      </c>
      <c r="S126" s="59">
        <f ca="1">AVERAGE(OFFSET($R$3,0,0,'Données projet'!$E$9+1,1))-AVERAGE(OFFSET($H$3,0,0,'Données projet'!$E$9+1,1))</f>
        <v>681.47578137804555</v>
      </c>
      <c r="T126" s="59">
        <f t="shared" si="88"/>
        <v>300.88511065995885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5.7330000000000014</v>
      </c>
      <c r="AI126" s="13">
        <f>IF('Données projet'!$A$62&gt;35,AI125+AH126-AQ125,IF(A126&lt;'Données projet'!$A$62,$AF$205^A126,IF(A126='Données projet'!$A$62,'Données projet'!$B$62,AI125+AH126-AQ125)))</f>
        <v>252.49600000000018</v>
      </c>
      <c r="AJ126" s="13">
        <f>AI126*VLOOKUP('Données projet'!$B$10,Paramètres!$A$1:$I$89,3,0)*VLOOKUP('Données projet'!$B$10,Paramètres!$A$1:$I$89,5,0)</f>
        <v>118.16812800000008</v>
      </c>
      <c r="AK126" s="13">
        <f t="shared" si="89"/>
        <v>31.247363461606096</v>
      </c>
      <c r="AL126" s="20">
        <f t="shared" si="58"/>
        <v>260.23198096229737</v>
      </c>
      <c r="AM126" s="59">
        <f t="shared" si="59"/>
        <v>542.91426077914798</v>
      </c>
      <c r="AN126" s="59">
        <f ca="1">AVERAGE(OFFSET($AM$3,0,0,'Données projet'!$E$10+1,1))-AVERAGE(OFFSET($H$3,0,0,'Données projet'!$E$10+1,1))</f>
        <v>374.38106339726073</v>
      </c>
      <c r="AO126" s="59">
        <f t="shared" si="90"/>
        <v>296.53283288925957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98.801818376814666</v>
      </c>
      <c r="AV126" s="21">
        <f>EXP(-LN(2)/25)*AV125+(1-EXP(-LN(2)/25))/(LN(2)/25)*Calculateur!AQ126*Calculateur!AS126*VLOOKUP('Données projet'!$B$10,Paramètres!$A$1:$I$89,3,0)*0.475*44/12</f>
        <v>30.731227521346774</v>
      </c>
      <c r="AW126" s="21">
        <f>EXP(-LN(2)/2)*AW125+(1-EXP(-LN(2)/2))/(LN(2)/2)*AQ126*AT126*VLOOKUP('Données projet'!$B$10,Paramètres!$A$1:$I$89,3,0)*0.475*44/12</f>
        <v>12.629967146162498</v>
      </c>
      <c r="AX126" s="21">
        <f t="shared" si="60"/>
        <v>142.16301304432395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1.0818439477588981E-13</v>
      </c>
      <c r="BF126" s="13">
        <f t="shared" si="91"/>
        <v>1.6104228458716316E-12</v>
      </c>
      <c r="BG126" s="20">
        <f t="shared" si="61"/>
        <v>2.9932409441277661E-12</v>
      </c>
      <c r="BH126" s="59">
        <f t="shared" si="62"/>
        <v>282.68227981685368</v>
      </c>
      <c r="BI126" s="59">
        <f ca="1">AVERAGE(OFFSET($BH$3,0,0,'Données projet'!$E$11+1,1))-AVERAGE(OFFSET($H$3,0,0,'Données projet'!$E$11+1,1))</f>
        <v>423.80243030843661</v>
      </c>
      <c r="BJ126" s="59">
        <f t="shared" si="92"/>
        <v>260.29028006191834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43.339161520269542</v>
      </c>
      <c r="BQ126" s="21">
        <f>EXP(-LN(2)/25)*BQ125+(1-EXP(-LN(2)/25))/(LN(2)/25)*Calculateur!BL126*Calculateur!BN126*VLOOKUP('Données projet'!$B$11,Paramètres!$A$1:$I$89,3,0)*0.475*44/12</f>
        <v>42.53479942661702</v>
      </c>
      <c r="BR126" s="21">
        <f>EXP(-LN(2)/2)*BR125+(1-EXP(-LN(2)/2))/(LN(2)/2)*BL126*BO126*VLOOKUP('Données projet'!$B$11,Paramètres!$A$1:$I$89,3,0)*0.475*44/12</f>
        <v>22.928097028458559</v>
      </c>
      <c r="BS126" s="22">
        <f t="shared" si="63"/>
        <v>108.80205797534512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-1.3596945791505279E-13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373.61861223558259</v>
      </c>
      <c r="CE126" s="59">
        <f t="shared" si="94"/>
        <v>277.62293009761049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65.405329464690823</v>
      </c>
      <c r="CL126" s="21">
        <f>EXP(-LN(2)/25)*CL125+(1-EXP(-LN(2)/25))/(LN(2)/25)*Calculateur!CG126*Calculateur!CI126*VLOOKUP('Données projet'!$B$12,Paramètres!$A$1:$I$89,3,0)*0.475*44/12</f>
        <v>15.706938180909917</v>
      </c>
      <c r="CM126" s="21">
        <f>EXP(-LN(2)/2)*CM125+(1-EXP(-LN(2)/2))/(LN(2)/2)*CG126*CJ126*VLOOKUP('Données projet'!$B$12,Paramètres!$A$1:$I$89,3,0)*0.475*44/12</f>
        <v>2.3843869050732387E-5</v>
      </c>
      <c r="CN126" s="22">
        <f t="shared" si="66"/>
        <v>81.112291489469783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2.4829205358400945E-14</v>
      </c>
      <c r="CV126" s="13">
        <f t="shared" si="95"/>
        <v>4.3867331143352915E-13</v>
      </c>
      <c r="CW126" s="20">
        <f t="shared" si="67"/>
        <v>8.0726688341261168E-13</v>
      </c>
      <c r="CX126" s="59">
        <f t="shared" si="68"/>
        <v>282.68227981685146</v>
      </c>
      <c r="CY126" s="59">
        <f ca="1">AVERAGE(OFFSET($CX$3,0,0,'Données projet'!$E$13+1,1))-AVERAGE(OFFSET($H$3,0,0,'Données projet'!$E$13+1,1))</f>
        <v>287.28439432670405</v>
      </c>
      <c r="CZ126" s="59">
        <f t="shared" si="96"/>
        <v>276.01618888357268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14.076524831070705</v>
      </c>
      <c r="DG126" s="21">
        <f>EXP(-LN(2)/25)*DG125+(1-EXP(-LN(2)/25))/(LN(2)/25)*Calculateur!DB126*Calculateur!DD126*VLOOKUP('Données projet'!$B$13,Paramètres!$A$1:$I$89,3,0)*0.475*44/12</f>
        <v>11.078305355432056</v>
      </c>
      <c r="DH126" s="21">
        <f>EXP(-LN(2)/2)*DH125+(1-EXP(-LN(2)/2))/(LN(2)/2)*DB126*DE126*VLOOKUP('Données projet'!$B$13,Paramètres!$A$1:$I$89,3,0)*0.475*44/12</f>
        <v>1.5323394329493919E-5</v>
      </c>
      <c r="DI126" s="22">
        <f t="shared" si="69"/>
        <v>25.15484550989709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9">
        <f t="shared" si="55"/>
        <v>1157.8979293861935</v>
      </c>
      <c r="S127" s="59">
        <f ca="1">AVERAGE(OFFSET($R$3,0,0,'Données projet'!$E$9+1,1))-AVERAGE(OFFSET($H$3,0,0,'Données projet'!$E$9+1,1))</f>
        <v>681.47578137804555</v>
      </c>
      <c r="T127" s="59">
        <f t="shared" si="88"/>
        <v>300.88511065995885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5.7330000000000014</v>
      </c>
      <c r="AI127" s="13">
        <f>IF('Données projet'!$A$62&gt;35,AI126+AH127-AQ126,IF(A127&lt;'Données projet'!$A$62,$AF$205^A127,IF(A127='Données projet'!$A$62,'Données projet'!$B$62,AI126+AH127-AQ126)))</f>
        <v>258.22900000000016</v>
      </c>
      <c r="AJ127" s="13">
        <f>AI127*VLOOKUP('Données projet'!$B$10,Paramètres!$A$1:$I$89,3,0)*VLOOKUP('Données projet'!$B$10,Paramètres!$A$1:$I$89,5,0)</f>
        <v>120.85117200000008</v>
      </c>
      <c r="AK127" s="13">
        <f t="shared" si="89"/>
        <v>31.873439447313004</v>
      </c>
      <c r="AL127" s="20">
        <f t="shared" si="58"/>
        <v>265.99536493740356</v>
      </c>
      <c r="AM127" s="59">
        <f t="shared" si="59"/>
        <v>548.8624167205769</v>
      </c>
      <c r="AN127" s="59">
        <f ca="1">AVERAGE(OFFSET($AM$3,0,0,'Données projet'!$E$10+1,1))-AVERAGE(OFFSET($H$3,0,0,'Données projet'!$E$10+1,1))</f>
        <v>374.38106339726073</v>
      </c>
      <c r="AO127" s="59">
        <f t="shared" si="90"/>
        <v>296.53283288925957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96.864374981604044</v>
      </c>
      <c r="AV127" s="21">
        <f>EXP(-LN(2)/25)*AV126+(1-EXP(-LN(2)/25))/(LN(2)/25)*Calculateur!AQ127*Calculateur!AS127*VLOOKUP('Données projet'!$B$10,Paramètres!$A$1:$I$89,3,0)*0.475*44/12</f>
        <v>29.890880488690527</v>
      </c>
      <c r="AW127" s="21">
        <f>EXP(-LN(2)/2)*AW126+(1-EXP(-LN(2)/2))/(LN(2)/2)*AQ127*AT127*VLOOKUP('Données projet'!$B$10,Paramètres!$A$1:$I$89,3,0)*0.475*44/12</f>
        <v>8.9307354152148104</v>
      </c>
      <c r="AX127" s="21">
        <f t="shared" si="60"/>
        <v>135.68599088550937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1.0818439477588981E-13</v>
      </c>
      <c r="BF127" s="13">
        <f t="shared" si="91"/>
        <v>1.6104228458716316E-12</v>
      </c>
      <c r="BG127" s="20">
        <f t="shared" si="61"/>
        <v>2.9932409441277661E-12</v>
      </c>
      <c r="BH127" s="59">
        <f t="shared" si="62"/>
        <v>282.86705178317635</v>
      </c>
      <c r="BI127" s="59">
        <f ca="1">AVERAGE(OFFSET($BH$3,0,0,'Données projet'!$E$11+1,1))-AVERAGE(OFFSET($H$3,0,0,'Données projet'!$E$11+1,1))</f>
        <v>423.80243030843661</v>
      </c>
      <c r="BJ127" s="59">
        <f t="shared" si="92"/>
        <v>260.29028006191834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42.489306997135415</v>
      </c>
      <c r="BQ127" s="21">
        <f>EXP(-LN(2)/25)*BQ126+(1-EXP(-LN(2)/25))/(LN(2)/25)*Calculateur!BL127*Calculateur!BN127*VLOOKUP('Données projet'!$B$11,Paramètres!$A$1:$I$89,3,0)*0.475*44/12</f>
        <v>41.371683099488294</v>
      </c>
      <c r="BR127" s="21">
        <f>EXP(-LN(2)/2)*BR126+(1-EXP(-LN(2)/2))/(LN(2)/2)*BL127*BO127*VLOOKUP('Données projet'!$B$11,Paramètres!$A$1:$I$89,3,0)*0.475*44/12</f>
        <v>16.212612888526177</v>
      </c>
      <c r="BS127" s="22">
        <f t="shared" si="63"/>
        <v>100.07360298514989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-1.3596945791505279E-13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373.61861223558259</v>
      </c>
      <c r="CE127" s="59">
        <f t="shared" si="94"/>
        <v>277.62293009761049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64.122770847200073</v>
      </c>
      <c r="CL127" s="21">
        <f>EXP(-LN(2)/25)*CL126+(1-EXP(-LN(2)/25))/(LN(2)/25)*Calculateur!CG127*Calculateur!CI127*VLOOKUP('Données projet'!$B$12,Paramètres!$A$1:$I$89,3,0)*0.475*44/12</f>
        <v>15.277431130360956</v>
      </c>
      <c r="CM127" s="21">
        <f>EXP(-LN(2)/2)*CM126+(1-EXP(-LN(2)/2))/(LN(2)/2)*CG127*CJ127*VLOOKUP('Données projet'!$B$12,Paramètres!$A$1:$I$89,3,0)*0.475*44/12</f>
        <v>1.6860161495496918E-5</v>
      </c>
      <c r="CN127" s="22">
        <f t="shared" si="66"/>
        <v>79.40021883772252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2.4829205358400945E-14</v>
      </c>
      <c r="CV127" s="13">
        <f t="shared" si="95"/>
        <v>4.3867331143352915E-13</v>
      </c>
      <c r="CW127" s="20">
        <f t="shared" si="67"/>
        <v>8.0726688341261168E-13</v>
      </c>
      <c r="CX127" s="59">
        <f t="shared" si="68"/>
        <v>282.86705178317413</v>
      </c>
      <c r="CY127" s="59">
        <f ca="1">AVERAGE(OFFSET($CX$3,0,0,'Données projet'!$E$13+1,1))-AVERAGE(OFFSET($H$3,0,0,'Données projet'!$E$13+1,1))</f>
        <v>287.28439432670405</v>
      </c>
      <c r="CZ127" s="59">
        <f t="shared" si="96"/>
        <v>276.01618888357268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13.800492764965774</v>
      </c>
      <c r="DG127" s="21">
        <f>EXP(-LN(2)/25)*DG126+(1-EXP(-LN(2)/25))/(LN(2)/25)*Calculateur!DB127*Calculateur!DD127*VLOOKUP('Données projet'!$B$13,Paramètres!$A$1:$I$89,3,0)*0.475*44/12</f>
        <v>10.775368512905008</v>
      </c>
      <c r="DH127" s="21">
        <f>EXP(-LN(2)/2)*DH126+(1-EXP(-LN(2)/2))/(LN(2)/2)*DB127*DE127*VLOOKUP('Données projet'!$B$13,Paramètres!$A$1:$I$89,3,0)*0.475*44/12</f>
        <v>1.083527604118064E-5</v>
      </c>
      <c r="DI127" s="22">
        <f t="shared" si="69"/>
        <v>24.575872113146822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9">
        <f t="shared" si="55"/>
        <v>1065.5492352306719</v>
      </c>
      <c r="S128" s="59">
        <f ca="1">AVERAGE(OFFSET($R$3,0,0,'Données projet'!$E$9+1,1))-AVERAGE(OFFSET($H$3,0,0,'Données projet'!$E$9+1,1))</f>
        <v>681.47578137804555</v>
      </c>
      <c r="T128" s="59">
        <f t="shared" si="88"/>
        <v>300.88511065995885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5.7330000000000014</v>
      </c>
      <c r="AI128" s="13">
        <f>IF('Données projet'!$A$62&gt;35,AI127+AH128-AQ127,IF(A128&lt;'Données projet'!$A$62,$AF$205^A128,IF(A128='Données projet'!$A$62,'Données projet'!$B$62,AI127+AH128-AQ127)))</f>
        <v>263.96200000000016</v>
      </c>
      <c r="AJ128" s="13">
        <f>AI128*VLOOKUP('Données projet'!$B$10,Paramètres!$A$1:$I$89,3,0)*VLOOKUP('Données projet'!$B$10,Paramètres!$A$1:$I$89,5,0)</f>
        <v>123.53421600000007</v>
      </c>
      <c r="AK128" s="13">
        <f t="shared" si="89"/>
        <v>32.497899461772079</v>
      </c>
      <c r="AL128" s="20">
        <f t="shared" si="58"/>
        <v>271.75593442925316</v>
      </c>
      <c r="AM128" s="59">
        <f t="shared" si="59"/>
        <v>554.80455279822172</v>
      </c>
      <c r="AN128" s="59">
        <f ca="1">AVERAGE(OFFSET($AM$3,0,0,'Données projet'!$E$10+1,1))-AVERAGE(OFFSET($H$3,0,0,'Données projet'!$E$10+1,1))</f>
        <v>374.38106339726073</v>
      </c>
      <c r="AO128" s="59">
        <f t="shared" si="90"/>
        <v>296.53283288925957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94.964923669649721</v>
      </c>
      <c r="AV128" s="21">
        <f>EXP(-LN(2)/25)*AV127+(1-EXP(-LN(2)/25))/(LN(2)/25)*Calculateur!AQ128*Calculateur!AS128*VLOOKUP('Données projet'!$B$10,Paramètres!$A$1:$I$89,3,0)*0.475*44/12</f>
        <v>29.073512789834197</v>
      </c>
      <c r="AW128" s="21">
        <f>EXP(-LN(2)/2)*AW127+(1-EXP(-LN(2)/2))/(LN(2)/2)*AQ128*AT128*VLOOKUP('Données projet'!$B$10,Paramètres!$A$1:$I$89,3,0)*0.475*44/12</f>
        <v>6.3149835730812498</v>
      </c>
      <c r="AX128" s="21">
        <f t="shared" si="60"/>
        <v>130.35342003256517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1.0818439477588981E-13</v>
      </c>
      <c r="BF128" s="13">
        <f t="shared" si="91"/>
        <v>1.6104228458716316E-12</v>
      </c>
      <c r="BG128" s="20">
        <f t="shared" si="61"/>
        <v>2.9932409441277661E-12</v>
      </c>
      <c r="BH128" s="59">
        <f t="shared" si="62"/>
        <v>283.04861836897152</v>
      </c>
      <c r="BI128" s="59">
        <f ca="1">AVERAGE(OFFSET($BH$3,0,0,'Données projet'!$E$11+1,1))-AVERAGE(OFFSET($H$3,0,0,'Données projet'!$E$11+1,1))</f>
        <v>423.80243030843661</v>
      </c>
      <c r="BJ128" s="59">
        <f t="shared" si="92"/>
        <v>260.29028006191834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41.656117602839871</v>
      </c>
      <c r="BQ128" s="21">
        <f>EXP(-LN(2)/25)*BQ127+(1-EXP(-LN(2)/25))/(LN(2)/25)*Calculateur!BL128*Calculateur!BN128*VLOOKUP('Données projet'!$B$11,Paramètres!$A$1:$I$89,3,0)*0.475*44/12</f>
        <v>40.240372249490527</v>
      </c>
      <c r="BR128" s="21">
        <f>EXP(-LN(2)/2)*BR127+(1-EXP(-LN(2)/2))/(LN(2)/2)*BL128*BO128*VLOOKUP('Données projet'!$B$11,Paramètres!$A$1:$I$89,3,0)*0.475*44/12</f>
        <v>11.46404851422928</v>
      </c>
      <c r="BS128" s="22">
        <f t="shared" si="63"/>
        <v>93.36053836655968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-1.3596945791505279E-13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373.61861223558259</v>
      </c>
      <c r="CE128" s="59">
        <f t="shared" si="94"/>
        <v>277.62293009761049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62.865362421914803</v>
      </c>
      <c r="CL128" s="21">
        <f>EXP(-LN(2)/25)*CL127+(1-EXP(-LN(2)/25))/(LN(2)/25)*Calculateur!CG128*Calculateur!CI128*VLOOKUP('Données projet'!$B$12,Paramètres!$A$1:$I$89,3,0)*0.475*44/12</f>
        <v>14.859668972696049</v>
      </c>
      <c r="CM128" s="21">
        <f>EXP(-LN(2)/2)*CM127+(1-EXP(-LN(2)/2))/(LN(2)/2)*CG128*CJ128*VLOOKUP('Données projet'!$B$12,Paramètres!$A$1:$I$89,3,0)*0.475*44/12</f>
        <v>1.1921934525366193E-5</v>
      </c>
      <c r="CN128" s="22">
        <f t="shared" si="66"/>
        <v>77.725043316545381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2.4829205358400945E-14</v>
      </c>
      <c r="CV128" s="13">
        <f t="shared" si="95"/>
        <v>4.3867331143352915E-13</v>
      </c>
      <c r="CW128" s="20">
        <f t="shared" si="67"/>
        <v>8.0726688341261168E-13</v>
      </c>
      <c r="CX128" s="59">
        <f t="shared" si="68"/>
        <v>283.0486183689693</v>
      </c>
      <c r="CY128" s="59">
        <f ca="1">AVERAGE(OFFSET($CX$3,0,0,'Données projet'!$E$13+1,1))-AVERAGE(OFFSET($H$3,0,0,'Données projet'!$E$13+1,1))</f>
        <v>287.28439432670405</v>
      </c>
      <c r="CZ128" s="59">
        <f t="shared" si="96"/>
        <v>276.01618888357268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13.529873519314226</v>
      </c>
      <c r="DG128" s="21">
        <f>EXP(-LN(2)/25)*DG127+(1-EXP(-LN(2)/25))/(LN(2)/25)*Calculateur!DB128*Calculateur!DD128*VLOOKUP('Données projet'!$B$13,Paramètres!$A$1:$I$89,3,0)*0.475*44/12</f>
        <v>10.480715494267617</v>
      </c>
      <c r="DH128" s="21">
        <f>EXP(-LN(2)/2)*DH127+(1-EXP(-LN(2)/2))/(LN(2)/2)*DB128*DE128*VLOOKUP('Données projet'!$B$13,Paramètres!$A$1:$I$89,3,0)*0.475*44/12</f>
        <v>7.6616971647469595E-6</v>
      </c>
      <c r="DI128" s="22">
        <f t="shared" si="69"/>
        <v>24.010596675279007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9">
        <f t="shared" si="55"/>
        <v>1082.8567203626926</v>
      </c>
      <c r="S129" s="59">
        <f ca="1">AVERAGE(OFFSET($R$3,0,0,'Données projet'!$E$9+1,1))-AVERAGE(OFFSET($H$3,0,0,'Données projet'!$E$9+1,1))</f>
        <v>681.47578137804555</v>
      </c>
      <c r="T129" s="59">
        <f t="shared" si="88"/>
        <v>300.88511065995885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5.7330000000000014</v>
      </c>
      <c r="AI129" s="13">
        <f>IF('Données projet'!$A$62&gt;35,AI128+AH129-AQ128,IF(A129&lt;'Données projet'!$A$62,$AF$205^A129,IF(A129='Données projet'!$A$62,'Données projet'!$B$62,AI128+AH129-AQ128)))</f>
        <v>269.69500000000016</v>
      </c>
      <c r="AJ129" s="13">
        <f>AI129*VLOOKUP('Données projet'!$B$10,Paramètres!$A$1:$I$89,3,0)*VLOOKUP('Données projet'!$B$10,Paramètres!$A$1:$I$89,5,0)</f>
        <v>126.21726000000007</v>
      </c>
      <c r="AK129" s="13">
        <f t="shared" si="89"/>
        <v>33.120782644378309</v>
      </c>
      <c r="AL129" s="20">
        <f t="shared" si="58"/>
        <v>277.5137576056257</v>
      </c>
      <c r="AM129" s="59">
        <f t="shared" si="59"/>
        <v>560.7407927860479</v>
      </c>
      <c r="AN129" s="59">
        <f ca="1">AVERAGE(OFFSET($AM$3,0,0,'Données projet'!$E$10+1,1))-AVERAGE(OFFSET($H$3,0,0,'Données projet'!$E$10+1,1))</f>
        <v>374.38106339726073</v>
      </c>
      <c r="AO129" s="59">
        <f t="shared" si="90"/>
        <v>296.53283288925957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93.102719439371924</v>
      </c>
      <c r="AV129" s="21">
        <f>EXP(-LN(2)/25)*AV128+(1-EXP(-LN(2)/25))/(LN(2)/25)*Calculateur!AQ129*Calculateur!AS129*VLOOKUP('Données projet'!$B$10,Paramètres!$A$1:$I$89,3,0)*0.475*44/12</f>
        <v>28.278496053686592</v>
      </c>
      <c r="AW129" s="21">
        <f>EXP(-LN(2)/2)*AW128+(1-EXP(-LN(2)/2))/(LN(2)/2)*AQ129*AT129*VLOOKUP('Données projet'!$B$10,Paramètres!$A$1:$I$89,3,0)*0.475*44/12</f>
        <v>4.4653677076074061</v>
      </c>
      <c r="AX129" s="21">
        <f t="shared" si="60"/>
        <v>125.84658320066592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1.0818439477588981E-13</v>
      </c>
      <c r="BF129" s="13">
        <f t="shared" si="91"/>
        <v>1.6104228458716316E-12</v>
      </c>
      <c r="BG129" s="20">
        <f t="shared" si="61"/>
        <v>2.9932409441277661E-12</v>
      </c>
      <c r="BH129" s="59">
        <f t="shared" si="62"/>
        <v>283.22703518042522</v>
      </c>
      <c r="BI129" s="59">
        <f ca="1">AVERAGE(OFFSET($BH$3,0,0,'Données projet'!$E$11+1,1))-AVERAGE(OFFSET($H$3,0,0,'Données projet'!$E$11+1,1))</f>
        <v>423.80243030843661</v>
      </c>
      <c r="BJ129" s="59">
        <f t="shared" si="92"/>
        <v>260.29028006191834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40.839266544371114</v>
      </c>
      <c r="BQ129" s="21">
        <f>EXP(-LN(2)/25)*BQ128+(1-EXP(-LN(2)/25))/(LN(2)/25)*Calculateur!BL129*Calculateur!BN129*VLOOKUP('Données projet'!$B$11,Paramètres!$A$1:$I$89,3,0)*0.475*44/12</f>
        <v>39.139997154178999</v>
      </c>
      <c r="BR129" s="21">
        <f>EXP(-LN(2)/2)*BR128+(1-EXP(-LN(2)/2))/(LN(2)/2)*BL129*BO129*VLOOKUP('Données projet'!$B$11,Paramètres!$A$1:$I$89,3,0)*0.475*44/12</f>
        <v>8.1063064442630886</v>
      </c>
      <c r="BS129" s="22">
        <f t="shared" si="63"/>
        <v>88.085570142813197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-1.3596945791505279E-13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373.61861223558259</v>
      </c>
      <c r="CE129" s="59">
        <f t="shared" si="94"/>
        <v>277.62293009761049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61.632611008905968</v>
      </c>
      <c r="CL129" s="21">
        <f>EXP(-LN(2)/25)*CL128+(1-EXP(-LN(2)/25))/(LN(2)/25)*Calculateur!CG129*Calculateur!CI129*VLOOKUP('Données projet'!$B$12,Paramètres!$A$1:$I$89,3,0)*0.475*44/12</f>
        <v>14.453330543201647</v>
      </c>
      <c r="CM129" s="21">
        <f>EXP(-LN(2)/2)*CM128+(1-EXP(-LN(2)/2))/(LN(2)/2)*CG129*CJ129*VLOOKUP('Données projet'!$B$12,Paramètres!$A$1:$I$89,3,0)*0.475*44/12</f>
        <v>8.4300807477484592E-6</v>
      </c>
      <c r="CN129" s="22">
        <f t="shared" si="66"/>
        <v>76.085949982188367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2.4829205358400945E-14</v>
      </c>
      <c r="CV129" s="13">
        <f t="shared" si="95"/>
        <v>4.3867331143352915E-13</v>
      </c>
      <c r="CW129" s="20">
        <f t="shared" si="67"/>
        <v>8.0726688341261168E-13</v>
      </c>
      <c r="CX129" s="59">
        <f t="shared" si="68"/>
        <v>283.227035180423</v>
      </c>
      <c r="CY129" s="59">
        <f ca="1">AVERAGE(OFFSET($CX$3,0,0,'Données projet'!$E$13+1,1))-AVERAGE(OFFSET($H$3,0,0,'Données projet'!$E$13+1,1))</f>
        <v>287.28439432670405</v>
      </c>
      <c r="CZ129" s="59">
        <f t="shared" si="96"/>
        <v>276.01618888357268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13.264560952008463</v>
      </c>
      <c r="DG129" s="21">
        <f>EXP(-LN(2)/25)*DG128+(1-EXP(-LN(2)/25))/(LN(2)/25)*Calculateur!DB129*Calculateur!DD129*VLOOKUP('Données projet'!$B$13,Paramètres!$A$1:$I$89,3,0)*0.475*44/12</f>
        <v>10.194119777919996</v>
      </c>
      <c r="DH129" s="21">
        <f>EXP(-LN(2)/2)*DH128+(1-EXP(-LN(2)/2))/(LN(2)/2)*DB129*DE129*VLOOKUP('Données projet'!$B$13,Paramètres!$A$1:$I$89,3,0)*0.475*44/12</f>
        <v>5.41763802059032E-6</v>
      </c>
      <c r="DI129" s="22">
        <f t="shared" si="69"/>
        <v>23.458686147566482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9">
        <f t="shared" si="55"/>
        <v>1100.153702474631</v>
      </c>
      <c r="S130" s="59">
        <f ca="1">AVERAGE(OFFSET($R$3,0,0,'Données projet'!$E$9+1,1))-AVERAGE(OFFSET($H$3,0,0,'Données projet'!$E$9+1,1))</f>
        <v>681.47578137804555</v>
      </c>
      <c r="T130" s="59">
        <f t="shared" si="88"/>
        <v>300.88511065995885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5.7330000000000014</v>
      </c>
      <c r="AI130" s="13">
        <f>IF('Données projet'!$A$62&gt;35,AI129+AH130-AQ129,IF(A130&lt;'Données projet'!$A$62,$AF$205^A130,IF(A130='Données projet'!$A$62,'Données projet'!$B$62,AI129+AH130-AQ129)))</f>
        <v>275.42800000000017</v>
      </c>
      <c r="AJ130" s="13">
        <f>AI130*VLOOKUP('Données projet'!$B$10,Paramètres!$A$1:$I$89,3,0)*VLOOKUP('Données projet'!$B$10,Paramètres!$A$1:$I$89,5,0)</f>
        <v>128.90030400000006</v>
      </c>
      <c r="AK130" s="13">
        <f t="shared" si="89"/>
        <v>33.74212637546124</v>
      </c>
      <c r="AL130" s="20">
        <f t="shared" si="58"/>
        <v>283.26889957059507</v>
      </c>
      <c r="AM130" s="59">
        <f t="shared" si="59"/>
        <v>566.67125642967244</v>
      </c>
      <c r="AN130" s="59">
        <f ca="1">AVERAGE(OFFSET($AM$3,0,0,'Données projet'!$E$10+1,1))-AVERAGE(OFFSET($H$3,0,0,'Données projet'!$E$10+1,1))</f>
        <v>374.38106339726073</v>
      </c>
      <c r="AO130" s="59">
        <f t="shared" si="90"/>
        <v>296.53283288925957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91.277031898217444</v>
      </c>
      <c r="AV130" s="21">
        <f>EXP(-LN(2)/25)*AV129+(1-EXP(-LN(2)/25))/(LN(2)/25)*Calculateur!AQ130*Calculateur!AS130*VLOOKUP('Données projet'!$B$10,Paramètres!$A$1:$I$89,3,0)*0.475*44/12</f>
        <v>27.505219091997056</v>
      </c>
      <c r="AW130" s="21">
        <f>EXP(-LN(2)/2)*AW129+(1-EXP(-LN(2)/2))/(LN(2)/2)*AQ130*AT130*VLOOKUP('Données projet'!$B$10,Paramètres!$A$1:$I$89,3,0)*0.475*44/12</f>
        <v>3.1574917865406258</v>
      </c>
      <c r="AX130" s="21">
        <f t="shared" si="60"/>
        <v>121.93974277675512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1.0818439477588981E-13</v>
      </c>
      <c r="BF130" s="13">
        <f t="shared" si="91"/>
        <v>1.6104228458716316E-12</v>
      </c>
      <c r="BG130" s="20">
        <f t="shared" si="61"/>
        <v>2.9932409441277661E-12</v>
      </c>
      <c r="BH130" s="59">
        <f t="shared" si="62"/>
        <v>283.40235685908044</v>
      </c>
      <c r="BI130" s="59">
        <f ca="1">AVERAGE(OFFSET($BH$3,0,0,'Données projet'!$E$11+1,1))-AVERAGE(OFFSET($H$3,0,0,'Données projet'!$E$11+1,1))</f>
        <v>423.80243030843661</v>
      </c>
      <c r="BJ130" s="59">
        <f t="shared" si="92"/>
        <v>260.29028006191834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40.038433436928983</v>
      </c>
      <c r="BQ130" s="21">
        <f>EXP(-LN(2)/25)*BQ129+(1-EXP(-LN(2)/25))/(LN(2)/25)*Calculateur!BL130*Calculateur!BN130*VLOOKUP('Données projet'!$B$11,Paramètres!$A$1:$I$89,3,0)*0.475*44/12</f>
        <v>38.069711873714979</v>
      </c>
      <c r="BR130" s="21">
        <f>EXP(-LN(2)/2)*BR129+(1-EXP(-LN(2)/2))/(LN(2)/2)*BL130*BO130*VLOOKUP('Données projet'!$B$11,Paramètres!$A$1:$I$89,3,0)*0.475*44/12</f>
        <v>5.7320242571146398</v>
      </c>
      <c r="BS130" s="22">
        <f t="shared" si="63"/>
        <v>83.840169567758608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-1.3596945791505279E-13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373.61861223558259</v>
      </c>
      <c r="CE130" s="59">
        <f t="shared" si="94"/>
        <v>277.62293009761049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60.42403309920212</v>
      </c>
      <c r="CL130" s="21">
        <f>EXP(-LN(2)/25)*CL129+(1-EXP(-LN(2)/25))/(LN(2)/25)*Calculateur!CG130*Calculateur!CI130*VLOOKUP('Données projet'!$B$12,Paramètres!$A$1:$I$89,3,0)*0.475*44/12</f>
        <v>14.058103459430178</v>
      </c>
      <c r="CM130" s="21">
        <f>EXP(-LN(2)/2)*CM129+(1-EXP(-LN(2)/2))/(LN(2)/2)*CG130*CJ130*VLOOKUP('Données projet'!$B$12,Paramètres!$A$1:$I$89,3,0)*0.475*44/12</f>
        <v>5.9609672626830967E-6</v>
      </c>
      <c r="CN130" s="22">
        <f t="shared" si="66"/>
        <v>74.482142519599563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2.4829205358400945E-14</v>
      </c>
      <c r="CV130" s="13">
        <f t="shared" si="95"/>
        <v>4.3867331143352915E-13</v>
      </c>
      <c r="CW130" s="20">
        <f t="shared" si="67"/>
        <v>8.0726688341261168E-13</v>
      </c>
      <c r="CX130" s="59">
        <f t="shared" si="68"/>
        <v>283.40235685907822</v>
      </c>
      <c r="CY130" s="59">
        <f ca="1">AVERAGE(OFFSET($CX$3,0,0,'Données projet'!$E$13+1,1))-AVERAGE(OFFSET($H$3,0,0,'Données projet'!$E$13+1,1))</f>
        <v>287.28439432670405</v>
      </c>
      <c r="CZ130" s="59">
        <f t="shared" si="96"/>
        <v>276.01618888357268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13.004451002322879</v>
      </c>
      <c r="DG130" s="21">
        <f>EXP(-LN(2)/25)*DG129+(1-EXP(-LN(2)/25))/(LN(2)/25)*Calculateur!DB130*Calculateur!DD130*VLOOKUP('Données projet'!$B$13,Paramètres!$A$1:$I$89,3,0)*0.475*44/12</f>
        <v>9.9153610365073135</v>
      </c>
      <c r="DH130" s="21">
        <f>EXP(-LN(2)/2)*DH129+(1-EXP(-LN(2)/2))/(LN(2)/2)*DB130*DE130*VLOOKUP('Données projet'!$B$13,Paramètres!$A$1:$I$89,3,0)*0.475*44/12</f>
        <v>3.8308485823734798E-6</v>
      </c>
      <c r="DI130" s="22">
        <f t="shared" si="69"/>
        <v>22.919815869678779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9">
        <f t="shared" ref="R131:R194" si="109">Q131+(I131+J131)*44/12</f>
        <v>1117.4404122653002</v>
      </c>
      <c r="S131" s="59">
        <f ca="1">AVERAGE(OFFSET($R$3,0,0,'Données projet'!$E$9+1,1))-AVERAGE(OFFSET($H$3,0,0,'Données projet'!$E$9+1,1))</f>
        <v>681.47578137804555</v>
      </c>
      <c r="T131" s="59">
        <f t="shared" si="88"/>
        <v>300.88511065995885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5.7330000000000014</v>
      </c>
      <c r="AI131" s="13">
        <f>IF('Données projet'!$A$62&gt;35,AI130+AH131-AQ130,IF(A131&lt;'Données projet'!$A$62,$AF$205^A131,IF(A131='Données projet'!$A$62,'Données projet'!$B$62,AI130+AH131-AQ130)))</f>
        <v>281.16100000000017</v>
      </c>
      <c r="AJ131" s="13">
        <f>AI131*VLOOKUP('Données projet'!$B$10,Paramètres!$A$1:$I$89,3,0)*VLOOKUP('Données projet'!$B$10,Paramètres!$A$1:$I$89,5,0)</f>
        <v>131.58334800000009</v>
      </c>
      <c r="AK131" s="13">
        <f t="shared" si="89"/>
        <v>34.361966390286234</v>
      </c>
      <c r="AL131" s="20">
        <f t="shared" si="58"/>
        <v>289.02142256308201</v>
      </c>
      <c r="AM131" s="59">
        <f t="shared" si="59"/>
        <v>572.59605966165054</v>
      </c>
      <c r="AN131" s="59">
        <f ca="1">AVERAGE(OFFSET($AM$3,0,0,'Données projet'!$E$10+1,1))-AVERAGE(OFFSET($H$3,0,0,'Données projet'!$E$10+1,1))</f>
        <v>374.38106339726073</v>
      </c>
      <c r="AO131" s="59">
        <f t="shared" si="90"/>
        <v>296.53283288925957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89.487144976185562</v>
      </c>
      <c r="AV131" s="21">
        <f>EXP(-LN(2)/25)*AV130+(1-EXP(-LN(2)/25))/(LN(2)/25)*Calculateur!AQ131*Calculateur!AS131*VLOOKUP('Données projet'!$B$10,Paramètres!$A$1:$I$89,3,0)*0.475*44/12</f>
        <v>26.753087429489788</v>
      </c>
      <c r="AW131" s="21">
        <f>EXP(-LN(2)/2)*AW130+(1-EXP(-LN(2)/2))/(LN(2)/2)*AQ131*AT131*VLOOKUP('Données projet'!$B$10,Paramètres!$A$1:$I$89,3,0)*0.475*44/12</f>
        <v>2.2326838538037035</v>
      </c>
      <c r="AX131" s="21">
        <f t="shared" si="60"/>
        <v>118.47291625947906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1.0818439477588981E-13</v>
      </c>
      <c r="BF131" s="13">
        <f t="shared" si="91"/>
        <v>1.6104228458716316E-12</v>
      </c>
      <c r="BG131" s="20">
        <f t="shared" si="61"/>
        <v>2.9932409441277661E-12</v>
      </c>
      <c r="BH131" s="59">
        <f t="shared" si="62"/>
        <v>283.57463709857154</v>
      </c>
      <c r="BI131" s="59">
        <f ca="1">AVERAGE(OFFSET($BH$3,0,0,'Données projet'!$E$11+1,1))-AVERAGE(OFFSET($H$3,0,0,'Données projet'!$E$11+1,1))</f>
        <v>423.80243030843661</v>
      </c>
      <c r="BJ131" s="59">
        <f t="shared" si="92"/>
        <v>260.29028006191834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39.253304178263825</v>
      </c>
      <c r="BQ131" s="21">
        <f>EXP(-LN(2)/25)*BQ130+(1-EXP(-LN(2)/25))/(LN(2)/25)*Calculateur!BL131*Calculateur!BN131*VLOOKUP('Données projet'!$B$11,Paramètres!$A$1:$I$89,3,0)*0.475*44/12</f>
        <v>37.028693600529103</v>
      </c>
      <c r="BR131" s="21">
        <f>EXP(-LN(2)/2)*BR130+(1-EXP(-LN(2)/2))/(LN(2)/2)*BL131*BO131*VLOOKUP('Données projet'!$B$11,Paramètres!$A$1:$I$89,3,0)*0.475*44/12</f>
        <v>4.0531532221315443</v>
      </c>
      <c r="BS131" s="22">
        <f t="shared" si="63"/>
        <v>80.335151000924469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-1.3596945791505279E-13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373.61861223558259</v>
      </c>
      <c r="CE131" s="59">
        <f t="shared" si="94"/>
        <v>277.62293009761049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59.239154665147829</v>
      </c>
      <c r="CL131" s="21">
        <f>EXP(-LN(2)/25)*CL130+(1-EXP(-LN(2)/25))/(LN(2)/25)*Calculateur!CG131*Calculateur!CI131*VLOOKUP('Données projet'!$B$12,Paramètres!$A$1:$I$89,3,0)*0.475*44/12</f>
        <v>13.673683881048529</v>
      </c>
      <c r="CM131" s="21">
        <f>EXP(-LN(2)/2)*CM130+(1-EXP(-LN(2)/2))/(LN(2)/2)*CG131*CJ131*VLOOKUP('Données projet'!$B$12,Paramètres!$A$1:$I$89,3,0)*0.475*44/12</f>
        <v>4.2150403738742296E-6</v>
      </c>
      <c r="CN131" s="22">
        <f t="shared" si="66"/>
        <v>72.912842761236732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2.4829205358400945E-14</v>
      </c>
      <c r="CV131" s="13">
        <f t="shared" si="95"/>
        <v>4.3867331143352915E-13</v>
      </c>
      <c r="CW131" s="20">
        <f t="shared" si="67"/>
        <v>8.0726688341261168E-13</v>
      </c>
      <c r="CX131" s="59">
        <f t="shared" si="68"/>
        <v>283.57463709856933</v>
      </c>
      <c r="CY131" s="59">
        <f ca="1">AVERAGE(OFFSET($CX$3,0,0,'Données projet'!$E$13+1,1))-AVERAGE(OFFSET($H$3,0,0,'Données projet'!$E$13+1,1))</f>
        <v>287.28439432670405</v>
      </c>
      <c r="CZ131" s="59">
        <f t="shared" si="96"/>
        <v>276.01618888357268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12.749441650099225</v>
      </c>
      <c r="DG131" s="21">
        <f>EXP(-LN(2)/25)*DG130+(1-EXP(-LN(2)/25))/(LN(2)/25)*Calculateur!DB131*Calculateur!DD131*VLOOKUP('Données projet'!$B$13,Paramètres!$A$1:$I$89,3,0)*0.475*44/12</f>
        <v>9.6442249675378466</v>
      </c>
      <c r="DH131" s="21">
        <f>EXP(-LN(2)/2)*DH130+(1-EXP(-LN(2)/2))/(LN(2)/2)*DB131*DE131*VLOOKUP('Données projet'!$B$13,Paramètres!$A$1:$I$89,3,0)*0.475*44/12</f>
        <v>2.70881901029516E-6</v>
      </c>
      <c r="DI131" s="22">
        <f t="shared" si="69"/>
        <v>22.393669326456084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9">
        <f t="shared" si="109"/>
        <v>1134.717071651711</v>
      </c>
      <c r="S132" s="59">
        <f ca="1">AVERAGE(OFFSET($R$3,0,0,'Données projet'!$E$9+1,1))-AVERAGE(OFFSET($H$3,0,0,'Données projet'!$E$9+1,1))</f>
        <v>681.47578137804555</v>
      </c>
      <c r="T132" s="59">
        <f t="shared" si="88"/>
        <v>300.88511065995885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5.7330000000000014</v>
      </c>
      <c r="AI132" s="13">
        <f>IF('Données projet'!$A$62&gt;35,AI131+AH132-AQ131,IF(A132&lt;'Données projet'!$A$62,$AF$205^A132,IF(A132='Données projet'!$A$62,'Données projet'!$B$62,AI131+AH132-AQ131)))</f>
        <v>286.89400000000018</v>
      </c>
      <c r="AJ132" s="13">
        <f>AI132*VLOOKUP('Données projet'!$B$10,Paramètres!$A$1:$I$89,3,0)*VLOOKUP('Données projet'!$B$10,Paramètres!$A$1:$I$89,5,0)</f>
        <v>134.26639200000008</v>
      </c>
      <c r="AK132" s="13">
        <f t="shared" si="89"/>
        <v>34.980336883494694</v>
      </c>
      <c r="AL132" s="20">
        <f t="shared" ref="AL132:AL153" si="112">(AJ132+AK132)*0.475*44/12</f>
        <v>294.77138613875337</v>
      </c>
      <c r="AM132" s="59">
        <f t="shared" ref="AM132:AM195" si="113">AL132+(AD132+AE132)*44/12</f>
        <v>578.51531479981873</v>
      </c>
      <c r="AN132" s="59">
        <f ca="1">AVERAGE(OFFSET($AM$3,0,0,'Données projet'!$E$10+1,1))-AVERAGE(OFFSET($H$3,0,0,'Données projet'!$E$10+1,1))</f>
        <v>374.38106339726073</v>
      </c>
      <c r="AO132" s="59">
        <f t="shared" si="90"/>
        <v>296.53283288925957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87.732356644971503</v>
      </c>
      <c r="AV132" s="21">
        <f>EXP(-LN(2)/25)*AV131+(1-EXP(-LN(2)/25))/(LN(2)/25)*Calculateur!AQ132*Calculateur!AS132*VLOOKUP('Données projet'!$B$10,Paramètres!$A$1:$I$89,3,0)*0.475*44/12</f>
        <v>26.021522846846668</v>
      </c>
      <c r="AW132" s="21">
        <f>EXP(-LN(2)/2)*AW131+(1-EXP(-LN(2)/2))/(LN(2)/2)*AQ132*AT132*VLOOKUP('Données projet'!$B$10,Paramètres!$A$1:$I$89,3,0)*0.475*44/12</f>
        <v>1.5787458932703131</v>
      </c>
      <c r="AX132" s="21">
        <f t="shared" ref="AX132:AX153" si="114">SUM(AU132:AW132)</f>
        <v>115.33262538508848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1.0818439477588981E-13</v>
      </c>
      <c r="BF132" s="13">
        <f t="shared" si="91"/>
        <v>1.6104228458716316E-12</v>
      </c>
      <c r="BG132" s="20">
        <f t="shared" ref="BG132:BG153" si="115">(BE132+BF132)*0.475*44/12</f>
        <v>2.9932409441277661E-12</v>
      </c>
      <c r="BH132" s="59">
        <f t="shared" ref="BH132:BH195" si="116">BG132+(AY132+AZ132)*44/12</f>
        <v>283.74392866106837</v>
      </c>
      <c r="BI132" s="59">
        <f ca="1">AVERAGE(OFFSET($BH$3,0,0,'Données projet'!$E$11+1,1))-AVERAGE(OFFSET($H$3,0,0,'Données projet'!$E$11+1,1))</f>
        <v>423.80243030843661</v>
      </c>
      <c r="BJ132" s="59">
        <f t="shared" si="92"/>
        <v>260.29028006191834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38.483570825479532</v>
      </c>
      <c r="BQ132" s="21">
        <f>EXP(-LN(2)/25)*BQ131+(1-EXP(-LN(2)/25))/(LN(2)/25)*Calculateur!BL132*Calculateur!BN132*VLOOKUP('Données projet'!$B$11,Paramètres!$A$1:$I$89,3,0)*0.475*44/12</f>
        <v>36.016142026768271</v>
      </c>
      <c r="BR132" s="21">
        <f>EXP(-LN(2)/2)*BR131+(1-EXP(-LN(2)/2))/(LN(2)/2)*BL132*BO132*VLOOKUP('Données projet'!$B$11,Paramètres!$A$1:$I$89,3,0)*0.475*44/12</f>
        <v>2.8660121285573199</v>
      </c>
      <c r="BS132" s="22">
        <f t="shared" ref="BS132:BS153" si="117">SUM(BP132:BR132)</f>
        <v>77.365724980805112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-1.3596945791505279E-13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373.61861223558259</v>
      </c>
      <c r="CE132" s="59">
        <f t="shared" si="94"/>
        <v>277.62293009761049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58.077510974480859</v>
      </c>
      <c r="CL132" s="21">
        <f>EXP(-LN(2)/25)*CL131+(1-EXP(-LN(2)/25))/(LN(2)/25)*Calculateur!CG132*Calculateur!CI132*VLOOKUP('Données projet'!$B$12,Paramètres!$A$1:$I$89,3,0)*0.475*44/12</f>
        <v>13.299776276253473</v>
      </c>
      <c r="CM132" s="21">
        <f>EXP(-LN(2)/2)*CM131+(1-EXP(-LN(2)/2))/(LN(2)/2)*CG132*CJ132*VLOOKUP('Données projet'!$B$12,Paramètres!$A$1:$I$89,3,0)*0.475*44/12</f>
        <v>2.9804836313415484E-6</v>
      </c>
      <c r="CN132" s="22">
        <f t="shared" ref="CN132:CN153" si="120">SUM(CK132:CM132)</f>
        <v>71.377290231217955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2.4829205358400945E-14</v>
      </c>
      <c r="CV132" s="13">
        <f t="shared" si="95"/>
        <v>4.3867331143352915E-13</v>
      </c>
      <c r="CW132" s="20">
        <f t="shared" ref="CW132:CW153" si="121">(CU132+CV132)*0.475*44/12</f>
        <v>8.0726688341261168E-13</v>
      </c>
      <c r="CX132" s="59">
        <f t="shared" ref="CX132:CX195" si="122">CW132+(CO132+CP132)*44/12</f>
        <v>283.74392866106615</v>
      </c>
      <c r="CY132" s="59">
        <f ca="1">AVERAGE(OFFSET($CX$3,0,0,'Données projet'!$E$13+1,1))-AVERAGE(OFFSET($H$3,0,0,'Données projet'!$E$13+1,1))</f>
        <v>287.28439432670405</v>
      </c>
      <c r="CZ132" s="59">
        <f t="shared" si="96"/>
        <v>276.01618888357268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12.499432875732332</v>
      </c>
      <c r="DG132" s="21">
        <f>EXP(-LN(2)/25)*DG131+(1-EXP(-LN(2)/25))/(LN(2)/25)*Calculateur!DB132*Calculateur!DD132*VLOOKUP('Données projet'!$B$13,Paramètres!$A$1:$I$89,3,0)*0.475*44/12</f>
        <v>9.3805031286327747</v>
      </c>
      <c r="DH132" s="21">
        <f>EXP(-LN(2)/2)*DH131+(1-EXP(-LN(2)/2))/(LN(2)/2)*DB132*DE132*VLOOKUP('Données projet'!$B$13,Paramètres!$A$1:$I$89,3,0)*0.475*44/12</f>
        <v>1.9154242911867399E-6</v>
      </c>
      <c r="DI132" s="22">
        <f t="shared" ref="DI132:DI153" si="123">SUM(DF132:DH132)</f>
        <v>21.879937919789398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9">
        <f t="shared" si="109"/>
        <v>1151.9838942874203</v>
      </c>
      <c r="S133" s="59">
        <f ca="1">AVERAGE(OFFSET($R$3,0,0,'Données projet'!$E$9+1,1))-AVERAGE(OFFSET($H$3,0,0,'Données projet'!$E$9+1,1))</f>
        <v>681.47578137804555</v>
      </c>
      <c r="T133" s="59">
        <f t="shared" ref="T133:T196" si="142">$T$3</f>
        <v>300.88511065995885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5.7330000000000014</v>
      </c>
      <c r="AI133" s="13">
        <f>IF('Données projet'!$A$62&gt;35,AI132+AH133-AQ132,IF(A133&lt;'Données projet'!$A$62,$AF$205^A133,IF(A133='Données projet'!$A$62,'Données projet'!$B$62,AI132+AH133-AQ132)))</f>
        <v>292.62700000000018</v>
      </c>
      <c r="AJ133" s="13">
        <f>AI133*VLOOKUP('Données projet'!$B$10,Paramètres!$A$1:$I$89,3,0)*VLOOKUP('Données projet'!$B$10,Paramètres!$A$1:$I$89,5,0)</f>
        <v>136.94943600000008</v>
      </c>
      <c r="AK133" s="13">
        <f t="shared" ref="AK133:AK153" si="143">EXP(-1.0587+0.8836*LN(AJ133)+0.284)</f>
        <v>35.59727060496035</v>
      </c>
      <c r="AL133" s="20">
        <f t="shared" si="112"/>
        <v>300.51884733697273</v>
      </c>
      <c r="AM133" s="59">
        <f t="shared" si="113"/>
        <v>584.42913073040484</v>
      </c>
      <c r="AN133" s="59">
        <f ca="1">AVERAGE(OFFSET($AM$3,0,0,'Données projet'!$E$10+1,1))-AVERAGE(OFFSET($H$3,0,0,'Données projet'!$E$10+1,1))</f>
        <v>374.38106339726073</v>
      </c>
      <c r="AO133" s="59">
        <f t="shared" ref="AO133:AO196" si="144">$AO$3</f>
        <v>296.53283288925957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86.01197864261735</v>
      </c>
      <c r="AV133" s="21">
        <f>EXP(-LN(2)/25)*AV132+(1-EXP(-LN(2)/25))/(LN(2)/25)*Calculateur!AQ133*Calculateur!AS133*VLOOKUP('Données projet'!$B$10,Paramètres!$A$1:$I$89,3,0)*0.475*44/12</f>
        <v>25.309962936187233</v>
      </c>
      <c r="AW133" s="21">
        <f>EXP(-LN(2)/2)*AW132+(1-EXP(-LN(2)/2))/(LN(2)/2)*AQ133*AT133*VLOOKUP('Données projet'!$B$10,Paramètres!$A$1:$I$89,3,0)*0.475*44/12</f>
        <v>1.116341926901852</v>
      </c>
      <c r="AX133" s="21">
        <f t="shared" si="114"/>
        <v>112.43828350570644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1.0818439477588981E-13</v>
      </c>
      <c r="BF133" s="13">
        <f t="shared" ref="BF133:BF153" si="145">EXP(-1.0587+0.8836*LN(BE133)+0.284)</f>
        <v>1.6104228458716316E-12</v>
      </c>
      <c r="BG133" s="20">
        <f t="shared" si="115"/>
        <v>2.9932409441277661E-12</v>
      </c>
      <c r="BH133" s="59">
        <f t="shared" si="116"/>
        <v>283.91028339343512</v>
      </c>
      <c r="BI133" s="59">
        <f ca="1">AVERAGE(OFFSET($BH$3,0,0,'Données projet'!$E$11+1,1))-AVERAGE(OFFSET($H$3,0,0,'Données projet'!$E$11+1,1))</f>
        <v>423.80243030843661</v>
      </c>
      <c r="BJ133" s="59">
        <f t="shared" ref="BJ133:BJ196" si="146">$BJ$3</f>
        <v>260.29028006191834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37.728931474252349</v>
      </c>
      <c r="BQ133" s="21">
        <f>EXP(-LN(2)/25)*BQ132+(1-EXP(-LN(2)/25))/(LN(2)/25)*Calculateur!BL133*Calculateur!BN133*VLOOKUP('Données projet'!$B$11,Paramètres!$A$1:$I$89,3,0)*0.475*44/12</f>
        <v>35.031278729039698</v>
      </c>
      <c r="BR133" s="21">
        <f>EXP(-LN(2)/2)*BR132+(1-EXP(-LN(2)/2))/(LN(2)/2)*BL133*BO133*VLOOKUP('Données projet'!$B$11,Paramètres!$A$1:$I$89,3,0)*0.475*44/12</f>
        <v>2.0265766110657721</v>
      </c>
      <c r="BS133" s="22">
        <f t="shared" si="117"/>
        <v>74.786786814357825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-1.3596945791505279E-13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373.61861223558259</v>
      </c>
      <c r="CE133" s="59">
        <f t="shared" ref="CE133:CE196" si="148">$CE$3</f>
        <v>277.62293009761049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56.938646408055178</v>
      </c>
      <c r="CL133" s="21">
        <f>EXP(-LN(2)/25)*CL132+(1-EXP(-LN(2)/25))/(LN(2)/25)*Calculateur!CG133*Calculateur!CI133*VLOOKUP('Données projet'!$B$12,Paramètres!$A$1:$I$89,3,0)*0.475*44/12</f>
        <v>12.936093194574484</v>
      </c>
      <c r="CM133" s="21">
        <f>EXP(-LN(2)/2)*CM132+(1-EXP(-LN(2)/2))/(LN(2)/2)*CG133*CJ133*VLOOKUP('Données projet'!$B$12,Paramètres!$A$1:$I$89,3,0)*0.475*44/12</f>
        <v>2.1075201869371148E-6</v>
      </c>
      <c r="CN133" s="22">
        <f t="shared" si="120"/>
        <v>69.874741710149848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2.4829205358400945E-14</v>
      </c>
      <c r="CV133" s="13">
        <f t="shared" ref="CV133:CV153" si="149">EXP(-1.0587+0.8836*LN(CU133)+0.284)</f>
        <v>4.3867331143352915E-13</v>
      </c>
      <c r="CW133" s="20">
        <f t="shared" si="121"/>
        <v>8.0726688341261168E-13</v>
      </c>
      <c r="CX133" s="59">
        <f t="shared" si="122"/>
        <v>283.91028339343291</v>
      </c>
      <c r="CY133" s="59">
        <f ca="1">AVERAGE(OFFSET($CX$3,0,0,'Données projet'!$E$13+1,1))-AVERAGE(OFFSET($H$3,0,0,'Données projet'!$E$13+1,1))</f>
        <v>287.28439432670405</v>
      </c>
      <c r="CZ133" s="59">
        <f t="shared" ref="CZ133:CZ196" si="150">$CZ$3</f>
        <v>276.01618888357268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12.254326620940477</v>
      </c>
      <c r="DG133" s="21">
        <f>EXP(-LN(2)/25)*DG132+(1-EXP(-LN(2)/25))/(LN(2)/25)*Calculateur!DB133*Calculateur!DD133*VLOOKUP('Données projet'!$B$13,Paramètres!$A$1:$I$89,3,0)*0.475*44/12</f>
        <v>9.1239927772810905</v>
      </c>
      <c r="DH133" s="21">
        <f>EXP(-LN(2)/2)*DH132+(1-EXP(-LN(2)/2))/(LN(2)/2)*DB133*DE133*VLOOKUP('Données projet'!$B$13,Paramètres!$A$1:$I$89,3,0)*0.475*44/12</f>
        <v>1.35440950514758E-6</v>
      </c>
      <c r="DI133" s="22">
        <f t="shared" si="123"/>
        <v>21.378320752631073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9">
        <f t="shared" si="109"/>
        <v>1169.2410860390162</v>
      </c>
      <c r="S134" s="59">
        <f ca="1">AVERAGE(OFFSET($R$3,0,0,'Données projet'!$E$9+1,1))-AVERAGE(OFFSET($H$3,0,0,'Données projet'!$E$9+1,1))</f>
        <v>681.47578137804555</v>
      </c>
      <c r="T134" s="59">
        <f t="shared" si="142"/>
        <v>300.88511065995885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298.36</v>
      </c>
      <c r="AG134" s="12">
        <f>VLOOKUP(A134,'Données projet'!$A$61:$I$81,9,0)</f>
        <v>5.7330000000000014</v>
      </c>
      <c r="AH134" s="12">
        <f t="array" ref="AH134">INDEX(AG:AG,MIN(IF(ISNUMBER(AG134:AG330),ROW(AG134:AG330),"")))</f>
        <v>5.7330000000000014</v>
      </c>
      <c r="AI134" s="13">
        <f>IF('Données projet'!$A$62&gt;35,AI133+AH134-AQ133,IF(A134&lt;'Données projet'!$A$62,$AF$205^A134,IF(A134='Données projet'!$A$62,'Données projet'!$B$62,AI133+AH134-AQ133)))</f>
        <v>298.36000000000018</v>
      </c>
      <c r="AJ134" s="13">
        <f>AI134*VLOOKUP('Données projet'!$B$10,Paramètres!$A$1:$I$89,3,0)*VLOOKUP('Données projet'!$B$10,Paramètres!$A$1:$I$89,5,0)</f>
        <v>139.6324800000001</v>
      </c>
      <c r="AK134" s="13">
        <f t="shared" si="143"/>
        <v>36.212798947921591</v>
      </c>
      <c r="AL134" s="20">
        <f t="shared" si="112"/>
        <v>306.26386083429691</v>
      </c>
      <c r="AM134" s="59">
        <f t="shared" si="113"/>
        <v>590.33761307740269</v>
      </c>
      <c r="AN134" s="59">
        <f ca="1">AVERAGE(OFFSET($AM$3,0,0,'Données projet'!$E$10+1,1))-AVERAGE(OFFSET($H$3,0,0,'Données projet'!$E$10+1,1))</f>
        <v>374.38106339726073</v>
      </c>
      <c r="AO134" s="59">
        <f t="shared" si="144"/>
        <v>296.53283288925957</v>
      </c>
      <c r="AP134" s="15">
        <f>IF(ISNA(VLOOKUP(A134,'Données projet'!$A$61:$I$81,3,0)),0,VLOOKUP(A134,'Données projet'!$A$61:$I$81,3,0))</f>
        <v>8</v>
      </c>
      <c r="AQ134" s="15">
        <f>IF(ISNA(VLOOKUP(A134,'Données projet'!$A$61:$I$81,4,0)),0,VLOOKUP(A134,'Données projet'!$A$61:$I$81,4,0))</f>
        <v>298.36</v>
      </c>
      <c r="AR134" s="16">
        <f>IF(ISNA(VLOOKUP(A134,'Données projet'!$A$61:$I$81,5,0)),0%,VLOOKUP(A134,'Données projet'!$A$61:$I$81,5,0)*VLOOKUP('Données projet'!$B$10,Paramètres!$A$1:$I$89,7,0))</f>
        <v>0.33</v>
      </c>
      <c r="AS134" s="16">
        <f>IF(ISNA(VLOOKUP(A134,'Données projet'!$A$61:$I$81,6,0)),0%,VLOOKUP(A134,'Données projet'!$A$61:$I$81,6,0)*VLOOKUP('Données projet'!$B$10,Paramètres!$A$1:$I$89,7,0))</f>
        <v>0.11000000000000001</v>
      </c>
      <c r="AT134" s="16">
        <f>IF(ISNA(VLOOKUP(A134,'Données projet'!$A$61:$I$81,7,0)),0%,VLOOKUP(A134,'Données projet'!$A$61:$I$81,7,0))</f>
        <v>0.2</v>
      </c>
      <c r="AU134" s="21">
        <f>EXP(-LN(2)/35)*AU133+(1-EXP(-LN(2)/35))/(LN(2)/35)*AQ134*AR134*VLOOKUP('Données projet'!$B$10,Paramètres!$A$1:$I$89,3,0)*0.475*44/12</f>
        <v>145.4517261852103</v>
      </c>
      <c r="AV134" s="21">
        <f>EXP(-LN(2)/25)*AV133+(1-EXP(-LN(2)/25))/(LN(2)/25)*Calculateur!AQ134*Calculateur!AS134*VLOOKUP('Données projet'!$B$10,Paramètres!$A$1:$I$89,3,0)*0.475*44/12</f>
        <v>44.913098033140628</v>
      </c>
      <c r="AW134" s="21">
        <f>EXP(-LN(2)/2)*AW133+(1-EXP(-LN(2)/2))/(LN(2)/2)*AQ134*AT134*VLOOKUP('Données projet'!$B$10,Paramètres!$A$1:$I$89,3,0)*0.475*44/12</f>
        <v>32.408653674578815</v>
      </c>
      <c r="AX134" s="21">
        <f t="shared" si="114"/>
        <v>222.77347789292975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1.0818439477588981E-13</v>
      </c>
      <c r="BF134" s="13">
        <f t="shared" si="145"/>
        <v>1.6104228458716316E-12</v>
      </c>
      <c r="BG134" s="20">
        <f t="shared" si="115"/>
        <v>2.9932409441277661E-12</v>
      </c>
      <c r="BH134" s="59">
        <f t="shared" si="116"/>
        <v>284.07375224310874</v>
      </c>
      <c r="BI134" s="59">
        <f ca="1">AVERAGE(OFFSET($BH$3,0,0,'Données projet'!$E$11+1,1))-AVERAGE(OFFSET($H$3,0,0,'Données projet'!$E$11+1,1))</f>
        <v>423.80243030843661</v>
      </c>
      <c r="BJ134" s="59">
        <f t="shared" si="146"/>
        <v>260.29028006191834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36.989090140418178</v>
      </c>
      <c r="BQ134" s="21">
        <f>EXP(-LN(2)/25)*BQ133+(1-EXP(-LN(2)/25))/(LN(2)/25)*Calculateur!BL134*Calculateur!BN134*VLOOKUP('Données projet'!$B$11,Paramètres!$A$1:$I$89,3,0)*0.475*44/12</f>
        <v>34.073346569979222</v>
      </c>
      <c r="BR134" s="21">
        <f>EXP(-LN(2)/2)*BR133+(1-EXP(-LN(2)/2))/(LN(2)/2)*BL134*BO134*VLOOKUP('Données projet'!$B$11,Paramètres!$A$1:$I$89,3,0)*0.475*44/12</f>
        <v>1.43300606427866</v>
      </c>
      <c r="BS134" s="22">
        <f t="shared" si="117"/>
        <v>72.495442774676064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-1.3596945791505279E-13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373.61861223558259</v>
      </c>
      <c r="CE134" s="59">
        <f t="shared" si="148"/>
        <v>277.62293009761049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55.822114281138305</v>
      </c>
      <c r="CL134" s="21">
        <f>EXP(-LN(2)/25)*CL133+(1-EXP(-LN(2)/25))/(LN(2)/25)*Calculateur!CG134*Calculateur!CI134*VLOOKUP('Données projet'!$B$12,Paramètres!$A$1:$I$89,3,0)*0.475*44/12</f>
        <v>12.582355045889269</v>
      </c>
      <c r="CM134" s="21">
        <f>EXP(-LN(2)/2)*CM133+(1-EXP(-LN(2)/2))/(LN(2)/2)*CG134*CJ134*VLOOKUP('Données projet'!$B$12,Paramètres!$A$1:$I$89,3,0)*0.475*44/12</f>
        <v>1.4902418156707742E-6</v>
      </c>
      <c r="CN134" s="22">
        <f t="shared" si="120"/>
        <v>68.404470817269384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2.4829205358400945E-14</v>
      </c>
      <c r="CV134" s="13">
        <f t="shared" si="149"/>
        <v>4.3867331143352915E-13</v>
      </c>
      <c r="CW134" s="20">
        <f t="shared" si="121"/>
        <v>8.0726688341261168E-13</v>
      </c>
      <c r="CX134" s="59">
        <f t="shared" si="122"/>
        <v>284.07375224310653</v>
      </c>
      <c r="CY134" s="59">
        <f ca="1">AVERAGE(OFFSET($CX$3,0,0,'Données projet'!$E$13+1,1))-AVERAGE(OFFSET($H$3,0,0,'Données projet'!$E$13+1,1))</f>
        <v>287.28439432670405</v>
      </c>
      <c r="CZ134" s="59">
        <f t="shared" si="150"/>
        <v>276.01618888357268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12.014026750305037</v>
      </c>
      <c r="DG134" s="21">
        <f>EXP(-LN(2)/25)*DG133+(1-EXP(-LN(2)/25))/(LN(2)/25)*Calculateur!DB134*Calculateur!DD134*VLOOKUP('Données projet'!$B$13,Paramètres!$A$1:$I$89,3,0)*0.475*44/12</f>
        <v>8.8744967149764129</v>
      </c>
      <c r="DH134" s="21">
        <f>EXP(-LN(2)/2)*DH133+(1-EXP(-LN(2)/2))/(LN(2)/2)*DB134*DE134*VLOOKUP('Données projet'!$B$13,Paramètres!$A$1:$I$89,3,0)*0.475*44/12</f>
        <v>9.5771214559336994E-7</v>
      </c>
      <c r="DI134" s="22">
        <f t="shared" si="123"/>
        <v>20.888524422993598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9">
        <f t="shared" si="109"/>
        <v>1186.488845424941</v>
      </c>
      <c r="S135" s="59">
        <f ca="1">AVERAGE(OFFSET($R$3,0,0,'Données projet'!$E$9+1,1))-AVERAGE(OFFSET($H$3,0,0,'Données projet'!$E$9+1,1))</f>
        <v>681.47578137804555</v>
      </c>
      <c r="T135" s="59">
        <f t="shared" si="142"/>
        <v>300.88511065995885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1.7053025658242404E-13</v>
      </c>
      <c r="AJ135" s="13">
        <f>AI135*VLOOKUP('Données projet'!$B$10,Paramètres!$A$1:$I$89,3,0)*VLOOKUP('Données projet'!$B$10,Paramètres!$A$1:$I$89,5,0)</f>
        <v>7.9808160080574461E-14</v>
      </c>
      <c r="AK135" s="13">
        <f t="shared" si="143"/>
        <v>1.2308384591775343E-12</v>
      </c>
      <c r="AL135" s="20">
        <f t="shared" si="112"/>
        <v>2.282709528541206E-12</v>
      </c>
      <c r="AM135" s="59">
        <f t="shared" si="113"/>
        <v>284.23438527370143</v>
      </c>
      <c r="AN135" s="59">
        <f ca="1">AVERAGE(OFFSET($AM$3,0,0,'Données projet'!$E$10+1,1))-AVERAGE(OFFSET($H$3,0,0,'Données projet'!$E$10+1,1))</f>
        <v>374.38106339726073</v>
      </c>
      <c r="AO135" s="59">
        <f t="shared" si="144"/>
        <v>296.53283288925957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142.59950655151124</v>
      </c>
      <c r="AV135" s="21">
        <f>EXP(-LN(2)/25)*AV134+(1-EXP(-LN(2)/25))/(LN(2)/25)*Calculateur!AQ135*Calculateur!AS135*VLOOKUP('Données projet'!$B$10,Paramètres!$A$1:$I$89,3,0)*0.475*44/12</f>
        <v>43.684947005547222</v>
      </c>
      <c r="AW135" s="21">
        <f>EXP(-LN(2)/2)*AW134+(1-EXP(-LN(2)/2))/(LN(2)/2)*AQ135*AT135*VLOOKUP('Données projet'!$B$10,Paramètres!$A$1:$I$89,3,0)*0.475*44/12</f>
        <v>22.916378782421003</v>
      </c>
      <c r="AX135" s="21">
        <f t="shared" si="114"/>
        <v>209.20083233947946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1.0818439477588981E-13</v>
      </c>
      <c r="BF135" s="13">
        <f t="shared" si="145"/>
        <v>1.6104228458716316E-12</v>
      </c>
      <c r="BG135" s="20">
        <f t="shared" si="115"/>
        <v>2.9932409441277661E-12</v>
      </c>
      <c r="BH135" s="59">
        <f t="shared" si="116"/>
        <v>284.23438527370217</v>
      </c>
      <c r="BI135" s="59">
        <f ca="1">AVERAGE(OFFSET($BH$3,0,0,'Données projet'!$E$11+1,1))-AVERAGE(OFFSET($H$3,0,0,'Données projet'!$E$11+1,1))</f>
        <v>423.80243030843661</v>
      </c>
      <c r="BJ135" s="59">
        <f t="shared" si="146"/>
        <v>260.29028006191834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36.263756643881834</v>
      </c>
      <c r="BQ135" s="21">
        <f>EXP(-LN(2)/25)*BQ134+(1-EXP(-LN(2)/25))/(LN(2)/25)*Calculateur!BL135*Calculateur!BN135*VLOOKUP('Données projet'!$B$11,Paramètres!$A$1:$I$89,3,0)*0.475*44/12</f>
        <v>33.141609116183723</v>
      </c>
      <c r="BR135" s="21">
        <f>EXP(-LN(2)/2)*BR134+(1-EXP(-LN(2)/2))/(LN(2)/2)*BL135*BO135*VLOOKUP('Données projet'!$B$11,Paramètres!$A$1:$I$89,3,0)*0.475*44/12</f>
        <v>1.0132883055328861</v>
      </c>
      <c r="BS135" s="22">
        <f t="shared" si="117"/>
        <v>70.418654065598446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-1.3596945791505279E-13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373.61861223558259</v>
      </c>
      <c r="CE135" s="59">
        <f t="shared" si="148"/>
        <v>277.62293009761049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54.727476668212923</v>
      </c>
      <c r="CL135" s="21">
        <f>EXP(-LN(2)/25)*CL134+(1-EXP(-LN(2)/25))/(LN(2)/25)*Calculateur!CG135*Calculateur!CI135*VLOOKUP('Données projet'!$B$12,Paramètres!$A$1:$I$89,3,0)*0.475*44/12</f>
        <v>12.238289885482132</v>
      </c>
      <c r="CM135" s="21">
        <f>EXP(-LN(2)/2)*CM134+(1-EXP(-LN(2)/2))/(LN(2)/2)*CG135*CJ135*VLOOKUP('Données projet'!$B$12,Paramètres!$A$1:$I$89,3,0)*0.475*44/12</f>
        <v>1.0537600934685574E-6</v>
      </c>
      <c r="CN135" s="22">
        <f t="shared" si="120"/>
        <v>66.965767607455149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2.4829205358400945E-14</v>
      </c>
      <c r="CV135" s="13">
        <f t="shared" si="149"/>
        <v>4.3867331143352915E-13</v>
      </c>
      <c r="CW135" s="20">
        <f t="shared" si="121"/>
        <v>8.0726688341261168E-13</v>
      </c>
      <c r="CX135" s="59">
        <f t="shared" si="122"/>
        <v>284.23438527369996</v>
      </c>
      <c r="CY135" s="59">
        <f ca="1">AVERAGE(OFFSET($CX$3,0,0,'Données projet'!$E$13+1,1))-AVERAGE(OFFSET($H$3,0,0,'Données projet'!$E$13+1,1))</f>
        <v>287.28439432670405</v>
      </c>
      <c r="CZ135" s="59">
        <f t="shared" si="150"/>
        <v>276.01618888357268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11.778439013564309</v>
      </c>
      <c r="DG135" s="21">
        <f>EXP(-LN(2)/25)*DG134+(1-EXP(-LN(2)/25))/(LN(2)/25)*Calculateur!DB135*Calculateur!DD135*VLOOKUP('Données projet'!$B$13,Paramètres!$A$1:$I$89,3,0)*0.475*44/12</f>
        <v>8.6318231356158837</v>
      </c>
      <c r="DH135" s="21">
        <f>EXP(-LN(2)/2)*DH134+(1-EXP(-LN(2)/2))/(LN(2)/2)*DB135*DE135*VLOOKUP('Données projet'!$B$13,Paramètres!$A$1:$I$89,3,0)*0.475*44/12</f>
        <v>6.7720475257379E-7</v>
      </c>
      <c r="DI135" s="22">
        <f t="shared" si="123"/>
        <v>20.410262826384944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9">
        <f t="shared" si="109"/>
        <v>1203.7273640203548</v>
      </c>
      <c r="S136" s="59">
        <f ca="1">AVERAGE(OFFSET($R$3,0,0,'Données projet'!$E$9+1,1))-AVERAGE(OFFSET($H$3,0,0,'Données projet'!$E$9+1,1))</f>
        <v>681.47578137804555</v>
      </c>
      <c r="T136" s="59">
        <f t="shared" si="142"/>
        <v>300.88511065995885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1.7053025658242404E-13</v>
      </c>
      <c r="AJ136" s="13">
        <f>AI136*VLOOKUP('Données projet'!$B$10,Paramètres!$A$1:$I$89,3,0)*VLOOKUP('Données projet'!$B$10,Paramètres!$A$1:$I$89,5,0)</f>
        <v>7.9808160080574461E-14</v>
      </c>
      <c r="AK136" s="13">
        <f t="shared" si="143"/>
        <v>1.2308384591775343E-12</v>
      </c>
      <c r="AL136" s="20">
        <f t="shared" si="112"/>
        <v>2.282709528541206E-12</v>
      </c>
      <c r="AM136" s="59">
        <f t="shared" si="113"/>
        <v>284.39223168033567</v>
      </c>
      <c r="AN136" s="59">
        <f ca="1">AVERAGE(OFFSET($AM$3,0,0,'Données projet'!$E$10+1,1))-AVERAGE(OFFSET($H$3,0,0,'Données projet'!$E$10+1,1))</f>
        <v>374.38106339726073</v>
      </c>
      <c r="AO136" s="59">
        <f t="shared" si="144"/>
        <v>296.53283288925957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139.80321720514684</v>
      </c>
      <c r="AV136" s="21">
        <f>EXP(-LN(2)/25)*AV135+(1-EXP(-LN(2)/25))/(LN(2)/25)*Calculateur!AQ136*Calculateur!AS136*VLOOKUP('Données projet'!$B$10,Paramètres!$A$1:$I$89,3,0)*0.475*44/12</f>
        <v>42.490379832389017</v>
      </c>
      <c r="AW136" s="21">
        <f>EXP(-LN(2)/2)*AW135+(1-EXP(-LN(2)/2))/(LN(2)/2)*AQ136*AT136*VLOOKUP('Données projet'!$B$10,Paramètres!$A$1:$I$89,3,0)*0.475*44/12</f>
        <v>16.204326837289408</v>
      </c>
      <c r="AX136" s="21">
        <f t="shared" si="114"/>
        <v>198.49792387482526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1.0818439477588981E-13</v>
      </c>
      <c r="BF136" s="13">
        <f t="shared" si="145"/>
        <v>1.6104228458716316E-12</v>
      </c>
      <c r="BG136" s="20">
        <f t="shared" si="115"/>
        <v>2.9932409441277661E-12</v>
      </c>
      <c r="BH136" s="59">
        <f t="shared" si="116"/>
        <v>284.39223168033641</v>
      </c>
      <c r="BI136" s="59">
        <f ca="1">AVERAGE(OFFSET($BH$3,0,0,'Données projet'!$E$11+1,1))-AVERAGE(OFFSET($H$3,0,0,'Données projet'!$E$11+1,1))</f>
        <v>423.80243030843661</v>
      </c>
      <c r="BJ136" s="59">
        <f t="shared" si="146"/>
        <v>260.29028006191834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35.552646494802822</v>
      </c>
      <c r="BQ136" s="21">
        <f>EXP(-LN(2)/25)*BQ135+(1-EXP(-LN(2)/25))/(LN(2)/25)*Calculateur!BL136*Calculateur!BN136*VLOOKUP('Données projet'!$B$11,Paramètres!$A$1:$I$89,3,0)*0.475*44/12</f>
        <v>32.2353500720602</v>
      </c>
      <c r="BR136" s="21">
        <f>EXP(-LN(2)/2)*BR135+(1-EXP(-LN(2)/2))/(LN(2)/2)*BL136*BO136*VLOOKUP('Données projet'!$B$11,Paramètres!$A$1:$I$89,3,0)*0.475*44/12</f>
        <v>0.71650303213932998</v>
      </c>
      <c r="BS136" s="22">
        <f t="shared" si="117"/>
        <v>68.504499599002358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-1.3596945791505279E-13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373.61861223558259</v>
      </c>
      <c r="CE136" s="59">
        <f t="shared" si="148"/>
        <v>277.62293009761049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53.654304231213985</v>
      </c>
      <c r="CL136" s="21">
        <f>EXP(-LN(2)/25)*CL135+(1-EXP(-LN(2)/25))/(LN(2)/25)*Calculateur!CG136*Calculateur!CI136*VLOOKUP('Données projet'!$B$12,Paramètres!$A$1:$I$89,3,0)*0.475*44/12</f>
        <v>11.903633204979929</v>
      </c>
      <c r="CM136" s="21">
        <f>EXP(-LN(2)/2)*CM135+(1-EXP(-LN(2)/2))/(LN(2)/2)*CG136*CJ136*VLOOKUP('Données projet'!$B$12,Paramètres!$A$1:$I$89,3,0)*0.475*44/12</f>
        <v>7.4512090783538709E-7</v>
      </c>
      <c r="CN136" s="22">
        <f t="shared" si="120"/>
        <v>65.557938181314825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2.4829205358400945E-14</v>
      </c>
      <c r="CV136" s="13">
        <f t="shared" si="149"/>
        <v>4.3867331143352915E-13</v>
      </c>
      <c r="CW136" s="20">
        <f t="shared" si="121"/>
        <v>8.0726688341261168E-13</v>
      </c>
      <c r="CX136" s="59">
        <f t="shared" si="122"/>
        <v>284.39223168033419</v>
      </c>
      <c r="CY136" s="59">
        <f ca="1">AVERAGE(OFFSET($CX$3,0,0,'Données projet'!$E$13+1,1))-AVERAGE(OFFSET($H$3,0,0,'Données projet'!$E$13+1,1))</f>
        <v>287.28439432670405</v>
      </c>
      <c r="CZ136" s="59">
        <f t="shared" si="150"/>
        <v>276.01618888357268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11.547471008646736</v>
      </c>
      <c r="DG136" s="21">
        <f>EXP(-LN(2)/25)*DG135+(1-EXP(-LN(2)/25))/(LN(2)/25)*Calculateur!DB136*Calculateur!DD136*VLOOKUP('Données projet'!$B$13,Paramètres!$A$1:$I$89,3,0)*0.475*44/12</f>
        <v>8.3957854780446173</v>
      </c>
      <c r="DH136" s="21">
        <f>EXP(-LN(2)/2)*DH135+(1-EXP(-LN(2)/2))/(LN(2)/2)*DB136*DE136*VLOOKUP('Données projet'!$B$13,Paramètres!$A$1:$I$89,3,0)*0.475*44/12</f>
        <v>4.7885607279668497E-7</v>
      </c>
      <c r="DI136" s="22">
        <f t="shared" si="123"/>
        <v>19.943256965547427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9">
        <f t="shared" si="109"/>
        <v>1220.9568268313151</v>
      </c>
      <c r="S137" s="59">
        <f ca="1">AVERAGE(OFFSET($R$3,0,0,'Données projet'!$E$9+1,1))-AVERAGE(OFFSET($H$3,0,0,'Données projet'!$E$9+1,1))</f>
        <v>681.47578137804555</v>
      </c>
      <c r="T137" s="59">
        <f t="shared" si="142"/>
        <v>300.88511065995885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1.7053025658242404E-13</v>
      </c>
      <c r="AJ137" s="13">
        <f>AI137*VLOOKUP('Données projet'!$B$10,Paramètres!$A$1:$I$89,3,0)*VLOOKUP('Données projet'!$B$10,Paramètres!$A$1:$I$89,5,0)</f>
        <v>7.9808160080574461E-14</v>
      </c>
      <c r="AK137" s="13">
        <f t="shared" si="143"/>
        <v>1.2308384591775343E-12</v>
      </c>
      <c r="AL137" s="20">
        <f t="shared" si="112"/>
        <v>2.282709528541206E-12</v>
      </c>
      <c r="AM137" s="59">
        <f t="shared" si="113"/>
        <v>284.54733980470655</v>
      </c>
      <c r="AN137" s="59">
        <f ca="1">AVERAGE(OFFSET($AM$3,0,0,'Données projet'!$E$10+1,1))-AVERAGE(OFFSET($H$3,0,0,'Données projet'!$E$10+1,1))</f>
        <v>374.38106339726073</v>
      </c>
      <c r="AO137" s="59">
        <f t="shared" si="144"/>
        <v>296.53283288925957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137.06176138729654</v>
      </c>
      <c r="AV137" s="21">
        <f>EXP(-LN(2)/25)*AV136+(1-EXP(-LN(2)/25))/(LN(2)/25)*Calculateur!AQ137*Calculateur!AS137*VLOOKUP('Données projet'!$B$10,Paramètres!$A$1:$I$89,3,0)*0.475*44/12</f>
        <v>41.328478161400376</v>
      </c>
      <c r="AW137" s="21">
        <f>EXP(-LN(2)/2)*AW136+(1-EXP(-LN(2)/2))/(LN(2)/2)*AQ137*AT137*VLOOKUP('Données projet'!$B$10,Paramètres!$A$1:$I$89,3,0)*0.475*44/12</f>
        <v>11.458189391210501</v>
      </c>
      <c r="AX137" s="21">
        <f t="shared" si="114"/>
        <v>189.84842893990742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1.0818439477588981E-13</v>
      </c>
      <c r="BF137" s="13">
        <f t="shared" si="145"/>
        <v>1.6104228458716316E-12</v>
      </c>
      <c r="BG137" s="20">
        <f t="shared" si="115"/>
        <v>2.9932409441277661E-12</v>
      </c>
      <c r="BH137" s="59">
        <f t="shared" si="116"/>
        <v>284.54733980470729</v>
      </c>
      <c r="BI137" s="59">
        <f ca="1">AVERAGE(OFFSET($BH$3,0,0,'Données projet'!$E$11+1,1))-AVERAGE(OFFSET($H$3,0,0,'Données projet'!$E$11+1,1))</f>
        <v>423.80243030843661</v>
      </c>
      <c r="BJ137" s="59">
        <f t="shared" si="146"/>
        <v>260.29028006191834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34.85548078201289</v>
      </c>
      <c r="BQ137" s="21">
        <f>EXP(-LN(2)/25)*BQ136+(1-EXP(-LN(2)/25))/(LN(2)/25)*Calculateur!BL137*Calculateur!BN137*VLOOKUP('Données projet'!$B$11,Paramètres!$A$1:$I$89,3,0)*0.475*44/12</f>
        <v>31.353872729156329</v>
      </c>
      <c r="BR137" s="21">
        <f>EXP(-LN(2)/2)*BR136+(1-EXP(-LN(2)/2))/(LN(2)/2)*BL137*BO137*VLOOKUP('Données projet'!$B$11,Paramètres!$A$1:$I$89,3,0)*0.475*44/12</f>
        <v>0.50664415276644303</v>
      </c>
      <c r="BS137" s="22">
        <f t="shared" si="117"/>
        <v>66.715997663935653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-1.3596945791505279E-13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373.61861223558259</v>
      </c>
      <c r="CE137" s="59">
        <f t="shared" si="148"/>
        <v>277.62293009761049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52.602176051134045</v>
      </c>
      <c r="CL137" s="21">
        <f>EXP(-LN(2)/25)*CL136+(1-EXP(-LN(2)/25))/(LN(2)/25)*Calculateur!CG137*Calculateur!CI137*VLOOKUP('Données projet'!$B$12,Paramètres!$A$1:$I$89,3,0)*0.475*44/12</f>
        <v>11.578127729004889</v>
      </c>
      <c r="CM137" s="21">
        <f>EXP(-LN(2)/2)*CM136+(1-EXP(-LN(2)/2))/(LN(2)/2)*CG137*CJ137*VLOOKUP('Données projet'!$B$12,Paramètres!$A$1:$I$89,3,0)*0.475*44/12</f>
        <v>5.268800467342787E-7</v>
      </c>
      <c r="CN137" s="22">
        <f t="shared" si="120"/>
        <v>64.180304307018972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2.4829205358400945E-14</v>
      </c>
      <c r="CV137" s="13">
        <f t="shared" si="149"/>
        <v>4.3867331143352915E-13</v>
      </c>
      <c r="CW137" s="20">
        <f t="shared" si="121"/>
        <v>8.0726688341261168E-13</v>
      </c>
      <c r="CX137" s="59">
        <f t="shared" si="122"/>
        <v>284.54733980470508</v>
      </c>
      <c r="CY137" s="59">
        <f ca="1">AVERAGE(OFFSET($CX$3,0,0,'Données projet'!$E$13+1,1))-AVERAGE(OFFSET($H$3,0,0,'Données projet'!$E$13+1,1))</f>
        <v>287.28439432670405</v>
      </c>
      <c r="CZ137" s="59">
        <f t="shared" si="150"/>
        <v>276.01618888357268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11.321032145429024</v>
      </c>
      <c r="DG137" s="21">
        <f>EXP(-LN(2)/25)*DG136+(1-EXP(-LN(2)/25))/(LN(2)/25)*Calculateur!DB137*Calculateur!DD137*VLOOKUP('Données projet'!$B$13,Paramètres!$A$1:$I$89,3,0)*0.475*44/12</f>
        <v>8.1662022826323177</v>
      </c>
      <c r="DH137" s="21">
        <f>EXP(-LN(2)/2)*DH136+(1-EXP(-LN(2)/2))/(LN(2)/2)*DB137*DE137*VLOOKUP('Données projet'!$B$13,Paramètres!$A$1:$I$89,3,0)*0.475*44/12</f>
        <v>3.38602376286895E-7</v>
      </c>
      <c r="DI137" s="22">
        <f t="shared" si="123"/>
        <v>19.487234766663718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9">
        <f t="shared" si="109"/>
        <v>1123.3099582720315</v>
      </c>
      <c r="S138" s="59">
        <f ca="1">AVERAGE(OFFSET($R$3,0,0,'Données projet'!$E$9+1,1))-AVERAGE(OFFSET($H$3,0,0,'Données projet'!$E$9+1,1))</f>
        <v>681.47578137804555</v>
      </c>
      <c r="T138" s="59">
        <f t="shared" si="142"/>
        <v>300.88511065995885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1.7053025658242404E-13</v>
      </c>
      <c r="AJ138" s="13">
        <f>AI138*VLOOKUP('Données projet'!$B$10,Paramètres!$A$1:$I$89,3,0)*VLOOKUP('Données projet'!$B$10,Paramètres!$A$1:$I$89,5,0)</f>
        <v>7.9808160080574461E-14</v>
      </c>
      <c r="AK138" s="13">
        <f t="shared" si="143"/>
        <v>1.2308384591775343E-12</v>
      </c>
      <c r="AL138" s="20">
        <f t="shared" si="112"/>
        <v>2.282709528541206E-12</v>
      </c>
      <c r="AM138" s="59">
        <f t="shared" si="113"/>
        <v>284.69975714988942</v>
      </c>
      <c r="AN138" s="59">
        <f ca="1">AVERAGE(OFFSET($AM$3,0,0,'Données projet'!$E$10+1,1))-AVERAGE(OFFSET($H$3,0,0,'Données projet'!$E$10+1,1))</f>
        <v>374.38106339726073</v>
      </c>
      <c r="AO138" s="59">
        <f t="shared" si="144"/>
        <v>296.53283288925957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134.37406384591134</v>
      </c>
      <c r="AV138" s="21">
        <f>EXP(-LN(2)/25)*AV137+(1-EXP(-LN(2)/25))/(LN(2)/25)*Calculateur!AQ138*Calculateur!AS138*VLOOKUP('Données projet'!$B$10,Paramètres!$A$1:$I$89,3,0)*0.475*44/12</f>
        <v>40.198348752706671</v>
      </c>
      <c r="AW138" s="21">
        <f>EXP(-LN(2)/2)*AW137+(1-EXP(-LN(2)/2))/(LN(2)/2)*AQ138*AT138*VLOOKUP('Données projet'!$B$10,Paramètres!$A$1:$I$89,3,0)*0.475*44/12</f>
        <v>8.1021634186447038</v>
      </c>
      <c r="AX138" s="21">
        <f t="shared" si="114"/>
        <v>182.67457601726269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1.0818439477588981E-13</v>
      </c>
      <c r="BF138" s="13">
        <f t="shared" si="145"/>
        <v>1.6104228458716316E-12</v>
      </c>
      <c r="BG138" s="20">
        <f t="shared" si="115"/>
        <v>2.9932409441277661E-12</v>
      </c>
      <c r="BH138" s="59">
        <f t="shared" si="116"/>
        <v>284.69975714989016</v>
      </c>
      <c r="BI138" s="59">
        <f ca="1">AVERAGE(OFFSET($BH$3,0,0,'Données projet'!$E$11+1,1))-AVERAGE(OFFSET($H$3,0,0,'Données projet'!$E$11+1,1))</f>
        <v>423.80243030843661</v>
      </c>
      <c r="BJ138" s="59">
        <f t="shared" si="146"/>
        <v>260.29028006191834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34.171986063621667</v>
      </c>
      <c r="BQ138" s="21">
        <f>EXP(-LN(2)/25)*BQ137+(1-EXP(-LN(2)/25))/(LN(2)/25)*Calculateur!BL138*Calculateur!BN138*VLOOKUP('Données projet'!$B$11,Paramètres!$A$1:$I$89,3,0)*0.475*44/12</f>
        <v>30.496499430549044</v>
      </c>
      <c r="BR138" s="21">
        <f>EXP(-LN(2)/2)*BR137+(1-EXP(-LN(2)/2))/(LN(2)/2)*BL138*BO138*VLOOKUP('Données projet'!$B$11,Paramètres!$A$1:$I$89,3,0)*0.475*44/12</f>
        <v>0.35825151606966499</v>
      </c>
      <c r="BS138" s="22">
        <f t="shared" si="117"/>
        <v>65.026737010240382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-1.3596945791505279E-13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373.61861223558259</v>
      </c>
      <c r="CE138" s="59">
        <f t="shared" si="148"/>
        <v>277.62293009761049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51.570679462930649</v>
      </c>
      <c r="CL138" s="21">
        <f>EXP(-LN(2)/25)*CL137+(1-EXP(-LN(2)/25))/(LN(2)/25)*Calculateur!CG138*Calculateur!CI138*VLOOKUP('Données projet'!$B$12,Paramètres!$A$1:$I$89,3,0)*0.475*44/12</f>
        <v>11.261523217387975</v>
      </c>
      <c r="CM138" s="21">
        <f>EXP(-LN(2)/2)*CM137+(1-EXP(-LN(2)/2))/(LN(2)/2)*CG138*CJ138*VLOOKUP('Données projet'!$B$12,Paramètres!$A$1:$I$89,3,0)*0.475*44/12</f>
        <v>3.7256045391769355E-7</v>
      </c>
      <c r="CN138" s="22">
        <f t="shared" si="120"/>
        <v>62.83220305287908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2.4829205358400945E-14</v>
      </c>
      <c r="CV138" s="13">
        <f t="shared" si="149"/>
        <v>4.3867331143352915E-13</v>
      </c>
      <c r="CW138" s="20">
        <f t="shared" si="121"/>
        <v>8.0726688341261168E-13</v>
      </c>
      <c r="CX138" s="59">
        <f t="shared" si="122"/>
        <v>284.69975714988794</v>
      </c>
      <c r="CY138" s="59">
        <f ca="1">AVERAGE(OFFSET($CX$3,0,0,'Données projet'!$E$13+1,1))-AVERAGE(OFFSET($H$3,0,0,'Données projet'!$E$13+1,1))</f>
        <v>287.28439432670405</v>
      </c>
      <c r="CZ138" s="59">
        <f t="shared" si="150"/>
        <v>276.01618888357268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11.099033610204943</v>
      </c>
      <c r="DG138" s="21">
        <f>EXP(-LN(2)/25)*DG137+(1-EXP(-LN(2)/25))/(LN(2)/25)*Calculateur!DB138*Calculateur!DD138*VLOOKUP('Données projet'!$B$13,Paramètres!$A$1:$I$89,3,0)*0.475*44/12</f>
        <v>7.9428970517718227</v>
      </c>
      <c r="DH138" s="21">
        <f>EXP(-LN(2)/2)*DH137+(1-EXP(-LN(2)/2))/(LN(2)/2)*DB138*DE138*VLOOKUP('Données projet'!$B$13,Paramètres!$A$1:$I$89,3,0)*0.475*44/12</f>
        <v>2.3942803639834249E-7</v>
      </c>
      <c r="DI138" s="22">
        <f t="shared" si="123"/>
        <v>19.0419309014048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9">
        <f t="shared" si="109"/>
        <v>1140.7945101117734</v>
      </c>
      <c r="S139" s="59">
        <f ca="1">AVERAGE(OFFSET($R$3,0,0,'Données projet'!$E$9+1,1))-AVERAGE(OFFSET($H$3,0,0,'Données projet'!$E$9+1,1))</f>
        <v>681.47578137804555</v>
      </c>
      <c r="T139" s="59">
        <f t="shared" si="142"/>
        <v>300.88511065995885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1.7053025658242404E-13</v>
      </c>
      <c r="AJ139" s="13">
        <f>AI139*VLOOKUP('Données projet'!$B$10,Paramètres!$A$1:$I$89,3,0)*VLOOKUP('Données projet'!$B$10,Paramètres!$A$1:$I$89,5,0)</f>
        <v>7.9808160080574461E-14</v>
      </c>
      <c r="AK139" s="13">
        <f t="shared" si="143"/>
        <v>1.2308384591775343E-12</v>
      </c>
      <c r="AL139" s="20">
        <f t="shared" si="112"/>
        <v>2.282709528541206E-12</v>
      </c>
      <c r="AM139" s="59">
        <f t="shared" si="113"/>
        <v>284.84953039488749</v>
      </c>
      <c r="AN139" s="59">
        <f ca="1">AVERAGE(OFFSET($AM$3,0,0,'Données projet'!$E$10+1,1))-AVERAGE(OFFSET($H$3,0,0,'Données projet'!$E$10+1,1))</f>
        <v>374.38106339726073</v>
      </c>
      <c r="AO139" s="59">
        <f t="shared" si="144"/>
        <v>296.53283288925957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131.73907041397908</v>
      </c>
      <c r="AV139" s="21">
        <f>EXP(-LN(2)/25)*AV138+(1-EXP(-LN(2)/25))/(LN(2)/25)*Calculateur!AQ139*Calculateur!AS139*VLOOKUP('Données projet'!$B$10,Paramètres!$A$1:$I$89,3,0)*0.475*44/12</f>
        <v>39.099122792124618</v>
      </c>
      <c r="AW139" s="21">
        <f>EXP(-LN(2)/2)*AW138+(1-EXP(-LN(2)/2))/(LN(2)/2)*AQ139*AT139*VLOOKUP('Données projet'!$B$10,Paramètres!$A$1:$I$89,3,0)*0.475*44/12</f>
        <v>5.7290946956052506</v>
      </c>
      <c r="AX139" s="21">
        <f t="shared" si="114"/>
        <v>176.56728790170897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1.0818439477588981E-13</v>
      </c>
      <c r="BF139" s="13">
        <f t="shared" si="145"/>
        <v>1.6104228458716316E-12</v>
      </c>
      <c r="BG139" s="20">
        <f t="shared" si="115"/>
        <v>2.9932409441277661E-12</v>
      </c>
      <c r="BH139" s="59">
        <f t="shared" si="116"/>
        <v>284.84953039488823</v>
      </c>
      <c r="BI139" s="59">
        <f ca="1">AVERAGE(OFFSET($BH$3,0,0,'Données projet'!$E$11+1,1))-AVERAGE(OFFSET($H$3,0,0,'Données projet'!$E$11+1,1))</f>
        <v>423.80243030843661</v>
      </c>
      <c r="BJ139" s="59">
        <f t="shared" si="146"/>
        <v>260.29028006191834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33.501894259767482</v>
      </c>
      <c r="BQ139" s="21">
        <f>EXP(-LN(2)/25)*BQ138+(1-EXP(-LN(2)/25))/(LN(2)/25)*Calculateur!BL139*Calculateur!BN139*VLOOKUP('Données projet'!$B$11,Paramètres!$A$1:$I$89,3,0)*0.475*44/12</f>
        <v>29.662571049879475</v>
      </c>
      <c r="BR139" s="21">
        <f>EXP(-LN(2)/2)*BR138+(1-EXP(-LN(2)/2))/(LN(2)/2)*BL139*BO139*VLOOKUP('Données projet'!$B$11,Paramètres!$A$1:$I$89,3,0)*0.475*44/12</f>
        <v>0.25332207638322152</v>
      </c>
      <c r="BS139" s="22">
        <f t="shared" si="117"/>
        <v>63.417787386030177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-1.3596945791505279E-13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373.61861223558259</v>
      </c>
      <c r="CE139" s="59">
        <f t="shared" si="148"/>
        <v>277.62293009761049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50.559409893671123</v>
      </c>
      <c r="CL139" s="21">
        <f>EXP(-LN(2)/25)*CL138+(1-EXP(-LN(2)/25))/(LN(2)/25)*Calculateur!CG139*Calculateur!CI139*VLOOKUP('Données projet'!$B$12,Paramètres!$A$1:$I$89,3,0)*0.475*44/12</f>
        <v>10.953576272790732</v>
      </c>
      <c r="CM139" s="21">
        <f>EXP(-LN(2)/2)*CM138+(1-EXP(-LN(2)/2))/(LN(2)/2)*CG139*CJ139*VLOOKUP('Données projet'!$B$12,Paramètres!$A$1:$I$89,3,0)*0.475*44/12</f>
        <v>2.6344002336713935E-7</v>
      </c>
      <c r="CN139" s="22">
        <f t="shared" si="120"/>
        <v>61.512986429901879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2.4829205358400945E-14</v>
      </c>
      <c r="CV139" s="13">
        <f t="shared" si="149"/>
        <v>4.3867331143352915E-13</v>
      </c>
      <c r="CW139" s="20">
        <f t="shared" si="121"/>
        <v>8.0726688341261168E-13</v>
      </c>
      <c r="CX139" s="59">
        <f t="shared" si="122"/>
        <v>284.84953039488602</v>
      </c>
      <c r="CY139" s="59">
        <f ca="1">AVERAGE(OFFSET($CX$3,0,0,'Données projet'!$E$13+1,1))-AVERAGE(OFFSET($H$3,0,0,'Données projet'!$E$13+1,1))</f>
        <v>287.28439432670405</v>
      </c>
      <c r="CZ139" s="59">
        <f t="shared" si="150"/>
        <v>276.01618888357268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10.88138833085087</v>
      </c>
      <c r="DG139" s="21">
        <f>EXP(-LN(2)/25)*DG138+(1-EXP(-LN(2)/25))/(LN(2)/25)*Calculateur!DB139*Calculateur!DD139*VLOOKUP('Données projet'!$B$13,Paramètres!$A$1:$I$89,3,0)*0.475*44/12</f>
        <v>7.72569811419232</v>
      </c>
      <c r="DH139" s="21">
        <f>EXP(-LN(2)/2)*DH138+(1-EXP(-LN(2)/2))/(LN(2)/2)*DB139*DE139*VLOOKUP('Données projet'!$B$13,Paramètres!$A$1:$I$89,3,0)*0.475*44/12</f>
        <v>1.693011881434475E-7</v>
      </c>
      <c r="DI139" s="22">
        <f t="shared" si="123"/>
        <v>18.607086614344379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9">
        <f t="shared" si="109"/>
        <v>1158.2694244457505</v>
      </c>
      <c r="S140" s="59">
        <f ca="1">AVERAGE(OFFSET($R$3,0,0,'Données projet'!$E$9+1,1))-AVERAGE(OFFSET($H$3,0,0,'Données projet'!$E$9+1,1))</f>
        <v>681.47578137804555</v>
      </c>
      <c r="T140" s="59">
        <f t="shared" si="142"/>
        <v>300.88511065995885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1.7053025658242404E-13</v>
      </c>
      <c r="AJ140" s="13">
        <f>AI140*VLOOKUP('Données projet'!$B$10,Paramètres!$A$1:$I$89,3,0)*VLOOKUP('Données projet'!$B$10,Paramètres!$A$1:$I$89,5,0)</f>
        <v>7.9808160080574461E-14</v>
      </c>
      <c r="AK140" s="13">
        <f t="shared" si="143"/>
        <v>1.2308384591775343E-12</v>
      </c>
      <c r="AL140" s="20">
        <f t="shared" si="112"/>
        <v>2.282709528541206E-12</v>
      </c>
      <c r="AM140" s="59">
        <f t="shared" si="113"/>
        <v>284.99670540892765</v>
      </c>
      <c r="AN140" s="59">
        <f ca="1">AVERAGE(OFFSET($AM$3,0,0,'Données projet'!$E$10+1,1))-AVERAGE(OFFSET($H$3,0,0,'Données projet'!$E$10+1,1))</f>
        <v>374.38106339726073</v>
      </c>
      <c r="AO140" s="59">
        <f t="shared" si="144"/>
        <v>296.53283288925957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129.15574759605971</v>
      </c>
      <c r="AV140" s="21">
        <f>EXP(-LN(2)/25)*AV139+(1-EXP(-LN(2)/25))/(LN(2)/25)*Calculateur!AQ140*Calculateur!AS140*VLOOKUP('Données projet'!$B$10,Paramètres!$A$1:$I$89,3,0)*0.475*44/12</f>
        <v>38.029955223240464</v>
      </c>
      <c r="AW140" s="21">
        <f>EXP(-LN(2)/2)*AW139+(1-EXP(-LN(2)/2))/(LN(2)/2)*AQ140*AT140*VLOOKUP('Données projet'!$B$10,Paramètres!$A$1:$I$89,3,0)*0.475*44/12</f>
        <v>4.0510817093223519</v>
      </c>
      <c r="AX140" s="21">
        <f t="shared" si="114"/>
        <v>171.23678452862251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1.0818439477588981E-13</v>
      </c>
      <c r="BF140" s="13">
        <f t="shared" si="145"/>
        <v>1.6104228458716316E-12</v>
      </c>
      <c r="BG140" s="20">
        <f t="shared" si="115"/>
        <v>2.9932409441277661E-12</v>
      </c>
      <c r="BH140" s="59">
        <f t="shared" si="116"/>
        <v>284.99670540892839</v>
      </c>
      <c r="BI140" s="59">
        <f ca="1">AVERAGE(OFFSET($BH$3,0,0,'Données projet'!$E$11+1,1))-AVERAGE(OFFSET($H$3,0,0,'Données projet'!$E$11+1,1))</f>
        <v>423.80243030843661</v>
      </c>
      <c r="BJ140" s="59">
        <f t="shared" si="146"/>
        <v>260.29028006191834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32.844942547471234</v>
      </c>
      <c r="BQ140" s="21">
        <f>EXP(-LN(2)/25)*BQ139+(1-EXP(-LN(2)/25))/(LN(2)/25)*Calculateur!BL140*Calculateur!BN140*VLOOKUP('Données projet'!$B$11,Paramètres!$A$1:$I$89,3,0)*0.475*44/12</f>
        <v>28.851446484633705</v>
      </c>
      <c r="BR140" s="21">
        <f>EXP(-LN(2)/2)*BR139+(1-EXP(-LN(2)/2))/(LN(2)/2)*BL140*BO140*VLOOKUP('Données projet'!$B$11,Paramètres!$A$1:$I$89,3,0)*0.475*44/12</f>
        <v>0.17912575803483249</v>
      </c>
      <c r="BS140" s="22">
        <f t="shared" si="117"/>
        <v>61.875514790139775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-1.3596945791505279E-13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373.61861223558259</v>
      </c>
      <c r="CE140" s="59">
        <f t="shared" si="148"/>
        <v>277.62293009761049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49.567970703851252</v>
      </c>
      <c r="CL140" s="21">
        <f>EXP(-LN(2)/25)*CL139+(1-EXP(-LN(2)/25))/(LN(2)/25)*Calculateur!CG140*Calculateur!CI140*VLOOKUP('Données projet'!$B$12,Paramètres!$A$1:$I$89,3,0)*0.475*44/12</f>
        <v>10.654050153587729</v>
      </c>
      <c r="CM140" s="21">
        <f>EXP(-LN(2)/2)*CM139+(1-EXP(-LN(2)/2))/(LN(2)/2)*CG140*CJ140*VLOOKUP('Données projet'!$B$12,Paramètres!$A$1:$I$89,3,0)*0.475*44/12</f>
        <v>1.8628022695884677E-7</v>
      </c>
      <c r="CN140" s="22">
        <f t="shared" si="120"/>
        <v>60.222021043719202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2.4829205358400945E-14</v>
      </c>
      <c r="CV140" s="13">
        <f t="shared" si="149"/>
        <v>4.3867331143352915E-13</v>
      </c>
      <c r="CW140" s="20">
        <f t="shared" si="121"/>
        <v>8.0726688341261168E-13</v>
      </c>
      <c r="CX140" s="59">
        <f t="shared" si="122"/>
        <v>284.99670540892618</v>
      </c>
      <c r="CY140" s="59">
        <f ca="1">AVERAGE(OFFSET($CX$3,0,0,'Données projet'!$E$13+1,1))-AVERAGE(OFFSET($H$3,0,0,'Données projet'!$E$13+1,1))</f>
        <v>287.28439432670405</v>
      </c>
      <c r="CZ140" s="59">
        <f t="shared" si="150"/>
        <v>276.01618888357268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10.668010942674417</v>
      </c>
      <c r="DG140" s="21">
        <f>EXP(-LN(2)/25)*DG139+(1-EXP(-LN(2)/25))/(LN(2)/25)*Calculateur!DB140*Calculateur!DD140*VLOOKUP('Données projet'!$B$13,Paramètres!$A$1:$I$89,3,0)*0.475*44/12</f>
        <v>7.5144384929829249</v>
      </c>
      <c r="DH140" s="21">
        <f>EXP(-LN(2)/2)*DH139+(1-EXP(-LN(2)/2))/(LN(2)/2)*DB140*DE140*VLOOKUP('Données projet'!$B$13,Paramètres!$A$1:$I$89,3,0)*0.475*44/12</f>
        <v>1.1971401819917124E-7</v>
      </c>
      <c r="DI140" s="22">
        <f t="shared" si="123"/>
        <v>18.18244955537136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9">
        <f t="shared" si="109"/>
        <v>1175.7349055392067</v>
      </c>
      <c r="S141" s="59">
        <f ca="1">AVERAGE(OFFSET($R$3,0,0,'Données projet'!$E$9+1,1))-AVERAGE(OFFSET($H$3,0,0,'Données projet'!$E$9+1,1))</f>
        <v>681.47578137804555</v>
      </c>
      <c r="T141" s="59">
        <f t="shared" si="142"/>
        <v>300.88511065995885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1.7053025658242404E-13</v>
      </c>
      <c r="AJ141" s="13">
        <f>AI141*VLOOKUP('Données projet'!$B$10,Paramètres!$A$1:$I$89,3,0)*VLOOKUP('Données projet'!$B$10,Paramètres!$A$1:$I$89,5,0)</f>
        <v>7.9808160080574461E-14</v>
      </c>
      <c r="AK141" s="13">
        <f t="shared" si="143"/>
        <v>1.2308384591775343E-12</v>
      </c>
      <c r="AL141" s="20">
        <f t="shared" si="112"/>
        <v>2.282709528541206E-12</v>
      </c>
      <c r="AM141" s="59">
        <f t="shared" si="113"/>
        <v>285.14132726550821</v>
      </c>
      <c r="AN141" s="59">
        <f ca="1">AVERAGE(OFFSET($AM$3,0,0,'Données projet'!$E$10+1,1))-AVERAGE(OFFSET($H$3,0,0,'Données projet'!$E$10+1,1))</f>
        <v>374.38106339726073</v>
      </c>
      <c r="AO141" s="59">
        <f t="shared" si="144"/>
        <v>296.53283288925957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126.62308216292841</v>
      </c>
      <c r="AV141" s="21">
        <f>EXP(-LN(2)/25)*AV140+(1-EXP(-LN(2)/25))/(LN(2)/25)*Calculateur!AQ141*Calculateur!AS141*VLOOKUP('Données projet'!$B$10,Paramètres!$A$1:$I$89,3,0)*0.475*44/12</f>
        <v>36.990024097752524</v>
      </c>
      <c r="AW141" s="21">
        <f>EXP(-LN(2)/2)*AW140+(1-EXP(-LN(2)/2))/(LN(2)/2)*AQ141*AT141*VLOOKUP('Données projet'!$B$10,Paramètres!$A$1:$I$89,3,0)*0.475*44/12</f>
        <v>2.8645473478026253</v>
      </c>
      <c r="AX141" s="21">
        <f t="shared" si="114"/>
        <v>166.47765360848354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1.0818439477588981E-13</v>
      </c>
      <c r="BF141" s="13">
        <f t="shared" si="145"/>
        <v>1.6104228458716316E-12</v>
      </c>
      <c r="BG141" s="20">
        <f t="shared" si="115"/>
        <v>2.9932409441277661E-12</v>
      </c>
      <c r="BH141" s="59">
        <f t="shared" si="116"/>
        <v>285.14132726550895</v>
      </c>
      <c r="BI141" s="59">
        <f ca="1">AVERAGE(OFFSET($BH$3,0,0,'Données projet'!$E$11+1,1))-AVERAGE(OFFSET($H$3,0,0,'Données projet'!$E$11+1,1))</f>
        <v>423.80243030843661</v>
      </c>
      <c r="BJ141" s="59">
        <f t="shared" si="146"/>
        <v>260.29028006191834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32.200873257552139</v>
      </c>
      <c r="BQ141" s="21">
        <f>EXP(-LN(2)/25)*BQ140+(1-EXP(-LN(2)/25))/(LN(2)/25)*Calculateur!BL141*Calculateur!BN141*VLOOKUP('Données projet'!$B$11,Paramètres!$A$1:$I$89,3,0)*0.475*44/12</f>
        <v>28.062502163279767</v>
      </c>
      <c r="BR141" s="21">
        <f>EXP(-LN(2)/2)*BR140+(1-EXP(-LN(2)/2))/(LN(2)/2)*BL141*BO141*VLOOKUP('Données projet'!$B$11,Paramètres!$A$1:$I$89,3,0)*0.475*44/12</f>
        <v>0.12666103819161076</v>
      </c>
      <c r="BS141" s="22">
        <f t="shared" si="117"/>
        <v>60.39003645902352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-1.3596945791505279E-13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373.61861223558259</v>
      </c>
      <c r="CE141" s="59">
        <f t="shared" si="148"/>
        <v>277.62293009761049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48.595973031825551</v>
      </c>
      <c r="CL141" s="21">
        <f>EXP(-LN(2)/25)*CL140+(1-EXP(-LN(2)/25))/(LN(2)/25)*Calculateur!CG141*Calculateur!CI141*VLOOKUP('Données projet'!$B$12,Paramètres!$A$1:$I$89,3,0)*0.475*44/12</f>
        <v>10.362714591865725</v>
      </c>
      <c r="CM141" s="21">
        <f>EXP(-LN(2)/2)*CM140+(1-EXP(-LN(2)/2))/(LN(2)/2)*CG141*CJ141*VLOOKUP('Données projet'!$B$12,Paramètres!$A$1:$I$89,3,0)*0.475*44/12</f>
        <v>1.3172001168356967E-7</v>
      </c>
      <c r="CN141" s="22">
        <f t="shared" si="120"/>
        <v>58.95868775541129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2.4829205358400945E-14</v>
      </c>
      <c r="CV141" s="13">
        <f t="shared" si="149"/>
        <v>4.3867331143352915E-13</v>
      </c>
      <c r="CW141" s="20">
        <f t="shared" si="121"/>
        <v>8.0726688341261168E-13</v>
      </c>
      <c r="CX141" s="59">
        <f t="shared" si="122"/>
        <v>285.14132726550673</v>
      </c>
      <c r="CY141" s="59">
        <f ca="1">AVERAGE(OFFSET($CX$3,0,0,'Données projet'!$E$13+1,1))-AVERAGE(OFFSET($H$3,0,0,'Données projet'!$E$13+1,1))</f>
        <v>287.28439432670405</v>
      </c>
      <c r="CZ141" s="59">
        <f t="shared" si="150"/>
        <v>276.01618888357268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10.458817754932749</v>
      </c>
      <c r="DG141" s="21">
        <f>EXP(-LN(2)/25)*DG140+(1-EXP(-LN(2)/25))/(LN(2)/25)*Calculateur!DB141*Calculateur!DD141*VLOOKUP('Données projet'!$B$13,Paramètres!$A$1:$I$89,3,0)*0.475*44/12</f>
        <v>7.3089557772251608</v>
      </c>
      <c r="DH141" s="21">
        <f>EXP(-LN(2)/2)*DH140+(1-EXP(-LN(2)/2))/(LN(2)/2)*DB141*DE141*VLOOKUP('Données projet'!$B$13,Paramètres!$A$1:$I$89,3,0)*0.475*44/12</f>
        <v>8.465059407172375E-8</v>
      </c>
      <c r="DI141" s="22">
        <f t="shared" si="123"/>
        <v>17.767773616808505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9">
        <f t="shared" si="109"/>
        <v>1193.1911501857351</v>
      </c>
      <c r="S142" s="59">
        <f ca="1">AVERAGE(OFFSET($R$3,0,0,'Données projet'!$E$9+1,1))-AVERAGE(OFFSET($H$3,0,0,'Données projet'!$E$9+1,1))</f>
        <v>681.47578137804555</v>
      </c>
      <c r="T142" s="59">
        <f t="shared" si="142"/>
        <v>300.88511065995885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1.7053025658242404E-13</v>
      </c>
      <c r="AJ142" s="13">
        <f>AI142*VLOOKUP('Données projet'!$B$10,Paramètres!$A$1:$I$89,3,0)*VLOOKUP('Données projet'!$B$10,Paramètres!$A$1:$I$89,5,0)</f>
        <v>7.9808160080574461E-14</v>
      </c>
      <c r="AK142" s="13">
        <f t="shared" si="143"/>
        <v>1.2308384591775343E-12</v>
      </c>
      <c r="AL142" s="20">
        <f t="shared" si="112"/>
        <v>2.282709528541206E-12</v>
      </c>
      <c r="AM142" s="59">
        <f t="shared" si="113"/>
        <v>285.28344025620316</v>
      </c>
      <c r="AN142" s="59">
        <f ca="1">AVERAGE(OFFSET($AM$3,0,0,'Données projet'!$E$10+1,1))-AVERAGE(OFFSET($H$3,0,0,'Données projet'!$E$10+1,1))</f>
        <v>374.38106339726073</v>
      </c>
      <c r="AO142" s="59">
        <f t="shared" si="144"/>
        <v>296.53283288925957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124.14008075416743</v>
      </c>
      <c r="AV142" s="21">
        <f>EXP(-LN(2)/25)*AV141+(1-EXP(-LN(2)/25))/(LN(2)/25)*Calculateur!AQ142*Calculateur!AS142*VLOOKUP('Données projet'!$B$10,Paramètres!$A$1:$I$89,3,0)*0.475*44/12</f>
        <v>35.978529943578657</v>
      </c>
      <c r="AW142" s="21">
        <f>EXP(-LN(2)/2)*AW141+(1-EXP(-LN(2)/2))/(LN(2)/2)*AQ142*AT142*VLOOKUP('Données projet'!$B$10,Paramètres!$A$1:$I$89,3,0)*0.475*44/12</f>
        <v>2.0255408546611759</v>
      </c>
      <c r="AX142" s="21">
        <f t="shared" si="114"/>
        <v>162.14415155240727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1.0818439477588981E-13</v>
      </c>
      <c r="BF142" s="13">
        <f t="shared" si="145"/>
        <v>1.6104228458716316E-12</v>
      </c>
      <c r="BG142" s="20">
        <f t="shared" si="115"/>
        <v>2.9932409441277661E-12</v>
      </c>
      <c r="BH142" s="59">
        <f t="shared" si="116"/>
        <v>285.2834402562039</v>
      </c>
      <c r="BI142" s="59">
        <f ca="1">AVERAGE(OFFSET($BH$3,0,0,'Données projet'!$E$11+1,1))-AVERAGE(OFFSET($H$3,0,0,'Données projet'!$E$11+1,1))</f>
        <v>423.80243030843661</v>
      </c>
      <c r="BJ142" s="59">
        <f t="shared" si="146"/>
        <v>260.29028006191834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31.569433773564882</v>
      </c>
      <c r="BQ142" s="21">
        <f>EXP(-LN(2)/25)*BQ141+(1-EXP(-LN(2)/25))/(LN(2)/25)*Calculateur!BL142*Calculateur!BN142*VLOOKUP('Données projet'!$B$11,Paramètres!$A$1:$I$89,3,0)*0.475*44/12</f>
        <v>27.295131565882031</v>
      </c>
      <c r="BR142" s="21">
        <f>EXP(-LN(2)/2)*BR141+(1-EXP(-LN(2)/2))/(LN(2)/2)*BL142*BO142*VLOOKUP('Données projet'!$B$11,Paramètres!$A$1:$I$89,3,0)*0.475*44/12</f>
        <v>8.9562879017416247E-2</v>
      </c>
      <c r="BS142" s="22">
        <f t="shared" si="117"/>
        <v>58.954128218464326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-1.3596945791505279E-13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373.61861223558259</v>
      </c>
      <c r="CE142" s="59">
        <f t="shared" si="148"/>
        <v>277.62293009761049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47.643035641288236</v>
      </c>
      <c r="CL142" s="21">
        <f>EXP(-LN(2)/25)*CL141+(1-EXP(-LN(2)/25))/(LN(2)/25)*Calculateur!CG142*Calculateur!CI142*VLOOKUP('Données projet'!$B$12,Paramètres!$A$1:$I$89,3,0)*0.475*44/12</f>
        <v>10.07934561639968</v>
      </c>
      <c r="CM142" s="21">
        <f>EXP(-LN(2)/2)*CM141+(1-EXP(-LN(2)/2))/(LN(2)/2)*CG142*CJ142*VLOOKUP('Données projet'!$B$12,Paramètres!$A$1:$I$89,3,0)*0.475*44/12</f>
        <v>9.3140113479423386E-8</v>
      </c>
      <c r="CN142" s="22">
        <f t="shared" si="120"/>
        <v>57.72238135082803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2.4829205358400945E-14</v>
      </c>
      <c r="CV142" s="13">
        <f t="shared" si="149"/>
        <v>4.3867331143352915E-13</v>
      </c>
      <c r="CW142" s="20">
        <f t="shared" si="121"/>
        <v>8.0726688341261168E-13</v>
      </c>
      <c r="CX142" s="59">
        <f t="shared" si="122"/>
        <v>285.28344025620169</v>
      </c>
      <c r="CY142" s="59">
        <f ca="1">AVERAGE(OFFSET($CX$3,0,0,'Données projet'!$E$13+1,1))-AVERAGE(OFFSET($H$3,0,0,'Données projet'!$E$13+1,1))</f>
        <v>287.28439432670405</v>
      </c>
      <c r="CZ142" s="59">
        <f t="shared" si="150"/>
        <v>276.01618888357268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10.253726718007449</v>
      </c>
      <c r="DG142" s="21">
        <f>EXP(-LN(2)/25)*DG141+(1-EXP(-LN(2)/25))/(LN(2)/25)*Calculateur!DB142*Calculateur!DD142*VLOOKUP('Données projet'!$B$13,Paramètres!$A$1:$I$89,3,0)*0.475*44/12</f>
        <v>7.1090919971356596</v>
      </c>
      <c r="DH142" s="21">
        <f>EXP(-LN(2)/2)*DH141+(1-EXP(-LN(2)/2))/(LN(2)/2)*DB142*DE142*VLOOKUP('Données projet'!$B$13,Paramètres!$A$1:$I$89,3,0)*0.475*44/12</f>
        <v>5.9857009099585621E-8</v>
      </c>
      <c r="DI142" s="22">
        <f t="shared" si="123"/>
        <v>17.362818775000118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9">
        <f t="shared" si="109"/>
        <v>1210.6383481267587</v>
      </c>
      <c r="S143" s="59">
        <f ca="1">AVERAGE(OFFSET($R$3,0,0,'Données projet'!$E$9+1,1))-AVERAGE(OFFSET($H$3,0,0,'Données projet'!$E$9+1,1))</f>
        <v>681.47578137804555</v>
      </c>
      <c r="T143" s="59">
        <f t="shared" si="142"/>
        <v>300.88511065995885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1.7053025658242404E-13</v>
      </c>
      <c r="AJ143" s="13">
        <f>AI143*VLOOKUP('Données projet'!$B$10,Paramètres!$A$1:$I$89,3,0)*VLOOKUP('Données projet'!$B$10,Paramètres!$A$1:$I$89,5,0)</f>
        <v>7.9808160080574461E-14</v>
      </c>
      <c r="AK143" s="13">
        <f t="shared" si="143"/>
        <v>1.2308384591775343E-12</v>
      </c>
      <c r="AL143" s="20">
        <f t="shared" si="112"/>
        <v>2.282709528541206E-12</v>
      </c>
      <c r="AM143" s="59">
        <f t="shared" si="113"/>
        <v>285.42308790422663</v>
      </c>
      <c r="AN143" s="59">
        <f ca="1">AVERAGE(OFFSET($AM$3,0,0,'Données projet'!$E$10+1,1))-AVERAGE(OFFSET($H$3,0,0,'Données projet'!$E$10+1,1))</f>
        <v>374.38106339726073</v>
      </c>
      <c r="AO143" s="59">
        <f t="shared" si="144"/>
        <v>296.53283288925957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121.70576948855094</v>
      </c>
      <c r="AV143" s="21">
        <f>EXP(-LN(2)/25)*AV142+(1-EXP(-LN(2)/25))/(LN(2)/25)*Calculateur!AQ143*Calculateur!AS143*VLOOKUP('Données projet'!$B$10,Paramètres!$A$1:$I$89,3,0)*0.475*44/12</f>
        <v>34.99469515024284</v>
      </c>
      <c r="AW143" s="21">
        <f>EXP(-LN(2)/2)*AW142+(1-EXP(-LN(2)/2))/(LN(2)/2)*AQ143*AT143*VLOOKUP('Données projet'!$B$10,Paramètres!$A$1:$I$89,3,0)*0.475*44/12</f>
        <v>1.4322736739013127</v>
      </c>
      <c r="AX143" s="21">
        <f t="shared" si="114"/>
        <v>158.1327383126951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1.0818439477588981E-13</v>
      </c>
      <c r="BF143" s="13">
        <f t="shared" si="145"/>
        <v>1.6104228458716316E-12</v>
      </c>
      <c r="BG143" s="20">
        <f t="shared" si="115"/>
        <v>2.9932409441277661E-12</v>
      </c>
      <c r="BH143" s="59">
        <f t="shared" si="116"/>
        <v>285.42308790422737</v>
      </c>
      <c r="BI143" s="59">
        <f ca="1">AVERAGE(OFFSET($BH$3,0,0,'Données projet'!$E$11+1,1))-AVERAGE(OFFSET($H$3,0,0,'Données projet'!$E$11+1,1))</f>
        <v>423.80243030843661</v>
      </c>
      <c r="BJ143" s="59">
        <f t="shared" si="146"/>
        <v>260.29028006191834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30.950376432718556</v>
      </c>
      <c r="BQ143" s="21">
        <f>EXP(-LN(2)/25)*BQ142+(1-EXP(-LN(2)/25))/(LN(2)/25)*Calculateur!BL143*Calculateur!BN143*VLOOKUP('Données projet'!$B$11,Paramètres!$A$1:$I$89,3,0)*0.475*44/12</f>
        <v>26.548744757824402</v>
      </c>
      <c r="BR143" s="21">
        <f>EXP(-LN(2)/2)*BR142+(1-EXP(-LN(2)/2))/(LN(2)/2)*BL143*BO143*VLOOKUP('Données projet'!$B$11,Paramètres!$A$1:$I$89,3,0)*0.475*44/12</f>
        <v>6.3330519095805379E-2</v>
      </c>
      <c r="BS143" s="22">
        <f t="shared" si="117"/>
        <v>57.562451709638765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-1.3596945791505279E-13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373.61861223558259</v>
      </c>
      <c r="CE143" s="59">
        <f t="shared" si="148"/>
        <v>277.62293009761049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46.708784771744938</v>
      </c>
      <c r="CL143" s="21">
        <f>EXP(-LN(2)/25)*CL142+(1-EXP(-LN(2)/25))/(LN(2)/25)*Calculateur!CG143*Calculateur!CI143*VLOOKUP('Données projet'!$B$12,Paramètres!$A$1:$I$89,3,0)*0.475*44/12</f>
        <v>9.8037253804694817</v>
      </c>
      <c r="CM143" s="21">
        <f>EXP(-LN(2)/2)*CM142+(1-EXP(-LN(2)/2))/(LN(2)/2)*CG143*CJ143*VLOOKUP('Données projet'!$B$12,Paramètres!$A$1:$I$89,3,0)*0.475*44/12</f>
        <v>6.5860005841784837E-8</v>
      </c>
      <c r="CN143" s="22">
        <f t="shared" si="120"/>
        <v>56.512510218074425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2.4829205358400945E-14</v>
      </c>
      <c r="CV143" s="13">
        <f t="shared" si="149"/>
        <v>4.3867331143352915E-13</v>
      </c>
      <c r="CW143" s="20">
        <f t="shared" si="121"/>
        <v>8.0726688341261168E-13</v>
      </c>
      <c r="CX143" s="59">
        <f t="shared" si="122"/>
        <v>285.42308790422516</v>
      </c>
      <c r="CY143" s="59">
        <f ca="1">AVERAGE(OFFSET($CX$3,0,0,'Données projet'!$E$13+1,1))-AVERAGE(OFFSET($H$3,0,0,'Données projet'!$E$13+1,1))</f>
        <v>287.28439432670405</v>
      </c>
      <c r="CZ143" s="59">
        <f t="shared" si="150"/>
        <v>276.01618888357268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10.052657391223075</v>
      </c>
      <c r="DG143" s="21">
        <f>EXP(-LN(2)/25)*DG142+(1-EXP(-LN(2)/25))/(LN(2)/25)*Calculateur!DB143*Calculateur!DD143*VLOOKUP('Données projet'!$B$13,Paramètres!$A$1:$I$89,3,0)*0.475*44/12</f>
        <v>6.9146935026230851</v>
      </c>
      <c r="DH143" s="21">
        <f>EXP(-LN(2)/2)*DH142+(1-EXP(-LN(2)/2))/(LN(2)/2)*DB143*DE143*VLOOKUP('Données projet'!$B$13,Paramètres!$A$1:$I$89,3,0)*0.475*44/12</f>
        <v>4.2325297035861875E-8</v>
      </c>
      <c r="DI143" s="22">
        <f t="shared" si="123"/>
        <v>16.967350936171457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9">
        <f t="shared" si="109"/>
        <v>1228.0766824388661</v>
      </c>
      <c r="S144" s="59">
        <f ca="1">AVERAGE(OFFSET($R$3,0,0,'Données projet'!$E$9+1,1))-AVERAGE(OFFSET($H$3,0,0,'Données projet'!$E$9+1,1))</f>
        <v>681.47578137804555</v>
      </c>
      <c r="T144" s="59">
        <f t="shared" si="142"/>
        <v>300.88511065995885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1.7053025658242404E-13</v>
      </c>
      <c r="AJ144" s="13">
        <f>AI144*VLOOKUP('Données projet'!$B$10,Paramètres!$A$1:$I$89,3,0)*VLOOKUP('Données projet'!$B$10,Paramètres!$A$1:$I$89,5,0)</f>
        <v>7.9808160080574461E-14</v>
      </c>
      <c r="AK144" s="13">
        <f t="shared" si="143"/>
        <v>1.2308384591775343E-12</v>
      </c>
      <c r="AL144" s="20">
        <f t="shared" si="112"/>
        <v>2.282709528541206E-12</v>
      </c>
      <c r="AM144" s="59">
        <f t="shared" si="113"/>
        <v>285.56031297776229</v>
      </c>
      <c r="AN144" s="59">
        <f ca="1">AVERAGE(OFFSET($AM$3,0,0,'Données projet'!$E$10+1,1))-AVERAGE(OFFSET($H$3,0,0,'Données projet'!$E$10+1,1))</f>
        <v>374.38106339726073</v>
      </c>
      <c r="AO144" s="59">
        <f t="shared" si="144"/>
        <v>296.53283288925957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119.31919358206993</v>
      </c>
      <c r="AV144" s="21">
        <f>EXP(-LN(2)/25)*AV143+(1-EXP(-LN(2)/25))/(LN(2)/25)*Calculateur!AQ144*Calculateur!AS144*VLOOKUP('Données projet'!$B$10,Paramètres!$A$1:$I$89,3,0)*0.475*44/12</f>
        <v>34.037763371068415</v>
      </c>
      <c r="AW144" s="21">
        <f>EXP(-LN(2)/2)*AW143+(1-EXP(-LN(2)/2))/(LN(2)/2)*AQ144*AT144*VLOOKUP('Données projet'!$B$10,Paramètres!$A$1:$I$89,3,0)*0.475*44/12</f>
        <v>1.012770427330588</v>
      </c>
      <c r="AX144" s="21">
        <f t="shared" si="114"/>
        <v>154.36972738046893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1.0818439477588981E-13</v>
      </c>
      <c r="BF144" s="13">
        <f t="shared" si="145"/>
        <v>1.6104228458716316E-12</v>
      </c>
      <c r="BG144" s="20">
        <f t="shared" si="115"/>
        <v>2.9932409441277661E-12</v>
      </c>
      <c r="BH144" s="59">
        <f t="shared" si="116"/>
        <v>285.56031297776303</v>
      </c>
      <c r="BI144" s="59">
        <f ca="1">AVERAGE(OFFSET($BH$3,0,0,'Données projet'!$E$11+1,1))-AVERAGE(OFFSET($H$3,0,0,'Données projet'!$E$11+1,1))</f>
        <v>423.80243030843661</v>
      </c>
      <c r="BJ144" s="59">
        <f t="shared" si="146"/>
        <v>260.29028006191834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30.343458428738536</v>
      </c>
      <c r="BQ144" s="21">
        <f>EXP(-LN(2)/25)*BQ143+(1-EXP(-LN(2)/25))/(LN(2)/25)*Calculateur!BL144*Calculateur!BN144*VLOOKUP('Données projet'!$B$11,Paramètres!$A$1:$I$89,3,0)*0.475*44/12</f>
        <v>25.822767936283885</v>
      </c>
      <c r="BR144" s="21">
        <f>EXP(-LN(2)/2)*BR143+(1-EXP(-LN(2)/2))/(LN(2)/2)*BL144*BO144*VLOOKUP('Données projet'!$B$11,Paramètres!$A$1:$I$89,3,0)*0.475*44/12</f>
        <v>4.4781439508708124E-2</v>
      </c>
      <c r="BS144" s="22">
        <f t="shared" si="117"/>
        <v>56.211007804531135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-1.3596945791505279E-13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373.61861223558259</v>
      </c>
      <c r="CE144" s="59">
        <f t="shared" si="148"/>
        <v>277.62293009761049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45.792853991916623</v>
      </c>
      <c r="CL144" s="21">
        <f>EXP(-LN(2)/25)*CL143+(1-EXP(-LN(2)/25))/(LN(2)/25)*Calculateur!CG144*Calculateur!CI144*VLOOKUP('Données projet'!$B$12,Paramètres!$A$1:$I$89,3,0)*0.475*44/12</f>
        <v>9.535641994385033</v>
      </c>
      <c r="CM144" s="21">
        <f>EXP(-LN(2)/2)*CM143+(1-EXP(-LN(2)/2))/(LN(2)/2)*CG144*CJ144*VLOOKUP('Données projet'!$B$12,Paramètres!$A$1:$I$89,3,0)*0.475*44/12</f>
        <v>4.6570056739711693E-8</v>
      </c>
      <c r="CN144" s="22">
        <f t="shared" si="120"/>
        <v>55.328496032871712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2.4829205358400945E-14</v>
      </c>
      <c r="CV144" s="13">
        <f t="shared" si="149"/>
        <v>4.3867331143352915E-13</v>
      </c>
      <c r="CW144" s="20">
        <f t="shared" si="121"/>
        <v>8.0726688341261168E-13</v>
      </c>
      <c r="CX144" s="59">
        <f t="shared" si="122"/>
        <v>285.56031297776082</v>
      </c>
      <c r="CY144" s="59">
        <f ca="1">AVERAGE(OFFSET($CX$3,0,0,'Données projet'!$E$13+1,1))-AVERAGE(OFFSET($H$3,0,0,'Données projet'!$E$13+1,1))</f>
        <v>287.28439432670405</v>
      </c>
      <c r="CZ144" s="59">
        <f t="shared" si="150"/>
        <v>276.01618888357268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9.8555309112967624</v>
      </c>
      <c r="DG144" s="21">
        <f>EXP(-LN(2)/25)*DG143+(1-EXP(-LN(2)/25))/(LN(2)/25)*Calculateur!DB144*Calculateur!DD144*VLOOKUP('Données projet'!$B$13,Paramètres!$A$1:$I$89,3,0)*0.475*44/12</f>
        <v>6.7256108451659289</v>
      </c>
      <c r="DH144" s="21">
        <f>EXP(-LN(2)/2)*DH143+(1-EXP(-LN(2)/2))/(LN(2)/2)*DB144*DE144*VLOOKUP('Données projet'!$B$13,Paramètres!$A$1:$I$89,3,0)*0.475*44/12</f>
        <v>2.9928504549792811E-8</v>
      </c>
      <c r="DI144" s="22">
        <f t="shared" si="123"/>
        <v>16.581141786391196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9">
        <f t="shared" si="109"/>
        <v>1245.5063298920588</v>
      </c>
      <c r="S145" s="59">
        <f ca="1">AVERAGE(OFFSET($R$3,0,0,'Données projet'!$E$9+1,1))-AVERAGE(OFFSET($H$3,0,0,'Données projet'!$E$9+1,1))</f>
        <v>681.47578137804555</v>
      </c>
      <c r="T145" s="59">
        <f t="shared" si="142"/>
        <v>300.88511065995885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1.7053025658242404E-13</v>
      </c>
      <c r="AJ145" s="13">
        <f>AI145*VLOOKUP('Données projet'!$B$10,Paramètres!$A$1:$I$89,3,0)*VLOOKUP('Données projet'!$B$10,Paramètres!$A$1:$I$89,5,0)</f>
        <v>7.9808160080574461E-14</v>
      </c>
      <c r="AK145" s="13">
        <f t="shared" si="143"/>
        <v>1.2308384591775343E-12</v>
      </c>
      <c r="AL145" s="20">
        <f t="shared" si="112"/>
        <v>2.282709528541206E-12</v>
      </c>
      <c r="AM145" s="59">
        <f t="shared" si="113"/>
        <v>285.69515750306135</v>
      </c>
      <c r="AN145" s="59">
        <f ca="1">AVERAGE(OFFSET($AM$3,0,0,'Données projet'!$E$10+1,1))-AVERAGE(OFFSET($H$3,0,0,'Données projet'!$E$10+1,1))</f>
        <v>374.38106339726073</v>
      </c>
      <c r="AO145" s="59">
        <f t="shared" si="144"/>
        <v>296.53283288925957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116.97941697344744</v>
      </c>
      <c r="AV145" s="21">
        <f>EXP(-LN(2)/25)*AV144+(1-EXP(-LN(2)/25))/(LN(2)/25)*Calculateur!AQ145*Calculateur!AS145*VLOOKUP('Données projet'!$B$10,Paramètres!$A$1:$I$89,3,0)*0.475*44/12</f>
        <v>33.106998941718366</v>
      </c>
      <c r="AW145" s="21">
        <f>EXP(-LN(2)/2)*AW144+(1-EXP(-LN(2)/2))/(LN(2)/2)*AQ145*AT145*VLOOKUP('Données projet'!$B$10,Paramètres!$A$1:$I$89,3,0)*0.475*44/12</f>
        <v>0.71613683695065633</v>
      </c>
      <c r="AX145" s="21">
        <f t="shared" si="114"/>
        <v>150.80255275211647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1.0818439477588981E-13</v>
      </c>
      <c r="BF145" s="13">
        <f t="shared" si="145"/>
        <v>1.6104228458716316E-12</v>
      </c>
      <c r="BG145" s="20">
        <f t="shared" si="115"/>
        <v>2.9932409441277661E-12</v>
      </c>
      <c r="BH145" s="59">
        <f t="shared" si="116"/>
        <v>285.69515750306209</v>
      </c>
      <c r="BI145" s="59">
        <f ca="1">AVERAGE(OFFSET($BH$3,0,0,'Données projet'!$E$11+1,1))-AVERAGE(OFFSET($H$3,0,0,'Données projet'!$E$11+1,1))</f>
        <v>423.80243030843661</v>
      </c>
      <c r="BJ145" s="59">
        <f t="shared" si="146"/>
        <v>260.29028006191834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29.748441716633135</v>
      </c>
      <c r="BQ145" s="21">
        <f>EXP(-LN(2)/25)*BQ144+(1-EXP(-LN(2)/25))/(LN(2)/25)*Calculateur!BL145*Calculateur!BN145*VLOOKUP('Données projet'!$B$11,Paramètres!$A$1:$I$89,3,0)*0.475*44/12</f>
        <v>25.116642989105856</v>
      </c>
      <c r="BR145" s="21">
        <f>EXP(-LN(2)/2)*BR144+(1-EXP(-LN(2)/2))/(LN(2)/2)*BL145*BO145*VLOOKUP('Données projet'!$B$11,Paramètres!$A$1:$I$89,3,0)*0.475*44/12</f>
        <v>3.166525954790269E-2</v>
      </c>
      <c r="BS145" s="22">
        <f t="shared" si="117"/>
        <v>54.896749965286894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-1.3596945791505279E-13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373.61861223558259</v>
      </c>
      <c r="CE145" s="59">
        <f t="shared" si="148"/>
        <v>277.62293009761049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44.894884056018128</v>
      </c>
      <c r="CL145" s="21">
        <f>EXP(-LN(2)/25)*CL144+(1-EXP(-LN(2)/25))/(LN(2)/25)*Calculateur!CG145*Calculateur!CI145*VLOOKUP('Données projet'!$B$12,Paramètres!$A$1:$I$89,3,0)*0.475*44/12</f>
        <v>9.2748893625909563</v>
      </c>
      <c r="CM145" s="21">
        <f>EXP(-LN(2)/2)*CM144+(1-EXP(-LN(2)/2))/(LN(2)/2)*CG145*CJ145*VLOOKUP('Données projet'!$B$12,Paramètres!$A$1:$I$89,3,0)*0.475*44/12</f>
        <v>3.2930002920892419E-8</v>
      </c>
      <c r="CN145" s="22">
        <f t="shared" si="120"/>
        <v>54.169773451539086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2.4829205358400945E-14</v>
      </c>
      <c r="CV145" s="13">
        <f t="shared" si="149"/>
        <v>4.3867331143352915E-13</v>
      </c>
      <c r="CW145" s="20">
        <f t="shared" si="121"/>
        <v>8.0726688341261168E-13</v>
      </c>
      <c r="CX145" s="59">
        <f t="shared" si="122"/>
        <v>285.69515750305987</v>
      </c>
      <c r="CY145" s="59">
        <f ca="1">AVERAGE(OFFSET($CX$3,0,0,'Données projet'!$E$13+1,1))-AVERAGE(OFFSET($H$3,0,0,'Données projet'!$E$13+1,1))</f>
        <v>287.28439432670405</v>
      </c>
      <c r="CZ145" s="59">
        <f t="shared" si="150"/>
        <v>276.01618888357268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9.6622699614065244</v>
      </c>
      <c r="DG145" s="21">
        <f>EXP(-LN(2)/25)*DG144+(1-EXP(-LN(2)/25))/(LN(2)/25)*Calculateur!DB145*Calculateur!DD145*VLOOKUP('Données projet'!$B$13,Paramètres!$A$1:$I$89,3,0)*0.475*44/12</f>
        <v>6.5416986629203642</v>
      </c>
      <c r="DH145" s="21">
        <f>EXP(-LN(2)/2)*DH144+(1-EXP(-LN(2)/2))/(LN(2)/2)*DB145*DE145*VLOOKUP('Données projet'!$B$13,Paramètres!$A$1:$I$89,3,0)*0.475*44/12</f>
        <v>2.1162648517930938E-8</v>
      </c>
      <c r="DI145" s="22">
        <f t="shared" si="123"/>
        <v>16.203968645489539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9">
        <f t="shared" si="109"/>
        <v>1262.9274612816348</v>
      </c>
      <c r="S146" s="59">
        <f ca="1">AVERAGE(OFFSET($R$3,0,0,'Données projet'!$E$9+1,1))-AVERAGE(OFFSET($H$3,0,0,'Données projet'!$E$9+1,1))</f>
        <v>681.47578137804555</v>
      </c>
      <c r="T146" s="59">
        <f t="shared" si="142"/>
        <v>300.88511065995885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1.7053025658242404E-13</v>
      </c>
      <c r="AJ146" s="13">
        <f>AI146*VLOOKUP('Données projet'!$B$10,Paramètres!$A$1:$I$89,3,0)*VLOOKUP('Données projet'!$B$10,Paramètres!$A$1:$I$89,5,0)</f>
        <v>7.9808160080574461E-14</v>
      </c>
      <c r="AK146" s="13">
        <f t="shared" si="143"/>
        <v>1.2308384591775343E-12</v>
      </c>
      <c r="AL146" s="20">
        <f t="shared" si="112"/>
        <v>2.282709528541206E-12</v>
      </c>
      <c r="AM146" s="59">
        <f t="shared" si="113"/>
        <v>285.82766277731372</v>
      </c>
      <c r="AN146" s="59">
        <f ca="1">AVERAGE(OFFSET($AM$3,0,0,'Données projet'!$E$10+1,1))-AVERAGE(OFFSET($H$3,0,0,'Données projet'!$E$10+1,1))</f>
        <v>374.38106339726073</v>
      </c>
      <c r="AO146" s="59">
        <f t="shared" si="144"/>
        <v>296.53283288925957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114.68552195699722</v>
      </c>
      <c r="AV146" s="21">
        <f>EXP(-LN(2)/25)*AV145+(1-EXP(-LN(2)/25))/(LN(2)/25)*Calculateur!AQ146*Calculateur!AS146*VLOOKUP('Données projet'!$B$10,Paramètres!$A$1:$I$89,3,0)*0.475*44/12</f>
        <v>32.201686314635673</v>
      </c>
      <c r="AW146" s="21">
        <f>EXP(-LN(2)/2)*AW145+(1-EXP(-LN(2)/2))/(LN(2)/2)*AQ146*AT146*VLOOKUP('Données projet'!$B$10,Paramètres!$A$1:$I$89,3,0)*0.475*44/12</f>
        <v>0.50638521366529399</v>
      </c>
      <c r="AX146" s="21">
        <f t="shared" si="114"/>
        <v>147.39359348529817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1.0818439477588981E-13</v>
      </c>
      <c r="BF146" s="13">
        <f t="shared" si="145"/>
        <v>1.6104228458716316E-12</v>
      </c>
      <c r="BG146" s="20">
        <f t="shared" si="115"/>
        <v>2.9932409441277661E-12</v>
      </c>
      <c r="BH146" s="59">
        <f t="shared" si="116"/>
        <v>285.82766277731446</v>
      </c>
      <c r="BI146" s="59">
        <f ca="1">AVERAGE(OFFSET($BH$3,0,0,'Données projet'!$E$11+1,1))-AVERAGE(OFFSET($H$3,0,0,'Données projet'!$E$11+1,1))</f>
        <v>423.80243030843661</v>
      </c>
      <c r="BJ146" s="59">
        <f t="shared" si="146"/>
        <v>260.29028006191834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29.165092919327758</v>
      </c>
      <c r="BQ146" s="21">
        <f>EXP(-LN(2)/25)*BQ145+(1-EXP(-LN(2)/25))/(LN(2)/25)*Calculateur!BL146*Calculateur!BN146*VLOOKUP('Données projet'!$B$11,Paramètres!$A$1:$I$89,3,0)*0.475*44/12</f>
        <v>24.429827065741907</v>
      </c>
      <c r="BR146" s="21">
        <f>EXP(-LN(2)/2)*BR145+(1-EXP(-LN(2)/2))/(LN(2)/2)*BL146*BO146*VLOOKUP('Données projet'!$B$11,Paramètres!$A$1:$I$89,3,0)*0.475*44/12</f>
        <v>2.2390719754354062E-2</v>
      </c>
      <c r="BS146" s="22">
        <f t="shared" si="117"/>
        <v>53.617310704824021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-1.3596945791505279E-13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373.61861223558259</v>
      </c>
      <c r="CE146" s="59">
        <f t="shared" si="148"/>
        <v>277.62293009761049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44.014522762855023</v>
      </c>
      <c r="CL146" s="21">
        <f>EXP(-LN(2)/25)*CL145+(1-EXP(-LN(2)/25))/(LN(2)/25)*Calculateur!CG146*Calculateur!CI146*VLOOKUP('Données projet'!$B$12,Paramètres!$A$1:$I$89,3,0)*0.475*44/12</f>
        <v>9.0212670252256739</v>
      </c>
      <c r="CM146" s="21">
        <f>EXP(-LN(2)/2)*CM145+(1-EXP(-LN(2)/2))/(LN(2)/2)*CG146*CJ146*VLOOKUP('Données projet'!$B$12,Paramètres!$A$1:$I$89,3,0)*0.475*44/12</f>
        <v>2.3285028369855847E-8</v>
      </c>
      <c r="CN146" s="22">
        <f t="shared" si="120"/>
        <v>53.035789811365724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2.4829205358400945E-14</v>
      </c>
      <c r="CV146" s="13">
        <f t="shared" si="149"/>
        <v>4.3867331143352915E-13</v>
      </c>
      <c r="CW146" s="20">
        <f t="shared" si="121"/>
        <v>8.0726688341261168E-13</v>
      </c>
      <c r="CX146" s="59">
        <f t="shared" si="122"/>
        <v>285.82766277731224</v>
      </c>
      <c r="CY146" s="59">
        <f ca="1">AVERAGE(OFFSET($CX$3,0,0,'Données projet'!$E$13+1,1))-AVERAGE(OFFSET($H$3,0,0,'Données projet'!$E$13+1,1))</f>
        <v>287.28439432670405</v>
      </c>
      <c r="CZ146" s="59">
        <f t="shared" si="150"/>
        <v>276.01618888357268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9.472798740866093</v>
      </c>
      <c r="DG146" s="21">
        <f>EXP(-LN(2)/25)*DG145+(1-EXP(-LN(2)/25))/(LN(2)/25)*Calculateur!DB146*Calculateur!DD146*VLOOKUP('Données projet'!$B$13,Paramètres!$A$1:$I$89,3,0)*0.475*44/12</f>
        <v>6.3628155689698254</v>
      </c>
      <c r="DH146" s="21">
        <f>EXP(-LN(2)/2)*DH145+(1-EXP(-LN(2)/2))/(LN(2)/2)*DB146*DE146*VLOOKUP('Données projet'!$B$13,Paramètres!$A$1:$I$89,3,0)*0.475*44/12</f>
        <v>1.4964252274896405E-8</v>
      </c>
      <c r="DI146" s="22">
        <f t="shared" si="123"/>
        <v>15.83561432480017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9">
        <f t="shared" si="109"/>
        <v>1280.3402417361278</v>
      </c>
      <c r="S147" s="59">
        <f ca="1">AVERAGE(OFFSET($R$3,0,0,'Données projet'!$E$9+1,1))-AVERAGE(OFFSET($H$3,0,0,'Données projet'!$E$9+1,1))</f>
        <v>681.47578137804555</v>
      </c>
      <c r="T147" s="59">
        <f t="shared" si="142"/>
        <v>300.88511065995885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1.7053025658242404E-13</v>
      </c>
      <c r="AJ147" s="13">
        <f>AI147*VLOOKUP('Données projet'!$B$10,Paramètres!$A$1:$I$89,3,0)*VLOOKUP('Données projet'!$B$10,Paramètres!$A$1:$I$89,5,0)</f>
        <v>7.9808160080574461E-14</v>
      </c>
      <c r="AK147" s="13">
        <f t="shared" si="143"/>
        <v>1.2308384591775343E-12</v>
      </c>
      <c r="AL147" s="20">
        <f t="shared" si="112"/>
        <v>2.282709528541206E-12</v>
      </c>
      <c r="AM147" s="59">
        <f t="shared" si="113"/>
        <v>285.95786938129515</v>
      </c>
      <c r="AN147" s="59">
        <f ca="1">AVERAGE(OFFSET($AM$3,0,0,'Données projet'!$E$10+1,1))-AVERAGE(OFFSET($H$3,0,0,'Données projet'!$E$10+1,1))</f>
        <v>374.38106339726073</v>
      </c>
      <c r="AO147" s="59">
        <f t="shared" si="144"/>
        <v>296.53283288925957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112.43660882268179</v>
      </c>
      <c r="AV147" s="21">
        <f>EXP(-LN(2)/25)*AV146+(1-EXP(-LN(2)/25))/(LN(2)/25)*Calculateur!AQ147*Calculateur!AS147*VLOOKUP('Données projet'!$B$10,Paramètres!$A$1:$I$89,3,0)*0.475*44/12</f>
        <v>31.321129508948875</v>
      </c>
      <c r="AW147" s="21">
        <f>EXP(-LN(2)/2)*AW146+(1-EXP(-LN(2)/2))/(LN(2)/2)*AQ147*AT147*VLOOKUP('Données projet'!$B$10,Paramètres!$A$1:$I$89,3,0)*0.475*44/12</f>
        <v>0.35806841847532817</v>
      </c>
      <c r="AX147" s="21">
        <f t="shared" si="114"/>
        <v>144.115806750106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1.0818439477588981E-13</v>
      </c>
      <c r="BF147" s="13">
        <f t="shared" si="145"/>
        <v>1.6104228458716316E-12</v>
      </c>
      <c r="BG147" s="20">
        <f t="shared" si="115"/>
        <v>2.9932409441277661E-12</v>
      </c>
      <c r="BH147" s="59">
        <f t="shared" si="116"/>
        <v>285.95786938129589</v>
      </c>
      <c r="BI147" s="59">
        <f ca="1">AVERAGE(OFFSET($BH$3,0,0,'Données projet'!$E$11+1,1))-AVERAGE(OFFSET($H$3,0,0,'Données projet'!$E$11+1,1))</f>
        <v>423.80243030843661</v>
      </c>
      <c r="BJ147" s="59">
        <f t="shared" si="146"/>
        <v>260.29028006191834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28.59318323612991</v>
      </c>
      <c r="BQ147" s="21">
        <f>EXP(-LN(2)/25)*BQ146+(1-EXP(-LN(2)/25))/(LN(2)/25)*Calculateur!BL147*Calculateur!BN147*VLOOKUP('Données projet'!$B$11,Paramètres!$A$1:$I$89,3,0)*0.475*44/12</f>
        <v>23.761792159920425</v>
      </c>
      <c r="BR147" s="21">
        <f>EXP(-LN(2)/2)*BR146+(1-EXP(-LN(2)/2))/(LN(2)/2)*BL147*BO147*VLOOKUP('Données projet'!$B$11,Paramètres!$A$1:$I$89,3,0)*0.475*44/12</f>
        <v>1.5832629773951345E-2</v>
      </c>
      <c r="BS147" s="22">
        <f t="shared" si="117"/>
        <v>52.370808025824289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-1.3596945791505279E-13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373.61861223558259</v>
      </c>
      <c r="CE147" s="59">
        <f t="shared" si="148"/>
        <v>277.62293009761049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43.151424817683477</v>
      </c>
      <c r="CL147" s="21">
        <f>EXP(-LN(2)/25)*CL146+(1-EXP(-LN(2)/25))/(LN(2)/25)*Calculateur!CG147*Calculateur!CI147*VLOOKUP('Données projet'!$B$12,Paramètres!$A$1:$I$89,3,0)*0.475*44/12</f>
        <v>8.7745800040130639</v>
      </c>
      <c r="CM147" s="21">
        <f>EXP(-LN(2)/2)*CM146+(1-EXP(-LN(2)/2))/(LN(2)/2)*CG147*CJ147*VLOOKUP('Données projet'!$B$12,Paramètres!$A$1:$I$89,3,0)*0.475*44/12</f>
        <v>1.6465001460446209E-8</v>
      </c>
      <c r="CN147" s="22">
        <f t="shared" si="120"/>
        <v>51.926004838161539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2.4829205358400945E-14</v>
      </c>
      <c r="CV147" s="13">
        <f t="shared" si="149"/>
        <v>4.3867331143352915E-13</v>
      </c>
      <c r="CW147" s="20">
        <f t="shared" si="121"/>
        <v>8.0726688341261168E-13</v>
      </c>
      <c r="CX147" s="59">
        <f t="shared" si="122"/>
        <v>285.95786938129368</v>
      </c>
      <c r="CY147" s="59">
        <f ca="1">AVERAGE(OFFSET($CX$3,0,0,'Données projet'!$E$13+1,1))-AVERAGE(OFFSET($H$3,0,0,'Données projet'!$E$13+1,1))</f>
        <v>287.28439432670405</v>
      </c>
      <c r="CZ147" s="59">
        <f t="shared" si="150"/>
        <v>276.01618888357268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9.2870429353944264</v>
      </c>
      <c r="DG147" s="21">
        <f>EXP(-LN(2)/25)*DG146+(1-EXP(-LN(2)/25))/(LN(2)/25)*Calculateur!DB147*Calculateur!DD147*VLOOKUP('Données projet'!$B$13,Paramètres!$A$1:$I$89,3,0)*0.475*44/12</f>
        <v>6.1888240426304169</v>
      </c>
      <c r="DH147" s="21">
        <f>EXP(-LN(2)/2)*DH146+(1-EXP(-LN(2)/2))/(LN(2)/2)*DB147*DE147*VLOOKUP('Données projet'!$B$13,Paramètres!$A$1:$I$89,3,0)*0.475*44/12</f>
        <v>1.0581324258965469E-8</v>
      </c>
      <c r="DI147" s="22">
        <f t="shared" si="123"/>
        <v>15.475866988606167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9">
        <f t="shared" si="109"/>
        <v>1181.2225383998002</v>
      </c>
      <c r="S148" s="59">
        <f ca="1">AVERAGE(OFFSET($R$3,0,0,'Données projet'!$E$9+1,1))-AVERAGE(OFFSET($H$3,0,0,'Données projet'!$E$9+1,1))</f>
        <v>681.47578137804555</v>
      </c>
      <c r="T148" s="59">
        <f t="shared" si="142"/>
        <v>300.88511065995885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1.7053025658242404E-13</v>
      </c>
      <c r="AJ148" s="13">
        <f>AI148*VLOOKUP('Données projet'!$B$10,Paramètres!$A$1:$I$89,3,0)*VLOOKUP('Données projet'!$B$10,Paramètres!$A$1:$I$89,5,0)</f>
        <v>7.9808160080574461E-14</v>
      </c>
      <c r="AK148" s="13">
        <f t="shared" si="143"/>
        <v>1.2308384591775343E-12</v>
      </c>
      <c r="AL148" s="20">
        <f t="shared" si="112"/>
        <v>2.282709528541206E-12</v>
      </c>
      <c r="AM148" s="59">
        <f t="shared" si="113"/>
        <v>286.08581719179585</v>
      </c>
      <c r="AN148" s="59">
        <f ca="1">AVERAGE(OFFSET($AM$3,0,0,'Données projet'!$E$10+1,1))-AVERAGE(OFFSET($H$3,0,0,'Données projet'!$E$10+1,1))</f>
        <v>374.38106339726073</v>
      </c>
      <c r="AO148" s="59">
        <f t="shared" si="144"/>
        <v>296.53283288925957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110.23179550322871</v>
      </c>
      <c r="AV148" s="21">
        <f>EXP(-LN(2)/25)*AV147+(1-EXP(-LN(2)/25))/(LN(2)/25)*Calculateur!AQ148*Calculateur!AS148*VLOOKUP('Données projet'!$B$10,Paramètres!$A$1:$I$89,3,0)*0.475*44/12</f>
        <v>30.464651575420053</v>
      </c>
      <c r="AW148" s="21">
        <f>EXP(-LN(2)/2)*AW147+(1-EXP(-LN(2)/2))/(LN(2)/2)*AQ148*AT148*VLOOKUP('Données projet'!$B$10,Paramètres!$A$1:$I$89,3,0)*0.475*44/12</f>
        <v>0.25319260683264699</v>
      </c>
      <c r="AX148" s="21">
        <f t="shared" si="114"/>
        <v>140.9496396854814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1.0818439477588981E-13</v>
      </c>
      <c r="BF148" s="13">
        <f t="shared" si="145"/>
        <v>1.6104228458716316E-12</v>
      </c>
      <c r="BG148" s="20">
        <f t="shared" si="115"/>
        <v>2.9932409441277661E-12</v>
      </c>
      <c r="BH148" s="59">
        <f t="shared" si="116"/>
        <v>286.08581719179659</v>
      </c>
      <c r="BI148" s="59">
        <f ca="1">AVERAGE(OFFSET($BH$3,0,0,'Données projet'!$E$11+1,1))-AVERAGE(OFFSET($H$3,0,0,'Données projet'!$E$11+1,1))</f>
        <v>423.80243030843661</v>
      </c>
      <c r="BJ148" s="59">
        <f t="shared" si="146"/>
        <v>260.29028006191834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28.032488352989109</v>
      </c>
      <c r="BQ148" s="21">
        <f>EXP(-LN(2)/25)*BQ147+(1-EXP(-LN(2)/25))/(LN(2)/25)*Calculateur!BL148*Calculateur!BN148*VLOOKUP('Données projet'!$B$11,Paramètres!$A$1:$I$89,3,0)*0.475*44/12</f>
        <v>23.112024703729059</v>
      </c>
      <c r="BR148" s="21">
        <f>EXP(-LN(2)/2)*BR147+(1-EXP(-LN(2)/2))/(LN(2)/2)*BL148*BO148*VLOOKUP('Données projet'!$B$11,Paramètres!$A$1:$I$89,3,0)*0.475*44/12</f>
        <v>1.1195359877177031E-2</v>
      </c>
      <c r="BS148" s="22">
        <f t="shared" si="117"/>
        <v>51.155708416595346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-1.3596945791505279E-13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373.61861223558259</v>
      </c>
      <c r="CE148" s="59">
        <f t="shared" si="148"/>
        <v>277.62293009761049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42.305251696778981</v>
      </c>
      <c r="CL148" s="21">
        <f>EXP(-LN(2)/25)*CL147+(1-EXP(-LN(2)/25))/(LN(2)/25)*Calculateur!CG148*Calculateur!CI148*VLOOKUP('Données projet'!$B$12,Paramètres!$A$1:$I$89,3,0)*0.475*44/12</f>
        <v>8.5346386523682192</v>
      </c>
      <c r="CM148" s="21">
        <f>EXP(-LN(2)/2)*CM147+(1-EXP(-LN(2)/2))/(LN(2)/2)*CG148*CJ148*VLOOKUP('Données projet'!$B$12,Paramètres!$A$1:$I$89,3,0)*0.475*44/12</f>
        <v>1.1642514184927923E-8</v>
      </c>
      <c r="CN148" s="22">
        <f t="shared" si="120"/>
        <v>50.83989036078971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2.4829205358400945E-14</v>
      </c>
      <c r="CV148" s="13">
        <f t="shared" si="149"/>
        <v>4.3867331143352915E-13</v>
      </c>
      <c r="CW148" s="20">
        <f t="shared" si="121"/>
        <v>8.0726688341261168E-13</v>
      </c>
      <c r="CX148" s="59">
        <f t="shared" si="122"/>
        <v>286.08581719179438</v>
      </c>
      <c r="CY148" s="59">
        <f ca="1">AVERAGE(OFFSET($CX$3,0,0,'Données projet'!$E$13+1,1))-AVERAGE(OFFSET($H$3,0,0,'Données projet'!$E$13+1,1))</f>
        <v>287.28439432670405</v>
      </c>
      <c r="CZ148" s="59">
        <f t="shared" si="150"/>
        <v>276.01618888357268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9.1049296879682053</v>
      </c>
      <c r="DG148" s="21">
        <f>EXP(-LN(2)/25)*DG147+(1-EXP(-LN(2)/25))/(LN(2)/25)*Calculateur!DB148*Calculateur!DD148*VLOOKUP('Données projet'!$B$13,Paramètres!$A$1:$I$89,3,0)*0.475*44/12</f>
        <v>6.0195903237285764</v>
      </c>
      <c r="DH148" s="21">
        <f>EXP(-LN(2)/2)*DH147+(1-EXP(-LN(2)/2))/(LN(2)/2)*DB148*DE148*VLOOKUP('Données projet'!$B$13,Paramètres!$A$1:$I$89,3,0)*0.475*44/12</f>
        <v>7.4821261374482027E-9</v>
      </c>
      <c r="DI148" s="22">
        <f t="shared" si="123"/>
        <v>15.124520019178908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9">
        <f t="shared" si="109"/>
        <v>1199.022208885388</v>
      </c>
      <c r="S149" s="59">
        <f ca="1">AVERAGE(OFFSET($R$3,0,0,'Données projet'!$E$9+1,1))-AVERAGE(OFFSET($H$3,0,0,'Données projet'!$E$9+1,1))</f>
        <v>681.47578137804555</v>
      </c>
      <c r="T149" s="59">
        <f t="shared" si="142"/>
        <v>300.88511065995885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1.7053025658242404E-13</v>
      </c>
      <c r="AJ149" s="13">
        <f>AI149*VLOOKUP('Données projet'!$B$10,Paramètres!$A$1:$I$89,3,0)*VLOOKUP('Données projet'!$B$10,Paramètres!$A$1:$I$89,5,0)</f>
        <v>7.9808160080574461E-14</v>
      </c>
      <c r="AK149" s="13">
        <f t="shared" si="143"/>
        <v>1.2308384591775343E-12</v>
      </c>
      <c r="AL149" s="20">
        <f t="shared" si="112"/>
        <v>2.282709528541206E-12</v>
      </c>
      <c r="AM149" s="59">
        <f t="shared" si="113"/>
        <v>286.21154539383292</v>
      </c>
      <c r="AN149" s="59">
        <f ca="1">AVERAGE(OFFSET($AM$3,0,0,'Données projet'!$E$10+1,1))-AVERAGE(OFFSET($H$3,0,0,'Données projet'!$E$10+1,1))</f>
        <v>374.38106339726073</v>
      </c>
      <c r="AO149" s="59">
        <f t="shared" si="144"/>
        <v>296.53283288925957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108.07021722816677</v>
      </c>
      <c r="AV149" s="21">
        <f>EXP(-LN(2)/25)*AV148+(1-EXP(-LN(2)/25))/(LN(2)/25)*Calculateur!AQ149*Calculateur!AS149*VLOOKUP('Données projet'!$B$10,Paramètres!$A$1:$I$89,3,0)*0.475*44/12</f>
        <v>29.631594076023791</v>
      </c>
      <c r="AW149" s="21">
        <f>EXP(-LN(2)/2)*AW148+(1-EXP(-LN(2)/2))/(LN(2)/2)*AQ149*AT149*VLOOKUP('Données projet'!$B$10,Paramètres!$A$1:$I$89,3,0)*0.475*44/12</f>
        <v>0.17903420923766408</v>
      </c>
      <c r="AX149" s="21">
        <f t="shared" si="114"/>
        <v>137.88084551342823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1.0818439477588981E-13</v>
      </c>
      <c r="BF149" s="13">
        <f t="shared" si="145"/>
        <v>1.6104228458716316E-12</v>
      </c>
      <c r="BG149" s="20">
        <f t="shared" si="115"/>
        <v>2.9932409441277661E-12</v>
      </c>
      <c r="BH149" s="59">
        <f t="shared" si="116"/>
        <v>286.21154539383366</v>
      </c>
      <c r="BI149" s="59">
        <f ca="1">AVERAGE(OFFSET($BH$3,0,0,'Données projet'!$E$11+1,1))-AVERAGE(OFFSET($H$3,0,0,'Données projet'!$E$11+1,1))</f>
        <v>423.80243030843661</v>
      </c>
      <c r="BJ149" s="59">
        <f t="shared" si="146"/>
        <v>260.29028006191834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27.482788354516586</v>
      </c>
      <c r="BQ149" s="21">
        <f>EXP(-LN(2)/25)*BQ148+(1-EXP(-LN(2)/25))/(LN(2)/25)*Calculateur!BL149*Calculateur!BN149*VLOOKUP('Données projet'!$B$11,Paramètres!$A$1:$I$89,3,0)*0.475*44/12</f>
        <v>22.480025172797031</v>
      </c>
      <c r="BR149" s="21">
        <f>EXP(-LN(2)/2)*BR148+(1-EXP(-LN(2)/2))/(LN(2)/2)*BL149*BO149*VLOOKUP('Données projet'!$B$11,Paramètres!$A$1:$I$89,3,0)*0.475*44/12</f>
        <v>7.9163148869756724E-3</v>
      </c>
      <c r="BS149" s="22">
        <f t="shared" si="117"/>
        <v>49.970729842200591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-1.3596945791505279E-13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373.61861223558259</v>
      </c>
      <c r="CE149" s="59">
        <f t="shared" si="148"/>
        <v>277.62293009761049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41.475671514660782</v>
      </c>
      <c r="CL149" s="21">
        <f>EXP(-LN(2)/25)*CL148+(1-EXP(-LN(2)/25))/(LN(2)/25)*Calculateur!CG149*Calculateur!CI149*VLOOKUP('Données projet'!$B$12,Paramètres!$A$1:$I$89,3,0)*0.475*44/12</f>
        <v>8.3012585096020697</v>
      </c>
      <c r="CM149" s="21">
        <f>EXP(-LN(2)/2)*CM148+(1-EXP(-LN(2)/2))/(LN(2)/2)*CG149*CJ149*VLOOKUP('Données projet'!$B$12,Paramètres!$A$1:$I$89,3,0)*0.475*44/12</f>
        <v>8.2325007302231047E-9</v>
      </c>
      <c r="CN149" s="22">
        <f t="shared" si="120"/>
        <v>49.776930032495351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2.4829205358400945E-14</v>
      </c>
      <c r="CV149" s="13">
        <f t="shared" si="149"/>
        <v>4.3867331143352915E-13</v>
      </c>
      <c r="CW149" s="20">
        <f t="shared" si="121"/>
        <v>8.0726688341261168E-13</v>
      </c>
      <c r="CX149" s="59">
        <f t="shared" si="122"/>
        <v>286.21154539383144</v>
      </c>
      <c r="CY149" s="59">
        <f ca="1">AVERAGE(OFFSET($CX$3,0,0,'Données projet'!$E$13+1,1))-AVERAGE(OFFSET($H$3,0,0,'Données projet'!$E$13+1,1))</f>
        <v>287.28439432670405</v>
      </c>
      <c r="CZ149" s="59">
        <f t="shared" si="150"/>
        <v>276.01618888357268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8.9263875702459003</v>
      </c>
      <c r="DG149" s="21">
        <f>EXP(-LN(2)/25)*DG148+(1-EXP(-LN(2)/25))/(LN(2)/25)*Calculateur!DB149*Calculateur!DD149*VLOOKUP('Données projet'!$B$13,Paramètres!$A$1:$I$89,3,0)*0.475*44/12</f>
        <v>5.854984309769721</v>
      </c>
      <c r="DH149" s="21">
        <f>EXP(-LN(2)/2)*DH148+(1-EXP(-LN(2)/2))/(LN(2)/2)*DB149*DE149*VLOOKUP('Données projet'!$B$13,Paramètres!$A$1:$I$89,3,0)*0.475*44/12</f>
        <v>5.2906621294827344E-9</v>
      </c>
      <c r="DI149" s="22">
        <f t="shared" si="123"/>
        <v>14.781371885306283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9">
        <f t="shared" si="109"/>
        <v>1216.812881097361</v>
      </c>
      <c r="S150" s="59">
        <f ca="1">AVERAGE(OFFSET($R$3,0,0,'Données projet'!$E$9+1,1))-AVERAGE(OFFSET($H$3,0,0,'Données projet'!$E$9+1,1))</f>
        <v>681.47578137804555</v>
      </c>
      <c r="T150" s="59">
        <f t="shared" si="142"/>
        <v>300.88511065995885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1.7053025658242404E-13</v>
      </c>
      <c r="AJ150" s="13">
        <f>AI150*VLOOKUP('Données projet'!$B$10,Paramètres!$A$1:$I$89,3,0)*VLOOKUP('Données projet'!$B$10,Paramètres!$A$1:$I$89,5,0)</f>
        <v>7.9808160080574461E-14</v>
      </c>
      <c r="AK150" s="13">
        <f t="shared" si="143"/>
        <v>1.2308384591775343E-12</v>
      </c>
      <c r="AL150" s="20">
        <f t="shared" si="112"/>
        <v>2.282709528541206E-12</v>
      </c>
      <c r="AM150" s="59">
        <f t="shared" si="113"/>
        <v>286.33509249265069</v>
      </c>
      <c r="AN150" s="59">
        <f ca="1">AVERAGE(OFFSET($AM$3,0,0,'Données projet'!$E$10+1,1))-AVERAGE(OFFSET($H$3,0,0,'Données projet'!$E$10+1,1))</f>
        <v>374.38106339726073</v>
      </c>
      <c r="AO150" s="59">
        <f t="shared" si="144"/>
        <v>296.53283288925957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105.95102618464622</v>
      </c>
      <c r="AV150" s="21">
        <f>EXP(-LN(2)/25)*AV149+(1-EXP(-LN(2)/25))/(LN(2)/25)*Calculateur!AQ150*Calculateur!AS150*VLOOKUP('Données projet'!$B$10,Paramètres!$A$1:$I$89,3,0)*0.475*44/12</f>
        <v>28.821316577757113</v>
      </c>
      <c r="AW150" s="21">
        <f>EXP(-LN(2)/2)*AW149+(1-EXP(-LN(2)/2))/(LN(2)/2)*AQ150*AT150*VLOOKUP('Données projet'!$B$10,Paramètres!$A$1:$I$89,3,0)*0.475*44/12</f>
        <v>0.1265963034163235</v>
      </c>
      <c r="AX150" s="21">
        <f t="shared" si="114"/>
        <v>134.89893906581966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1.0818439477588981E-13</v>
      </c>
      <c r="BF150" s="13">
        <f t="shared" si="145"/>
        <v>1.6104228458716316E-12</v>
      </c>
      <c r="BG150" s="20">
        <f t="shared" si="115"/>
        <v>2.9932409441277661E-12</v>
      </c>
      <c r="BH150" s="59">
        <f t="shared" si="116"/>
        <v>286.33509249265143</v>
      </c>
      <c r="BI150" s="59">
        <f ca="1">AVERAGE(OFFSET($BH$3,0,0,'Données projet'!$E$11+1,1))-AVERAGE(OFFSET($H$3,0,0,'Données projet'!$E$11+1,1))</f>
        <v>423.80243030843661</v>
      </c>
      <c r="BJ150" s="59">
        <f t="shared" si="146"/>
        <v>260.29028006191834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26.943867637730218</v>
      </c>
      <c r="BQ150" s="21">
        <f>EXP(-LN(2)/25)*BQ149+(1-EXP(-LN(2)/25))/(LN(2)/25)*Calculateur!BL150*Calculateur!BN150*VLOOKUP('Données projet'!$B$11,Paramètres!$A$1:$I$89,3,0)*0.475*44/12</f>
        <v>21.86530770227375</v>
      </c>
      <c r="BR150" s="21">
        <f>EXP(-LN(2)/2)*BR149+(1-EXP(-LN(2)/2))/(LN(2)/2)*BL150*BO150*VLOOKUP('Données projet'!$B$11,Paramètres!$A$1:$I$89,3,0)*0.475*44/12</f>
        <v>5.5976799385885154E-3</v>
      </c>
      <c r="BS150" s="22">
        <f t="shared" si="117"/>
        <v>48.814773019942557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-1.3596945791505279E-13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373.61861223558259</v>
      </c>
      <c r="CE150" s="59">
        <f t="shared" si="148"/>
        <v>277.62293009761049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40.662358893919972</v>
      </c>
      <c r="CL150" s="21">
        <f>EXP(-LN(2)/25)*CL149+(1-EXP(-LN(2)/25))/(LN(2)/25)*Calculateur!CG150*Calculateur!CI150*VLOOKUP('Données projet'!$B$12,Paramètres!$A$1:$I$89,3,0)*0.475*44/12</f>
        <v>8.0742601591127894</v>
      </c>
      <c r="CM150" s="21">
        <f>EXP(-LN(2)/2)*CM149+(1-EXP(-LN(2)/2))/(LN(2)/2)*CG150*CJ150*VLOOKUP('Données projet'!$B$12,Paramètres!$A$1:$I$89,3,0)*0.475*44/12</f>
        <v>5.8212570924639616E-9</v>
      </c>
      <c r="CN150" s="22">
        <f t="shared" si="120"/>
        <v>48.736619058854018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2.4829205358400945E-14</v>
      </c>
      <c r="CV150" s="13">
        <f t="shared" si="149"/>
        <v>4.3867331143352915E-13</v>
      </c>
      <c r="CW150" s="20">
        <f t="shared" si="121"/>
        <v>8.0726688341261168E-13</v>
      </c>
      <c r="CX150" s="59">
        <f t="shared" si="122"/>
        <v>286.33509249264921</v>
      </c>
      <c r="CY150" s="59">
        <f ca="1">AVERAGE(OFFSET($CX$3,0,0,'Données projet'!$E$13+1,1))-AVERAGE(OFFSET($H$3,0,0,'Données projet'!$E$13+1,1))</f>
        <v>287.28439432670405</v>
      </c>
      <c r="CZ150" s="59">
        <f t="shared" si="150"/>
        <v>276.01618888357268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8.7513465545521907</v>
      </c>
      <c r="DG150" s="21">
        <f>EXP(-LN(2)/25)*DG149+(1-EXP(-LN(2)/25))/(LN(2)/25)*Calculateur!DB150*Calculateur!DD150*VLOOKUP('Données projet'!$B$13,Paramètres!$A$1:$I$89,3,0)*0.475*44/12</f>
        <v>5.6948794559188247</v>
      </c>
      <c r="DH150" s="21">
        <f>EXP(-LN(2)/2)*DH149+(1-EXP(-LN(2)/2))/(LN(2)/2)*DB150*DE150*VLOOKUP('Données projet'!$B$13,Paramètres!$A$1:$I$89,3,0)*0.475*44/12</f>
        <v>3.7410630687241013E-9</v>
      </c>
      <c r="DI150" s="22">
        <f t="shared" si="123"/>
        <v>14.446226014212078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9">
        <f t="shared" si="109"/>
        <v>1234.5947403848643</v>
      </c>
      <c r="S151" s="59">
        <f ca="1">AVERAGE(OFFSET($R$3,0,0,'Données projet'!$E$9+1,1))-AVERAGE(OFFSET($H$3,0,0,'Données projet'!$E$9+1,1))</f>
        <v>681.47578137804555</v>
      </c>
      <c r="T151" s="59">
        <f t="shared" si="142"/>
        <v>300.88511065995885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1.7053025658242404E-13</v>
      </c>
      <c r="AJ151" s="13">
        <f>AI151*VLOOKUP('Données projet'!$B$10,Paramètres!$A$1:$I$89,3,0)*VLOOKUP('Données projet'!$B$10,Paramètres!$A$1:$I$89,5,0)</f>
        <v>7.9808160080574461E-14</v>
      </c>
      <c r="AK151" s="13">
        <f t="shared" si="143"/>
        <v>1.2308384591775343E-12</v>
      </c>
      <c r="AL151" s="20">
        <f t="shared" si="112"/>
        <v>2.282709528541206E-12</v>
      </c>
      <c r="AM151" s="59">
        <f t="shared" si="113"/>
        <v>286.45649632551397</v>
      </c>
      <c r="AN151" s="59">
        <f ca="1">AVERAGE(OFFSET($AM$3,0,0,'Données projet'!$E$10+1,1))-AVERAGE(OFFSET($H$3,0,0,'Données projet'!$E$10+1,1))</f>
        <v>374.38106339726073</v>
      </c>
      <c r="AO151" s="59">
        <f t="shared" si="144"/>
        <v>296.53283288925957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103.87339118491022</v>
      </c>
      <c r="AV151" s="21">
        <f>EXP(-LN(2)/25)*AV150+(1-EXP(-LN(2)/25))/(LN(2)/25)*Calculateur!AQ151*Calculateur!AS151*VLOOKUP('Données projet'!$B$10,Paramètres!$A$1:$I$89,3,0)*0.475*44/12</f>
        <v>28.033196160291176</v>
      </c>
      <c r="AW151" s="21">
        <f>EXP(-LN(2)/2)*AW150+(1-EXP(-LN(2)/2))/(LN(2)/2)*AQ151*AT151*VLOOKUP('Données projet'!$B$10,Paramètres!$A$1:$I$89,3,0)*0.475*44/12</f>
        <v>8.9517104618832041E-2</v>
      </c>
      <c r="AX151" s="21">
        <f t="shared" si="114"/>
        <v>131.99610444982022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1.0818439477588981E-13</v>
      </c>
      <c r="BF151" s="13">
        <f t="shared" si="145"/>
        <v>1.6104228458716316E-12</v>
      </c>
      <c r="BG151" s="20">
        <f t="shared" si="115"/>
        <v>2.9932409441277661E-12</v>
      </c>
      <c r="BH151" s="59">
        <f t="shared" si="116"/>
        <v>286.45649632551471</v>
      </c>
      <c r="BI151" s="59">
        <f ca="1">AVERAGE(OFFSET($BH$3,0,0,'Données projet'!$E$11+1,1))-AVERAGE(OFFSET($H$3,0,0,'Données projet'!$E$11+1,1))</f>
        <v>423.80243030843661</v>
      </c>
      <c r="BJ151" s="59">
        <f t="shared" si="146"/>
        <v>260.29028006191834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26.415514827490853</v>
      </c>
      <c r="BQ151" s="21">
        <f>EXP(-LN(2)/25)*BQ150+(1-EXP(-LN(2)/25))/(LN(2)/25)*Calculateur!BL151*Calculateur!BN151*VLOOKUP('Données projet'!$B$11,Paramètres!$A$1:$I$89,3,0)*0.475*44/12</f>
        <v>21.267399713308517</v>
      </c>
      <c r="BR151" s="21">
        <f>EXP(-LN(2)/2)*BR150+(1-EXP(-LN(2)/2))/(LN(2)/2)*BL151*BO151*VLOOKUP('Données projet'!$B$11,Paramètres!$A$1:$I$89,3,0)*0.475*44/12</f>
        <v>3.9581574434878362E-3</v>
      </c>
      <c r="BS151" s="22">
        <f t="shared" si="117"/>
        <v>47.686872698242858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-1.3596945791505279E-13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373.61861223558259</v>
      </c>
      <c r="CE151" s="59">
        <f t="shared" si="148"/>
        <v>277.62293009761049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39.864994837600172</v>
      </c>
      <c r="CL151" s="21">
        <f>EXP(-LN(2)/25)*CL150+(1-EXP(-LN(2)/25))/(LN(2)/25)*Calculateur!CG151*Calculateur!CI151*VLOOKUP('Données projet'!$B$12,Paramètres!$A$1:$I$89,3,0)*0.475*44/12</f>
        <v>7.8534690904549622</v>
      </c>
      <c r="CM151" s="21">
        <f>EXP(-LN(2)/2)*CM150+(1-EXP(-LN(2)/2))/(LN(2)/2)*CG151*CJ151*VLOOKUP('Données projet'!$B$12,Paramètres!$A$1:$I$89,3,0)*0.475*44/12</f>
        <v>4.1162503651115523E-9</v>
      </c>
      <c r="CN151" s="22">
        <f t="shared" si="120"/>
        <v>47.718463932171389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2.4829205358400945E-14</v>
      </c>
      <c r="CV151" s="13">
        <f t="shared" si="149"/>
        <v>4.3867331143352915E-13</v>
      </c>
      <c r="CW151" s="20">
        <f t="shared" si="121"/>
        <v>8.0726688341261168E-13</v>
      </c>
      <c r="CX151" s="59">
        <f t="shared" si="122"/>
        <v>286.45649632551249</v>
      </c>
      <c r="CY151" s="59">
        <f ca="1">AVERAGE(OFFSET($CX$3,0,0,'Données projet'!$E$13+1,1))-AVERAGE(OFFSET($H$3,0,0,'Données projet'!$E$13+1,1))</f>
        <v>287.28439432670405</v>
      </c>
      <c r="CZ151" s="59">
        <f t="shared" si="150"/>
        <v>276.01618888357268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8.5797379864117573</v>
      </c>
      <c r="DG151" s="21">
        <f>EXP(-LN(2)/25)*DG150+(1-EXP(-LN(2)/25))/(LN(2)/25)*Calculateur!DB151*Calculateur!DD151*VLOOKUP('Données projet'!$B$13,Paramètres!$A$1:$I$89,3,0)*0.475*44/12</f>
        <v>5.5391526777160296</v>
      </c>
      <c r="DH151" s="21">
        <f>EXP(-LN(2)/2)*DH150+(1-EXP(-LN(2)/2))/(LN(2)/2)*DB151*DE151*VLOOKUP('Données projet'!$B$13,Paramètres!$A$1:$I$89,3,0)*0.475*44/12</f>
        <v>2.6453310647413672E-9</v>
      </c>
      <c r="DI151" s="22">
        <f t="shared" si="123"/>
        <v>14.118890666773117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9">
        <f t="shared" si="109"/>
        <v>1252.367965504357</v>
      </c>
      <c r="S152" s="59">
        <f ca="1">AVERAGE(OFFSET($R$3,0,0,'Données projet'!$E$9+1,1))-AVERAGE(OFFSET($H$3,0,0,'Données projet'!$E$9+1,1))</f>
        <v>681.47578137804555</v>
      </c>
      <c r="T152" s="59">
        <f t="shared" si="142"/>
        <v>300.88511065995885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1.7053025658242404E-13</v>
      </c>
      <c r="AJ152" s="13">
        <f>AI152*VLOOKUP('Données projet'!$B$10,Paramètres!$A$1:$I$89,3,0)*VLOOKUP('Données projet'!$B$10,Paramètres!$A$1:$I$89,5,0)</f>
        <v>7.9808160080574461E-14</v>
      </c>
      <c r="AK152" s="13">
        <f t="shared" si="143"/>
        <v>1.2308384591775343E-12</v>
      </c>
      <c r="AL152" s="20">
        <f t="shared" si="112"/>
        <v>2.282709528541206E-12</v>
      </c>
      <c r="AM152" s="59">
        <f t="shared" si="113"/>
        <v>286.57579407329536</v>
      </c>
      <c r="AN152" s="59">
        <f ca="1">AVERAGE(OFFSET($AM$3,0,0,'Données projet'!$E$10+1,1))-AVERAGE(OFFSET($H$3,0,0,'Données projet'!$E$10+1,1))</f>
        <v>374.38106339726073</v>
      </c>
      <c r="AO152" s="59">
        <f t="shared" si="144"/>
        <v>296.53283288925957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101.83649734028681</v>
      </c>
      <c r="AV152" s="21">
        <f>EXP(-LN(2)/25)*AV151+(1-EXP(-LN(2)/25))/(LN(2)/25)*Calculateur!AQ152*Calculateur!AS152*VLOOKUP('Données projet'!$B$10,Paramètres!$A$1:$I$89,3,0)*0.475*44/12</f>
        <v>27.266626937086297</v>
      </c>
      <c r="AW152" s="21">
        <f>EXP(-LN(2)/2)*AW151+(1-EXP(-LN(2)/2))/(LN(2)/2)*AQ152*AT152*VLOOKUP('Données projet'!$B$10,Paramètres!$A$1:$I$89,3,0)*0.475*44/12</f>
        <v>6.3298151708161748E-2</v>
      </c>
      <c r="AX152" s="21">
        <f t="shared" si="114"/>
        <v>129.16642242908125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1.0818439477588981E-13</v>
      </c>
      <c r="BF152" s="13">
        <f t="shared" si="145"/>
        <v>1.6104228458716316E-12</v>
      </c>
      <c r="BG152" s="20">
        <f t="shared" si="115"/>
        <v>2.9932409441277661E-12</v>
      </c>
      <c r="BH152" s="59">
        <f t="shared" si="116"/>
        <v>286.57579407329609</v>
      </c>
      <c r="BI152" s="59">
        <f ca="1">AVERAGE(OFFSET($BH$3,0,0,'Données projet'!$E$11+1,1))-AVERAGE(OFFSET($H$3,0,0,'Données projet'!$E$11+1,1))</f>
        <v>423.80243030843661</v>
      </c>
      <c r="BJ152" s="59">
        <f t="shared" si="146"/>
        <v>260.29028006191834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25.897522693596887</v>
      </c>
      <c r="BQ152" s="21">
        <f>EXP(-LN(2)/25)*BQ151+(1-EXP(-LN(2)/25))/(LN(2)/25)*Calculateur!BL152*Calculateur!BN152*VLOOKUP('Données projet'!$B$11,Paramètres!$A$1:$I$89,3,0)*0.475*44/12</f>
        <v>20.685841549744151</v>
      </c>
      <c r="BR152" s="21">
        <f>EXP(-LN(2)/2)*BR151+(1-EXP(-LN(2)/2))/(LN(2)/2)*BL152*BO152*VLOOKUP('Données projet'!$B$11,Paramètres!$A$1:$I$89,3,0)*0.475*44/12</f>
        <v>2.7988399692942577E-3</v>
      </c>
      <c r="BS152" s="22">
        <f t="shared" si="117"/>
        <v>46.586163083310332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-1.3596945791505279E-13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373.61861223558259</v>
      </c>
      <c r="CE152" s="59">
        <f t="shared" si="148"/>
        <v>277.62293009761049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39.083266604080755</v>
      </c>
      <c r="CL152" s="21">
        <f>EXP(-LN(2)/25)*CL151+(1-EXP(-LN(2)/25))/(LN(2)/25)*Calculateur!CG152*Calculateur!CI152*VLOOKUP('Données projet'!$B$12,Paramètres!$A$1:$I$89,3,0)*0.475*44/12</f>
        <v>7.6387155651804814</v>
      </c>
      <c r="CM152" s="21">
        <f>EXP(-LN(2)/2)*CM151+(1-EXP(-LN(2)/2))/(LN(2)/2)*CG152*CJ152*VLOOKUP('Données projet'!$B$12,Paramètres!$A$1:$I$89,3,0)*0.475*44/12</f>
        <v>2.9106285462319808E-9</v>
      </c>
      <c r="CN152" s="22">
        <f t="shared" si="120"/>
        <v>46.72198217217187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2.4829205358400945E-14</v>
      </c>
      <c r="CV152" s="13">
        <f t="shared" si="149"/>
        <v>4.3867331143352915E-13</v>
      </c>
      <c r="CW152" s="20">
        <f t="shared" si="121"/>
        <v>8.0726688341261168E-13</v>
      </c>
      <c r="CX152" s="59">
        <f t="shared" si="122"/>
        <v>286.57579407329388</v>
      </c>
      <c r="CY152" s="59">
        <f ca="1">AVERAGE(OFFSET($CX$3,0,0,'Données projet'!$E$13+1,1))-AVERAGE(OFFSET($H$3,0,0,'Données projet'!$E$13+1,1))</f>
        <v>287.28439432670405</v>
      </c>
      <c r="CZ152" s="59">
        <f t="shared" si="150"/>
        <v>276.01618888357268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8.4114945576216673</v>
      </c>
      <c r="DG152" s="21">
        <f>EXP(-LN(2)/25)*DG151+(1-EXP(-LN(2)/25))/(LN(2)/25)*Calculateur!DB152*Calculateur!DD152*VLOOKUP('Données projet'!$B$13,Paramètres!$A$1:$I$89,3,0)*0.475*44/12</f>
        <v>5.3876842564525056</v>
      </c>
      <c r="DH152" s="21">
        <f>EXP(-LN(2)/2)*DH151+(1-EXP(-LN(2)/2))/(LN(2)/2)*DB152*DE152*VLOOKUP('Données projet'!$B$13,Paramètres!$A$1:$I$89,3,0)*0.475*44/12</f>
        <v>1.8705315343620507E-9</v>
      </c>
      <c r="DI152" s="22">
        <f t="shared" si="123"/>
        <v>13.799178815944705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9">
        <f t="shared" si="109"/>
        <v>1270.1327289762246</v>
      </c>
      <c r="S153" s="59">
        <f ca="1">AVERAGE(OFFSET($R$3,0,0,'Données projet'!$E$9+1,1))-AVERAGE(OFFSET($H$3,0,0,'Données projet'!$E$9+1,1))</f>
        <v>681.47578137804555</v>
      </c>
      <c r="T153" s="59">
        <f t="shared" si="142"/>
        <v>300.88511065995885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1.7053025658242404E-13</v>
      </c>
      <c r="AJ153" s="13">
        <f>AI153*VLOOKUP('Données projet'!$B$10,Paramètres!$A$1:$I$89,3,0)*VLOOKUP('Données projet'!$B$10,Paramètres!$A$1:$I$89,5,0)</f>
        <v>7.9808160080574461E-14</v>
      </c>
      <c r="AK153" s="13">
        <f t="shared" si="143"/>
        <v>1.2308384591775343E-12</v>
      </c>
      <c r="AL153" s="20">
        <f t="shared" si="112"/>
        <v>2.282709528541206E-12</v>
      </c>
      <c r="AM153" s="59">
        <f t="shared" si="113"/>
        <v>286.69302227186262</v>
      </c>
      <c r="AN153" s="59">
        <f ca="1">AVERAGE(OFFSET($AM$3,0,0,'Données projet'!$E$10+1,1))-AVERAGE(OFFSET($H$3,0,0,'Données projet'!$E$10+1,1))</f>
        <v>374.38106339726073</v>
      </c>
      <c r="AO153" s="59">
        <f t="shared" si="144"/>
        <v>296.53283288925957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99.8395457415739</v>
      </c>
      <c r="AV153" s="21">
        <f>EXP(-LN(2)/25)*AV152+(1-EXP(-LN(2)/25))/(LN(2)/25)*Calculateur!AQ153*Calculateur!AS153*VLOOKUP('Données projet'!$B$10,Paramètres!$A$1:$I$89,3,0)*0.475*44/12</f>
        <v>26.52101958960208</v>
      </c>
      <c r="AW153" s="21">
        <f>EXP(-LN(2)/2)*AW152+(1-EXP(-LN(2)/2))/(LN(2)/2)*AQ153*AT153*VLOOKUP('Données projet'!$B$10,Paramètres!$A$1:$I$89,3,0)*0.475*44/12</f>
        <v>4.4758552309416021E-2</v>
      </c>
      <c r="AX153" s="21">
        <f t="shared" si="114"/>
        <v>126.40532388348539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1.0818439477588981E-13</v>
      </c>
      <c r="BF153" s="13">
        <f t="shared" si="145"/>
        <v>1.6104228458716316E-12</v>
      </c>
      <c r="BG153" s="20">
        <f t="shared" si="115"/>
        <v>2.9932409441277661E-12</v>
      </c>
      <c r="BH153" s="59">
        <f t="shared" si="116"/>
        <v>286.69302227186336</v>
      </c>
      <c r="BI153" s="59">
        <f ca="1">AVERAGE(OFFSET($BH$3,0,0,'Données projet'!$E$11+1,1))-AVERAGE(OFFSET($H$3,0,0,'Données projet'!$E$11+1,1))</f>
        <v>423.80243030843661</v>
      </c>
      <c r="BJ153" s="59">
        <f t="shared" si="146"/>
        <v>260.29028006191834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25.389688069504576</v>
      </c>
      <c r="BQ153" s="21">
        <f>EXP(-LN(2)/25)*BQ152+(1-EXP(-LN(2)/25))/(LN(2)/25)*Calculateur!BL153*Calculateur!BN153*VLOOKUP('Données projet'!$B$11,Paramètres!$A$1:$I$89,3,0)*0.475*44/12</f>
        <v>20.120186124745267</v>
      </c>
      <c r="BR153" s="21">
        <f>EXP(-LN(2)/2)*BR152+(1-EXP(-LN(2)/2))/(LN(2)/2)*BL153*BO153*VLOOKUP('Données projet'!$B$11,Paramètres!$A$1:$I$89,3,0)*0.475*44/12</f>
        <v>1.9790787217439181E-3</v>
      </c>
      <c r="BS153" s="22">
        <f t="shared" si="117"/>
        <v>45.511853272971592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-1.3596945791505279E-13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373.61861223558259</v>
      </c>
      <c r="CE153" s="59">
        <f t="shared" si="148"/>
        <v>277.62293009761049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38.316867584413508</v>
      </c>
      <c r="CL153" s="21">
        <f>EXP(-LN(2)/25)*CL152+(1-EXP(-LN(2)/25))/(LN(2)/25)*Calculateur!CG153*Calculateur!CI153*VLOOKUP('Données projet'!$B$12,Paramètres!$A$1:$I$89,3,0)*0.475*44/12</f>
        <v>7.4298344863480281</v>
      </c>
      <c r="CM153" s="21">
        <f>EXP(-LN(2)/2)*CM152+(1-EXP(-LN(2)/2))/(LN(2)/2)*CG153*CJ153*VLOOKUP('Données projet'!$B$12,Paramètres!$A$1:$I$89,3,0)*0.475*44/12</f>
        <v>2.0581251825557762E-9</v>
      </c>
      <c r="CN153" s="22">
        <f t="shared" si="120"/>
        <v>45.746702072819659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2.4829205358400945E-14</v>
      </c>
      <c r="CV153" s="13">
        <f t="shared" si="149"/>
        <v>4.3867331143352915E-13</v>
      </c>
      <c r="CW153" s="20">
        <f t="shared" si="121"/>
        <v>8.0726688341261168E-13</v>
      </c>
      <c r="CX153" s="59">
        <f t="shared" si="122"/>
        <v>286.69302227186114</v>
      </c>
      <c r="CY153" s="59">
        <f ca="1">AVERAGE(OFFSET($CX$3,0,0,'Données projet'!$E$13+1,1))-AVERAGE(OFFSET($H$3,0,0,'Données projet'!$E$13+1,1))</f>
        <v>287.28439432670405</v>
      </c>
      <c r="CZ153" s="59">
        <f t="shared" si="150"/>
        <v>276.01618888357268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8.2465502798517907</v>
      </c>
      <c r="DG153" s="21">
        <f>EXP(-LN(2)/25)*DG152+(1-EXP(-LN(2)/25))/(LN(2)/25)*Calculateur!DB153*Calculateur!DD153*VLOOKUP('Données projet'!$B$13,Paramètres!$A$1:$I$89,3,0)*0.475*44/12</f>
        <v>5.2403577471338103</v>
      </c>
      <c r="DH153" s="21">
        <f>EXP(-LN(2)/2)*DH152+(1-EXP(-LN(2)/2))/(LN(2)/2)*DB153*DE153*VLOOKUP('Données projet'!$B$13,Paramètres!$A$1:$I$89,3,0)*0.475*44/12</f>
        <v>1.3226655323706836E-9</v>
      </c>
      <c r="DI153" s="22">
        <f t="shared" si="123"/>
        <v>13.486908028308267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9">
        <f t="shared" si="109"/>
        <v>1287.8891974151597</v>
      </c>
      <c r="S154" s="59">
        <f ca="1">AVERAGE(OFFSET($R$3,0,0,'Données projet'!$E$9+1,1))-AVERAGE(OFFSET($H$3,0,0,'Données projet'!$E$9+1,1))</f>
        <v>681.47578137804555</v>
      </c>
      <c r="T154" s="59">
        <f t="shared" si="142"/>
        <v>300.88511065995885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1.7053025658242404E-13</v>
      </c>
      <c r="AJ154" s="13">
        <f>AI154*VLOOKUP('Données projet'!$B$10,Paramètres!$A$1:$I$89,3,0)*VLOOKUP('Données projet'!$B$10,Paramètres!$A$1:$I$89,5,0)</f>
        <v>7.9808160080574461E-14</v>
      </c>
      <c r="AK154" s="13">
        <f t="shared" ref="AK154:AK203" si="164">EXP(-1.0587+0.8836*LN(AJ154)+0.284)</f>
        <v>1.2308384591775343E-12</v>
      </c>
      <c r="AL154" s="20">
        <f t="shared" ref="AL154:AL203" si="165">(AJ154+AK154)*0.475*44/12</f>
        <v>2.282709528541206E-12</v>
      </c>
      <c r="AM154" s="59">
        <f t="shared" si="113"/>
        <v>286.80821682326763</v>
      </c>
      <c r="AN154" s="59">
        <f ca="1">AVERAGE(OFFSET($AM$3,0,0,'Données projet'!$E$10+1,1))-AVERAGE(OFFSET($H$3,0,0,'Données projet'!$E$10+1,1))</f>
        <v>374.38106339726073</v>
      </c>
      <c r="AO154" s="59">
        <f t="shared" si="144"/>
        <v>296.53283288925957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97.881753145691548</v>
      </c>
      <c r="AV154" s="21">
        <f>EXP(-LN(2)/25)*AV153+(1-EXP(-LN(2)/25))/(LN(2)/25)*Calculateur!AQ154*Calculateur!AS154*VLOOKUP('Données projet'!$B$10,Paramètres!$A$1:$I$89,3,0)*0.475*44/12</f>
        <v>25.795800914244605</v>
      </c>
      <c r="AW154" s="21">
        <f>EXP(-LN(2)/2)*AW153+(1-EXP(-LN(2)/2))/(LN(2)/2)*AQ154*AT154*VLOOKUP('Données projet'!$B$10,Paramètres!$A$1:$I$89,3,0)*0.475*44/12</f>
        <v>3.1649075854080874E-2</v>
      </c>
      <c r="AX154" s="21">
        <f t="shared" ref="AX154:AX203" si="166">SUM(AU154:AW154)</f>
        <v>123.70920313579023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1.0818439477588981E-13</v>
      </c>
      <c r="BF154" s="13">
        <f t="shared" ref="BF154:BF203" si="167">EXP(-1.0587+0.8836*LN(BE154)+0.284)</f>
        <v>1.6104228458716316E-12</v>
      </c>
      <c r="BG154" s="20">
        <f t="shared" ref="BG154:BG203" si="168">(BE154+BF154)*0.475*44/12</f>
        <v>2.9932409441277661E-12</v>
      </c>
      <c r="BH154" s="59">
        <f t="shared" si="116"/>
        <v>286.80821682326837</v>
      </c>
      <c r="BI154" s="59">
        <f ca="1">AVERAGE(OFFSET($BH$3,0,0,'Données projet'!$E$11+1,1))-AVERAGE(OFFSET($H$3,0,0,'Données projet'!$E$11+1,1))</f>
        <v>423.80243030843661</v>
      </c>
      <c r="BJ154" s="59">
        <f t="shared" si="146"/>
        <v>260.29028006191834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24.891811772642182</v>
      </c>
      <c r="BQ154" s="21">
        <f>EXP(-LN(2)/25)*BQ153+(1-EXP(-LN(2)/25))/(LN(2)/25)*Calculateur!BL154*Calculateur!BN154*VLOOKUP('Données projet'!$B$11,Paramètres!$A$1:$I$89,3,0)*0.475*44/12</f>
        <v>19.569998577089503</v>
      </c>
      <c r="BR154" s="21">
        <f>EXP(-LN(2)/2)*BR153+(1-EXP(-LN(2)/2))/(LN(2)/2)*BL154*BO154*VLOOKUP('Données projet'!$B$11,Paramètres!$A$1:$I$89,3,0)*0.475*44/12</f>
        <v>1.3994199846471289E-3</v>
      </c>
      <c r="BS154" s="22">
        <f t="shared" ref="BS154:BS203" si="169">SUM(BP154:BR154)</f>
        <v>44.463209769716329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-1.3596945791505279E-13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373.61861223558259</v>
      </c>
      <c r="CE154" s="59">
        <f t="shared" si="148"/>
        <v>277.62293009761049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37.565497182064696</v>
      </c>
      <c r="CL154" s="21">
        <f>EXP(-LN(2)/25)*CL153+(1-EXP(-LN(2)/25))/(LN(2)/25)*Calculateur!CG154*Calculateur!CI154*VLOOKUP('Données projet'!$B$12,Paramètres!$A$1:$I$89,3,0)*0.475*44/12</f>
        <v>7.2266652716008268</v>
      </c>
      <c r="CM154" s="21">
        <f>EXP(-LN(2)/2)*CM153+(1-EXP(-LN(2)/2))/(LN(2)/2)*CG154*CJ154*VLOOKUP('Données projet'!$B$12,Paramètres!$A$1:$I$89,3,0)*0.475*44/12</f>
        <v>1.4553142731159904E-9</v>
      </c>
      <c r="CN154" s="22">
        <f t="shared" ref="CN154:CN203" si="172">SUM(CK154:CM154)</f>
        <v>44.792162455120838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2.4829205358400945E-14</v>
      </c>
      <c r="CV154" s="13">
        <f t="shared" ref="CV154:CV203" si="173">EXP(-1.0587+0.8836*LN(CU154)+0.284)</f>
        <v>4.3867331143352915E-13</v>
      </c>
      <c r="CW154" s="20">
        <f t="shared" ref="CW154:CW203" si="174">(CU154+CV154)*0.475*44/12</f>
        <v>8.0726688341261168E-13</v>
      </c>
      <c r="CX154" s="59">
        <f t="shared" si="122"/>
        <v>286.80821682326615</v>
      </c>
      <c r="CY154" s="59">
        <f ca="1">AVERAGE(OFFSET($CX$3,0,0,'Données projet'!$E$13+1,1))-AVERAGE(OFFSET($H$3,0,0,'Données projet'!$E$13+1,1))</f>
        <v>287.28439432670405</v>
      </c>
      <c r="CZ154" s="59">
        <f t="shared" si="150"/>
        <v>276.01618888357268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8.0848404587629066</v>
      </c>
      <c r="DG154" s="21">
        <f>EXP(-LN(2)/25)*DG153+(1-EXP(-LN(2)/25))/(LN(2)/25)*Calculateur!DB154*Calculateur!DD154*VLOOKUP('Données projet'!$B$13,Paramètres!$A$1:$I$89,3,0)*0.475*44/12</f>
        <v>5.0970598889599996</v>
      </c>
      <c r="DH154" s="21">
        <f>EXP(-LN(2)/2)*DH153+(1-EXP(-LN(2)/2))/(LN(2)/2)*DB154*DE154*VLOOKUP('Données projet'!$B$13,Paramètres!$A$1:$I$89,3,0)*0.475*44/12</f>
        <v>9.3526576718102533E-10</v>
      </c>
      <c r="DI154" s="22">
        <f t="shared" ref="DI154:DI203" si="175">SUM(DF154:DH154)</f>
        <v>13.181900348658171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9">
        <f t="shared" si="109"/>
        <v>1305.63753183671</v>
      </c>
      <c r="S155" s="59">
        <f ca="1">AVERAGE(OFFSET($R$3,0,0,'Données projet'!$E$9+1,1))-AVERAGE(OFFSET($H$3,0,0,'Données projet'!$E$9+1,1))</f>
        <v>681.47578137804555</v>
      </c>
      <c r="T155" s="59">
        <f t="shared" si="142"/>
        <v>300.88511065995885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1.7053025658242404E-13</v>
      </c>
      <c r="AJ155" s="13">
        <f>AI155*VLOOKUP('Données projet'!$B$10,Paramètres!$A$1:$I$89,3,0)*VLOOKUP('Données projet'!$B$10,Paramètres!$A$1:$I$89,5,0)</f>
        <v>7.9808160080574461E-14</v>
      </c>
      <c r="AK155" s="13">
        <f t="shared" si="164"/>
        <v>1.2308384591775343E-12</v>
      </c>
      <c r="AL155" s="20">
        <f t="shared" si="165"/>
        <v>2.282709528541206E-12</v>
      </c>
      <c r="AM155" s="59">
        <f t="shared" si="113"/>
        <v>286.92141300674217</v>
      </c>
      <c r="AN155" s="59">
        <f ca="1">AVERAGE(OFFSET($AM$3,0,0,'Données projet'!$E$10+1,1))-AVERAGE(OFFSET($H$3,0,0,'Données projet'!$E$10+1,1))</f>
        <v>374.38106339726073</v>
      </c>
      <c r="AO155" s="59">
        <f t="shared" si="144"/>
        <v>296.53283288925957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95.962351668478874</v>
      </c>
      <c r="AV155" s="21">
        <f>EXP(-LN(2)/25)*AV154+(1-EXP(-LN(2)/25))/(LN(2)/25)*Calculateur!AQ155*Calculateur!AS155*VLOOKUP('Données projet'!$B$10,Paramètres!$A$1:$I$89,3,0)*0.475*44/12</f>
        <v>25.090413381702373</v>
      </c>
      <c r="AW155" s="21">
        <f>EXP(-LN(2)/2)*AW154+(1-EXP(-LN(2)/2))/(LN(2)/2)*AQ155*AT155*VLOOKUP('Données projet'!$B$10,Paramètres!$A$1:$I$89,3,0)*0.475*44/12</f>
        <v>2.237927615470801E-2</v>
      </c>
      <c r="AX155" s="21">
        <f t="shared" si="166"/>
        <v>121.07514432633596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1.0818439477588981E-13</v>
      </c>
      <c r="BF155" s="13">
        <f t="shared" si="167"/>
        <v>1.6104228458716316E-12</v>
      </c>
      <c r="BG155" s="20">
        <f t="shared" si="168"/>
        <v>2.9932409441277661E-12</v>
      </c>
      <c r="BH155" s="59">
        <f t="shared" si="116"/>
        <v>286.92141300674291</v>
      </c>
      <c r="BI155" s="59">
        <f ca="1">AVERAGE(OFFSET($BH$3,0,0,'Données projet'!$E$11+1,1))-AVERAGE(OFFSET($H$3,0,0,'Données projet'!$E$11+1,1))</f>
        <v>423.80243030843661</v>
      </c>
      <c r="BJ155" s="59">
        <f t="shared" si="146"/>
        <v>260.29028006191834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24.403698526286703</v>
      </c>
      <c r="BQ155" s="21">
        <f>EXP(-LN(2)/25)*BQ154+(1-EXP(-LN(2)/25))/(LN(2)/25)*Calculateur!BL155*Calculateur!BN155*VLOOKUP('Données projet'!$B$11,Paramètres!$A$1:$I$89,3,0)*0.475*44/12</f>
        <v>19.034855936857493</v>
      </c>
      <c r="BR155" s="21">
        <f>EXP(-LN(2)/2)*BR154+(1-EXP(-LN(2)/2))/(LN(2)/2)*BL155*BO155*VLOOKUP('Données projet'!$B$11,Paramètres!$A$1:$I$89,3,0)*0.475*44/12</f>
        <v>9.8953936087195905E-4</v>
      </c>
      <c r="BS155" s="22">
        <f t="shared" si="169"/>
        <v>43.439544002505073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-1.3596945791505279E-13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373.61861223558259</v>
      </c>
      <c r="CE155" s="59">
        <f t="shared" si="148"/>
        <v>277.62293009761049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36.828860695015251</v>
      </c>
      <c r="CL155" s="21">
        <f>EXP(-LN(2)/25)*CL154+(1-EXP(-LN(2)/25))/(LN(2)/25)*Calculateur!CG155*Calculateur!CI155*VLOOKUP('Données projet'!$B$12,Paramètres!$A$1:$I$89,3,0)*0.475*44/12</f>
        <v>7.0290517297150927</v>
      </c>
      <c r="CM155" s="21">
        <f>EXP(-LN(2)/2)*CM154+(1-EXP(-LN(2)/2))/(LN(2)/2)*CG155*CJ155*VLOOKUP('Données projet'!$B$12,Paramètres!$A$1:$I$89,3,0)*0.475*44/12</f>
        <v>1.0290625912778881E-9</v>
      </c>
      <c r="CN155" s="22">
        <f t="shared" si="172"/>
        <v>43.857912425759409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2.4829205358400945E-14</v>
      </c>
      <c r="CV155" s="13">
        <f t="shared" si="173"/>
        <v>4.3867331143352915E-13</v>
      </c>
      <c r="CW155" s="20">
        <f t="shared" si="174"/>
        <v>8.0726688341261168E-13</v>
      </c>
      <c r="CX155" s="59">
        <f t="shared" si="122"/>
        <v>286.92141300674069</v>
      </c>
      <c r="CY155" s="59">
        <f ca="1">AVERAGE(OFFSET($CX$3,0,0,'Données projet'!$E$13+1,1))-AVERAGE(OFFSET($H$3,0,0,'Données projet'!$E$13+1,1))</f>
        <v>287.28439432670405</v>
      </c>
      <c r="CZ155" s="59">
        <f t="shared" si="150"/>
        <v>276.01618888357268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7.9263016686323242</v>
      </c>
      <c r="DG155" s="21">
        <f>EXP(-LN(2)/25)*DG154+(1-EXP(-LN(2)/25))/(LN(2)/25)*Calculateur!DB155*Calculateur!DD155*VLOOKUP('Données projet'!$B$13,Paramètres!$A$1:$I$89,3,0)*0.475*44/12</f>
        <v>4.9576805182536585</v>
      </c>
      <c r="DH155" s="21">
        <f>EXP(-LN(2)/2)*DH154+(1-EXP(-LN(2)/2))/(LN(2)/2)*DB155*DE155*VLOOKUP('Données projet'!$B$13,Paramètres!$A$1:$I$89,3,0)*0.475*44/12</f>
        <v>6.613327661853418E-10</v>
      </c>
      <c r="DI155" s="22">
        <f t="shared" si="175"/>
        <v>12.883982187547316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9">
        <f t="shared" si="109"/>
        <v>1323.3778879421343</v>
      </c>
      <c r="S156" s="59">
        <f ca="1">AVERAGE(OFFSET($R$3,0,0,'Données projet'!$E$9+1,1))-AVERAGE(OFFSET($H$3,0,0,'Données projet'!$E$9+1,1))</f>
        <v>681.47578137804555</v>
      </c>
      <c r="T156" s="59">
        <f t="shared" si="142"/>
        <v>300.88511065995885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1.7053025658242404E-13</v>
      </c>
      <c r="AJ156" s="13">
        <f>AI156*VLOOKUP('Données projet'!$B$10,Paramètres!$A$1:$I$89,3,0)*VLOOKUP('Données projet'!$B$10,Paramètres!$A$1:$I$89,5,0)</f>
        <v>7.9808160080574461E-14</v>
      </c>
      <c r="AK156" s="13">
        <f t="shared" si="164"/>
        <v>1.2308384591775343E-12</v>
      </c>
      <c r="AL156" s="20">
        <f t="shared" si="165"/>
        <v>2.282709528541206E-12</v>
      </c>
      <c r="AM156" s="59">
        <f t="shared" si="113"/>
        <v>287.03264548950227</v>
      </c>
      <c r="AN156" s="59">
        <f ca="1">AVERAGE(OFFSET($AM$3,0,0,'Données projet'!$E$10+1,1))-AVERAGE(OFFSET($H$3,0,0,'Données projet'!$E$10+1,1))</f>
        <v>374.38106339726073</v>
      </c>
      <c r="AO156" s="59">
        <f t="shared" si="144"/>
        <v>296.53283288925957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94.080588483515044</v>
      </c>
      <c r="AV156" s="21">
        <f>EXP(-LN(2)/25)*AV155+(1-EXP(-LN(2)/25))/(LN(2)/25)*Calculateur!AQ156*Calculateur!AS156*VLOOKUP('Données projet'!$B$10,Paramètres!$A$1:$I$89,3,0)*0.475*44/12</f>
        <v>24.404314708332226</v>
      </c>
      <c r="AW156" s="21">
        <f>EXP(-LN(2)/2)*AW155+(1-EXP(-LN(2)/2))/(LN(2)/2)*AQ156*AT156*VLOOKUP('Données projet'!$B$10,Paramètres!$A$1:$I$89,3,0)*0.475*44/12</f>
        <v>1.5824537927040437E-2</v>
      </c>
      <c r="AX156" s="21">
        <f t="shared" si="166"/>
        <v>118.50072772977431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1.0818439477588981E-13</v>
      </c>
      <c r="BF156" s="13">
        <f t="shared" si="167"/>
        <v>1.6104228458716316E-12</v>
      </c>
      <c r="BG156" s="20">
        <f t="shared" si="168"/>
        <v>2.9932409441277661E-12</v>
      </c>
      <c r="BH156" s="59">
        <f t="shared" si="116"/>
        <v>287.03264548950301</v>
      </c>
      <c r="BI156" s="59">
        <f ca="1">AVERAGE(OFFSET($BH$3,0,0,'Données projet'!$E$11+1,1))-AVERAGE(OFFSET($H$3,0,0,'Données projet'!$E$11+1,1))</f>
        <v>423.80243030843661</v>
      </c>
      <c r="BJ156" s="59">
        <f t="shared" si="146"/>
        <v>260.29028006191834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23.925156882972573</v>
      </c>
      <c r="BQ156" s="21">
        <f>EXP(-LN(2)/25)*BQ155+(1-EXP(-LN(2)/25))/(LN(2)/25)*Calculateur!BL156*Calculateur!BN156*VLOOKUP('Données projet'!$B$11,Paramètres!$A$1:$I$89,3,0)*0.475*44/12</f>
        <v>18.514346800264555</v>
      </c>
      <c r="BR156" s="21">
        <f>EXP(-LN(2)/2)*BR155+(1-EXP(-LN(2)/2))/(LN(2)/2)*BL156*BO156*VLOOKUP('Données projet'!$B$11,Paramètres!$A$1:$I$89,3,0)*0.475*44/12</f>
        <v>6.9970999232356443E-4</v>
      </c>
      <c r="BS156" s="22">
        <f t="shared" si="169"/>
        <v>42.440203393229453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-1.3596945791505279E-13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373.61861223558259</v>
      </c>
      <c r="CE156" s="59">
        <f t="shared" si="148"/>
        <v>277.62293009761049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36.106669200172952</v>
      </c>
      <c r="CL156" s="21">
        <f>EXP(-LN(2)/25)*CL155+(1-EXP(-LN(2)/25))/(LN(2)/25)*Calculateur!CG156*Calculateur!CI156*VLOOKUP('Données projet'!$B$12,Paramètres!$A$1:$I$89,3,0)*0.475*44/12</f>
        <v>6.836841940524268</v>
      </c>
      <c r="CM156" s="21">
        <f>EXP(-LN(2)/2)*CM155+(1-EXP(-LN(2)/2))/(LN(2)/2)*CG156*CJ156*VLOOKUP('Données projet'!$B$12,Paramètres!$A$1:$I$89,3,0)*0.475*44/12</f>
        <v>7.2765713655799521E-10</v>
      </c>
      <c r="CN156" s="22">
        <f t="shared" si="172"/>
        <v>42.943511141424878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2.4829205358400945E-14</v>
      </c>
      <c r="CV156" s="13">
        <f t="shared" si="173"/>
        <v>4.3867331143352915E-13</v>
      </c>
      <c r="CW156" s="20">
        <f t="shared" si="174"/>
        <v>8.0726688341261168E-13</v>
      </c>
      <c r="CX156" s="59">
        <f t="shared" si="122"/>
        <v>287.03264548950079</v>
      </c>
      <c r="CY156" s="59">
        <f ca="1">AVERAGE(OFFSET($CX$3,0,0,'Données projet'!$E$13+1,1))-AVERAGE(OFFSET($H$3,0,0,'Données projet'!$E$13+1,1))</f>
        <v>287.28439432670405</v>
      </c>
      <c r="CZ156" s="59">
        <f t="shared" si="150"/>
        <v>276.01618888357268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7.770871727477088</v>
      </c>
      <c r="DG156" s="21">
        <f>EXP(-LN(2)/25)*DG155+(1-EXP(-LN(2)/25))/(LN(2)/25)*Calculateur!DB156*Calculateur!DD156*VLOOKUP('Données projet'!$B$13,Paramètres!$A$1:$I$89,3,0)*0.475*44/12</f>
        <v>4.8221124837689251</v>
      </c>
      <c r="DH156" s="21">
        <f>EXP(-LN(2)/2)*DH155+(1-EXP(-LN(2)/2))/(LN(2)/2)*DB156*DE156*VLOOKUP('Données projet'!$B$13,Paramètres!$A$1:$I$89,3,0)*0.475*44/12</f>
        <v>4.6763288359051267E-10</v>
      </c>
      <c r="DI156" s="22">
        <f t="shared" si="175"/>
        <v>12.592984211713645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9">
        <f t="shared" si="109"/>
        <v>1341.1104163834841</v>
      </c>
      <c r="S157" s="59">
        <f ca="1">AVERAGE(OFFSET($R$3,0,0,'Données projet'!$E$9+1,1))-AVERAGE(OFFSET($H$3,0,0,'Données projet'!$E$9+1,1))</f>
        <v>681.47578137804555</v>
      </c>
      <c r="T157" s="59">
        <f t="shared" si="142"/>
        <v>300.88511065995885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1.7053025658242404E-13</v>
      </c>
      <c r="AJ157" s="13">
        <f>AI157*VLOOKUP('Données projet'!$B$10,Paramètres!$A$1:$I$89,3,0)*VLOOKUP('Données projet'!$B$10,Paramètres!$A$1:$I$89,5,0)</f>
        <v>7.9808160080574461E-14</v>
      </c>
      <c r="AK157" s="13">
        <f t="shared" si="164"/>
        <v>1.2308384591775343E-12</v>
      </c>
      <c r="AL157" s="20">
        <f t="shared" si="165"/>
        <v>2.282709528541206E-12</v>
      </c>
      <c r="AM157" s="59">
        <f t="shared" si="113"/>
        <v>287.14194833736502</v>
      </c>
      <c r="AN157" s="59">
        <f ca="1">AVERAGE(OFFSET($AM$3,0,0,'Données projet'!$E$10+1,1))-AVERAGE(OFFSET($H$3,0,0,'Données projet'!$E$10+1,1))</f>
        <v>374.38106339726073</v>
      </c>
      <c r="AO157" s="59">
        <f t="shared" si="144"/>
        <v>296.53283288925957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92.235725526846139</v>
      </c>
      <c r="AV157" s="21">
        <f>EXP(-LN(2)/25)*AV156+(1-EXP(-LN(2)/25))/(LN(2)/25)*Calculateur!AQ157*Calculateur!AS157*VLOOKUP('Données projet'!$B$10,Paramètres!$A$1:$I$89,3,0)*0.475*44/12</f>
        <v>23.736977439265747</v>
      </c>
      <c r="AW157" s="21">
        <f>EXP(-LN(2)/2)*AW156+(1-EXP(-LN(2)/2))/(LN(2)/2)*AQ157*AT157*VLOOKUP('Données projet'!$B$10,Paramètres!$A$1:$I$89,3,0)*0.475*44/12</f>
        <v>1.1189638077354005E-2</v>
      </c>
      <c r="AX157" s="21">
        <f t="shared" si="166"/>
        <v>115.98389260418924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1.0818439477588981E-13</v>
      </c>
      <c r="BF157" s="13">
        <f t="shared" si="167"/>
        <v>1.6104228458716316E-12</v>
      </c>
      <c r="BG157" s="20">
        <f t="shared" si="168"/>
        <v>2.9932409441277661E-12</v>
      </c>
      <c r="BH157" s="59">
        <f t="shared" si="116"/>
        <v>287.14194833736576</v>
      </c>
      <c r="BI157" s="59">
        <f ca="1">AVERAGE(OFFSET($BH$3,0,0,'Données projet'!$E$11+1,1))-AVERAGE(OFFSET($H$3,0,0,'Données projet'!$E$11+1,1))</f>
        <v>423.80243030843661</v>
      </c>
      <c r="BJ157" s="59">
        <f t="shared" si="146"/>
        <v>260.29028006191834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23.455999149402249</v>
      </c>
      <c r="BQ157" s="21">
        <f>EXP(-LN(2)/25)*BQ156+(1-EXP(-LN(2)/25))/(LN(2)/25)*Calculateur!BL157*Calculateur!BN157*VLOOKUP('Données projet'!$B$11,Paramètres!$A$1:$I$89,3,0)*0.475*44/12</f>
        <v>18.008071013384136</v>
      </c>
      <c r="BR157" s="21">
        <f>EXP(-LN(2)/2)*BR156+(1-EXP(-LN(2)/2))/(LN(2)/2)*BL157*BO157*VLOOKUP('Données projet'!$B$11,Paramètres!$A$1:$I$89,3,0)*0.475*44/12</f>
        <v>4.9476968043597953E-4</v>
      </c>
      <c r="BS157" s="22">
        <f t="shared" si="169"/>
        <v>41.464564932466821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-1.3596945791505279E-13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373.61861223558259</v>
      </c>
      <c r="CE157" s="59">
        <f t="shared" si="148"/>
        <v>277.62293009761049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35.398639440051191</v>
      </c>
      <c r="CL157" s="21">
        <f>EXP(-LN(2)/25)*CL156+(1-EXP(-LN(2)/25))/(LN(2)/25)*Calculateur!CG157*Calculateur!CI157*VLOOKUP('Données projet'!$B$12,Paramètres!$A$1:$I$89,3,0)*0.475*44/12</f>
        <v>6.6498881381267401</v>
      </c>
      <c r="CM157" s="21">
        <f>EXP(-LN(2)/2)*CM156+(1-EXP(-LN(2)/2))/(LN(2)/2)*CG157*CJ157*VLOOKUP('Données projet'!$B$12,Paramètres!$A$1:$I$89,3,0)*0.475*44/12</f>
        <v>5.1453129563894404E-10</v>
      </c>
      <c r="CN157" s="22">
        <f t="shared" si="172"/>
        <v>42.048527578692465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2.4829205358400945E-14</v>
      </c>
      <c r="CV157" s="13">
        <f t="shared" si="173"/>
        <v>4.3867331143352915E-13</v>
      </c>
      <c r="CW157" s="20">
        <f t="shared" si="174"/>
        <v>8.0726688341261168E-13</v>
      </c>
      <c r="CX157" s="59">
        <f t="shared" si="122"/>
        <v>287.14194833736354</v>
      </c>
      <c r="CY157" s="59">
        <f ca="1">AVERAGE(OFFSET($CX$3,0,0,'Données projet'!$E$13+1,1))-AVERAGE(OFFSET($H$3,0,0,'Données projet'!$E$13+1,1))</f>
        <v>287.28439432670405</v>
      </c>
      <c r="CZ157" s="59">
        <f t="shared" si="150"/>
        <v>276.01618888357268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7.6184896726650031</v>
      </c>
      <c r="DG157" s="21">
        <f>EXP(-LN(2)/25)*DG156+(1-EXP(-LN(2)/25))/(LN(2)/25)*Calculateur!DB157*Calculateur!DD157*VLOOKUP('Données projet'!$B$13,Paramètres!$A$1:$I$89,3,0)*0.475*44/12</f>
        <v>4.6902515643163891</v>
      </c>
      <c r="DH157" s="21">
        <f>EXP(-LN(2)/2)*DH156+(1-EXP(-LN(2)/2))/(LN(2)/2)*DB157*DE157*VLOOKUP('Données projet'!$B$13,Paramètres!$A$1:$I$89,3,0)*0.475*44/12</f>
        <v>3.306663830926709E-10</v>
      </c>
      <c r="DI157" s="22">
        <f t="shared" si="175"/>
        <v>12.308741237312059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9">
        <f t="shared" si="109"/>
        <v>1243.800260086452</v>
      </c>
      <c r="S158" s="59">
        <f ca="1">AVERAGE(OFFSET($R$3,0,0,'Données projet'!$E$9+1,1))-AVERAGE(OFFSET($H$3,0,0,'Données projet'!$E$9+1,1))</f>
        <v>681.47578137804555</v>
      </c>
      <c r="T158" s="59">
        <f t="shared" si="142"/>
        <v>300.88511065995885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1.7053025658242404E-13</v>
      </c>
      <c r="AJ158" s="13">
        <f>AI158*VLOOKUP('Données projet'!$B$10,Paramètres!$A$1:$I$89,3,0)*VLOOKUP('Données projet'!$B$10,Paramètres!$A$1:$I$89,5,0)</f>
        <v>7.9808160080574461E-14</v>
      </c>
      <c r="AK158" s="13">
        <f t="shared" si="164"/>
        <v>1.2308384591775343E-12</v>
      </c>
      <c r="AL158" s="20">
        <f t="shared" si="165"/>
        <v>2.282709528541206E-12</v>
      </c>
      <c r="AM158" s="59">
        <f t="shared" si="113"/>
        <v>287.24935502518196</v>
      </c>
      <c r="AN158" s="59">
        <f ca="1">AVERAGE(OFFSET($AM$3,0,0,'Données projet'!$E$10+1,1))-AVERAGE(OFFSET($H$3,0,0,'Données projet'!$E$10+1,1))</f>
        <v>374.38106339726073</v>
      </c>
      <c r="AO158" s="59">
        <f t="shared" si="144"/>
        <v>296.53283288925957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90.427039207502219</v>
      </c>
      <c r="AV158" s="21">
        <f>EXP(-LN(2)/25)*AV157+(1-EXP(-LN(2)/25))/(LN(2)/25)*Calculateur!AQ158*Calculateur!AS158*VLOOKUP('Données projet'!$B$10,Paramètres!$A$1:$I$89,3,0)*0.475*44/12</f>
        <v>23.087888542915632</v>
      </c>
      <c r="AW158" s="21">
        <f>EXP(-LN(2)/2)*AW157+(1-EXP(-LN(2)/2))/(LN(2)/2)*AQ158*AT158*VLOOKUP('Données projet'!$B$10,Paramètres!$A$1:$I$89,3,0)*0.475*44/12</f>
        <v>7.9122689635202186E-3</v>
      </c>
      <c r="AX158" s="21">
        <f t="shared" si="166"/>
        <v>113.52284001938138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1.0818439477588981E-13</v>
      </c>
      <c r="BF158" s="13">
        <f t="shared" si="167"/>
        <v>1.6104228458716316E-12</v>
      </c>
      <c r="BG158" s="20">
        <f t="shared" si="168"/>
        <v>2.9932409441277661E-12</v>
      </c>
      <c r="BH158" s="59">
        <f t="shared" si="116"/>
        <v>287.24935502518269</v>
      </c>
      <c r="BI158" s="59">
        <f ca="1">AVERAGE(OFFSET($BH$3,0,0,'Données projet'!$E$11+1,1))-AVERAGE(OFFSET($H$3,0,0,'Données projet'!$E$11+1,1))</f>
        <v>423.80243030843661</v>
      </c>
      <c r="BJ158" s="59">
        <f t="shared" si="146"/>
        <v>260.29028006191834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22.996041312829277</v>
      </c>
      <c r="BQ158" s="21">
        <f>EXP(-LN(2)/25)*BQ157+(1-EXP(-LN(2)/25))/(LN(2)/25)*Calculateur!BL158*Calculateur!BN158*VLOOKUP('Données projet'!$B$11,Paramètres!$A$1:$I$89,3,0)*0.475*44/12</f>
        <v>17.515639364519849</v>
      </c>
      <c r="BR158" s="21">
        <f>EXP(-LN(2)/2)*BR157+(1-EXP(-LN(2)/2))/(LN(2)/2)*BL158*BO158*VLOOKUP('Données projet'!$B$11,Paramètres!$A$1:$I$89,3,0)*0.475*44/12</f>
        <v>3.4985499616178221E-4</v>
      </c>
      <c r="BS158" s="22">
        <f t="shared" si="169"/>
        <v>40.512030532345285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-1.3596945791505279E-13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373.61861223558259</v>
      </c>
      <c r="CE158" s="59">
        <f t="shared" si="148"/>
        <v>277.62293009761049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34.704493711669905</v>
      </c>
      <c r="CL158" s="21">
        <f>EXP(-LN(2)/25)*CL157+(1-EXP(-LN(2)/25))/(LN(2)/25)*Calculateur!CG158*Calculateur!CI158*VLOOKUP('Données projet'!$B$12,Paramètres!$A$1:$I$89,3,0)*0.475*44/12</f>
        <v>6.4680465972872456</v>
      </c>
      <c r="CM158" s="21">
        <f>EXP(-LN(2)/2)*CM157+(1-EXP(-LN(2)/2))/(LN(2)/2)*CG158*CJ158*VLOOKUP('Données projet'!$B$12,Paramètres!$A$1:$I$89,3,0)*0.475*44/12</f>
        <v>3.638285682789976E-10</v>
      </c>
      <c r="CN158" s="22">
        <f t="shared" si="172"/>
        <v>41.172540309320979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2.4829205358400945E-14</v>
      </c>
      <c r="CV158" s="13">
        <f t="shared" si="173"/>
        <v>4.3867331143352915E-13</v>
      </c>
      <c r="CW158" s="20">
        <f t="shared" si="174"/>
        <v>8.0726688341261168E-13</v>
      </c>
      <c r="CX158" s="59">
        <f t="shared" si="122"/>
        <v>287.24935502518048</v>
      </c>
      <c r="CY158" s="59">
        <f ca="1">AVERAGE(OFFSET($CX$3,0,0,'Données projet'!$E$13+1,1))-AVERAGE(OFFSET($H$3,0,0,'Données projet'!$E$13+1,1))</f>
        <v>287.28439432670405</v>
      </c>
      <c r="CZ158" s="59">
        <f t="shared" si="150"/>
        <v>276.01618888357268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7.4690957370039071</v>
      </c>
      <c r="DG158" s="21">
        <f>EXP(-LN(2)/25)*DG157+(1-EXP(-LN(2)/25))/(LN(2)/25)*Calculateur!DB158*Calculateur!DD158*VLOOKUP('Données projet'!$B$13,Paramètres!$A$1:$I$89,3,0)*0.475*44/12</f>
        <v>4.561996388640547</v>
      </c>
      <c r="DH158" s="21">
        <f>EXP(-LN(2)/2)*DH157+(1-EXP(-LN(2)/2))/(LN(2)/2)*DB158*DE158*VLOOKUP('Données projet'!$B$13,Paramètres!$A$1:$I$89,3,0)*0.475*44/12</f>
        <v>2.3381644179525633E-10</v>
      </c>
      <c r="DI158" s="22">
        <f t="shared" si="175"/>
        <v>12.031092125878271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9">
        <f t="shared" si="109"/>
        <v>1261.8459118763585</v>
      </c>
      <c r="S159" s="59">
        <f ca="1">AVERAGE(OFFSET($R$3,0,0,'Données projet'!$E$9+1,1))-AVERAGE(OFFSET($H$3,0,0,'Données projet'!$E$9+1,1))</f>
        <v>681.47578137804555</v>
      </c>
      <c r="T159" s="59">
        <f t="shared" si="142"/>
        <v>300.88511065995885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1.7053025658242404E-13</v>
      </c>
      <c r="AJ159" s="13">
        <f>AI159*VLOOKUP('Données projet'!$B$10,Paramètres!$A$1:$I$89,3,0)*VLOOKUP('Données projet'!$B$10,Paramètres!$A$1:$I$89,5,0)</f>
        <v>7.9808160080574461E-14</v>
      </c>
      <c r="AK159" s="13">
        <f t="shared" si="164"/>
        <v>1.2308384591775343E-12</v>
      </c>
      <c r="AL159" s="20">
        <f t="shared" si="165"/>
        <v>2.282709528541206E-12</v>
      </c>
      <c r="AM159" s="59">
        <f t="shared" si="113"/>
        <v>287.35489844709059</v>
      </c>
      <c r="AN159" s="59">
        <f ca="1">AVERAGE(OFFSET($AM$3,0,0,'Données projet'!$E$10+1,1))-AVERAGE(OFFSET($H$3,0,0,'Données projet'!$E$10+1,1))</f>
        <v>374.38106339726073</v>
      </c>
      <c r="AO159" s="59">
        <f t="shared" si="144"/>
        <v>296.53283288925957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88.653820123690906</v>
      </c>
      <c r="AV159" s="21">
        <f>EXP(-LN(2)/25)*AV158+(1-EXP(-LN(2)/25))/(LN(2)/25)*Calculateur!AQ159*Calculateur!AS159*VLOOKUP('Données projet'!$B$10,Paramètres!$A$1:$I$89,3,0)*0.475*44/12</f>
        <v>22.456549016570314</v>
      </c>
      <c r="AW159" s="21">
        <f>EXP(-LN(2)/2)*AW158+(1-EXP(-LN(2)/2))/(LN(2)/2)*AQ159*AT159*VLOOKUP('Données projet'!$B$10,Paramètres!$A$1:$I$89,3,0)*0.475*44/12</f>
        <v>5.5948190386770026E-3</v>
      </c>
      <c r="AX159" s="21">
        <f t="shared" si="166"/>
        <v>111.11596395929989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1.0818439477588981E-13</v>
      </c>
      <c r="BF159" s="13">
        <f t="shared" si="167"/>
        <v>1.6104228458716316E-12</v>
      </c>
      <c r="BG159" s="20">
        <f t="shared" si="168"/>
        <v>2.9932409441277661E-12</v>
      </c>
      <c r="BH159" s="59">
        <f t="shared" si="116"/>
        <v>287.35489844709133</v>
      </c>
      <c r="BI159" s="59">
        <f ca="1">AVERAGE(OFFSET($BH$3,0,0,'Données projet'!$E$11+1,1))-AVERAGE(OFFSET($H$3,0,0,'Données projet'!$E$11+1,1))</f>
        <v>423.80243030843661</v>
      </c>
      <c r="BJ159" s="59">
        <f t="shared" si="146"/>
        <v>260.29028006191834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22.545102968884922</v>
      </c>
      <c r="BQ159" s="21">
        <f>EXP(-LN(2)/25)*BQ158+(1-EXP(-LN(2)/25))/(LN(2)/25)*Calculateur!BL159*Calculateur!BN159*VLOOKUP('Données projet'!$B$11,Paramètres!$A$1:$I$89,3,0)*0.475*44/12</f>
        <v>17.036673284989611</v>
      </c>
      <c r="BR159" s="21">
        <f>EXP(-LN(2)/2)*BR158+(1-EXP(-LN(2)/2))/(LN(2)/2)*BL159*BO159*VLOOKUP('Données projet'!$B$11,Paramètres!$A$1:$I$89,3,0)*0.475*44/12</f>
        <v>2.4738484021798976E-4</v>
      </c>
      <c r="BS159" s="22">
        <f t="shared" si="169"/>
        <v>39.582023638714752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-1.3596945791505279E-13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373.61861223558259</v>
      </c>
      <c r="CE159" s="59">
        <f t="shared" si="148"/>
        <v>277.62293009761049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34.02395975763509</v>
      </c>
      <c r="CL159" s="21">
        <f>EXP(-LN(2)/25)*CL158+(1-EXP(-LN(2)/25))/(LN(2)/25)*Calculateur!CG159*Calculateur!CI159*VLOOKUP('Données projet'!$B$12,Paramètres!$A$1:$I$89,3,0)*0.475*44/12</f>
        <v>6.2911775229446381</v>
      </c>
      <c r="CM159" s="21">
        <f>EXP(-LN(2)/2)*CM158+(1-EXP(-LN(2)/2))/(LN(2)/2)*CG159*CJ159*VLOOKUP('Données projet'!$B$12,Paramètres!$A$1:$I$89,3,0)*0.475*44/12</f>
        <v>2.5726564781947202E-10</v>
      </c>
      <c r="CN159" s="22">
        <f t="shared" si="172"/>
        <v>40.315137280836993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2.4829205358400945E-14</v>
      </c>
      <c r="CV159" s="13">
        <f t="shared" si="173"/>
        <v>4.3867331143352915E-13</v>
      </c>
      <c r="CW159" s="20">
        <f t="shared" si="174"/>
        <v>8.0726688341261168E-13</v>
      </c>
      <c r="CX159" s="59">
        <f t="shared" si="122"/>
        <v>287.35489844708911</v>
      </c>
      <c r="CY159" s="59">
        <f ca="1">AVERAGE(OFFSET($CX$3,0,0,'Données projet'!$E$13+1,1))-AVERAGE(OFFSET($H$3,0,0,'Données projet'!$E$13+1,1))</f>
        <v>287.28439432670405</v>
      </c>
      <c r="CZ159" s="59">
        <f t="shared" si="150"/>
        <v>276.01618888357268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7.3226313252998221</v>
      </c>
      <c r="DG159" s="21">
        <f>EXP(-LN(2)/25)*DG158+(1-EXP(-LN(2)/25))/(LN(2)/25)*Calculateur!DB159*Calculateur!DD159*VLOOKUP('Données projet'!$B$13,Paramètres!$A$1:$I$89,3,0)*0.475*44/12</f>
        <v>4.4372483574882073</v>
      </c>
      <c r="DH159" s="21">
        <f>EXP(-LN(2)/2)*DH158+(1-EXP(-LN(2)/2))/(LN(2)/2)*DB159*DE159*VLOOKUP('Données projet'!$B$13,Paramètres!$A$1:$I$89,3,0)*0.475*44/12</f>
        <v>1.6533319154633545E-10</v>
      </c>
      <c r="DI159" s="22">
        <f t="shared" si="175"/>
        <v>11.759879682953361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9">
        <f t="shared" si="109"/>
        <v>1279.8831965770746</v>
      </c>
      <c r="S160" s="59">
        <f ca="1">AVERAGE(OFFSET($R$3,0,0,'Données projet'!$E$9+1,1))-AVERAGE(OFFSET($H$3,0,0,'Données projet'!$E$9+1,1))</f>
        <v>681.47578137804555</v>
      </c>
      <c r="T160" s="59">
        <f t="shared" si="142"/>
        <v>300.88511065995885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1.7053025658242404E-13</v>
      </c>
      <c r="AJ160" s="13">
        <f>AI160*VLOOKUP('Données projet'!$B$10,Paramètres!$A$1:$I$89,3,0)*VLOOKUP('Données projet'!$B$10,Paramètres!$A$1:$I$89,5,0)</f>
        <v>7.9808160080574461E-14</v>
      </c>
      <c r="AK160" s="13">
        <f t="shared" si="164"/>
        <v>1.2308384591775343E-12</v>
      </c>
      <c r="AL160" s="20">
        <f t="shared" si="165"/>
        <v>2.282709528541206E-12</v>
      </c>
      <c r="AM160" s="59">
        <f t="shared" si="113"/>
        <v>287.45861092658885</v>
      </c>
      <c r="AN160" s="59">
        <f ca="1">AVERAGE(OFFSET($AM$3,0,0,'Données projet'!$E$10+1,1))-AVERAGE(OFFSET($H$3,0,0,'Données projet'!$E$10+1,1))</f>
        <v>374.38106339726073</v>
      </c>
      <c r="AO160" s="59">
        <f t="shared" si="144"/>
        <v>296.53283288925957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86.915372784556283</v>
      </c>
      <c r="AV160" s="21">
        <f>EXP(-LN(2)/25)*AV159+(1-EXP(-LN(2)/25))/(LN(2)/25)*Calculateur!AQ160*Calculateur!AS160*VLOOKUP('Données projet'!$B$10,Paramètres!$A$1:$I$89,3,0)*0.475*44/12</f>
        <v>21.842473502773611</v>
      </c>
      <c r="AW160" s="21">
        <f>EXP(-LN(2)/2)*AW159+(1-EXP(-LN(2)/2))/(LN(2)/2)*AQ160*AT160*VLOOKUP('Données projet'!$B$10,Paramètres!$A$1:$I$89,3,0)*0.475*44/12</f>
        <v>3.9561344817601093E-3</v>
      </c>
      <c r="AX160" s="21">
        <f t="shared" si="166"/>
        <v>108.76180242181165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1.0818439477588981E-13</v>
      </c>
      <c r="BF160" s="13">
        <f t="shared" si="167"/>
        <v>1.6104228458716316E-12</v>
      </c>
      <c r="BG160" s="20">
        <f t="shared" si="168"/>
        <v>2.9932409441277661E-12</v>
      </c>
      <c r="BH160" s="59">
        <f t="shared" si="116"/>
        <v>287.45861092658959</v>
      </c>
      <c r="BI160" s="59">
        <f ca="1">AVERAGE(OFFSET($BH$3,0,0,'Données projet'!$E$11+1,1))-AVERAGE(OFFSET($H$3,0,0,'Données projet'!$E$11+1,1))</f>
        <v>423.80243030843661</v>
      </c>
      <c r="BJ160" s="59">
        <f t="shared" si="146"/>
        <v>260.29028006191834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22.103007250820088</v>
      </c>
      <c r="BQ160" s="21">
        <f>EXP(-LN(2)/25)*BQ159+(1-EXP(-LN(2)/25))/(LN(2)/25)*Calculateur!BL160*Calculateur!BN160*VLOOKUP('Données projet'!$B$11,Paramètres!$A$1:$I$89,3,0)*0.475*44/12</f>
        <v>16.570804558091861</v>
      </c>
      <c r="BR160" s="21">
        <f>EXP(-LN(2)/2)*BR159+(1-EXP(-LN(2)/2))/(LN(2)/2)*BL160*BO160*VLOOKUP('Données projet'!$B$11,Paramètres!$A$1:$I$89,3,0)*0.475*44/12</f>
        <v>1.7492749808089111E-4</v>
      </c>
      <c r="BS160" s="22">
        <f t="shared" si="169"/>
        <v>38.673986736410029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-1.3596945791505279E-13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373.61861223558259</v>
      </c>
      <c r="CE160" s="59">
        <f t="shared" si="148"/>
        <v>277.62293009761049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33.356770659354176</v>
      </c>
      <c r="CL160" s="21">
        <f>EXP(-LN(2)/25)*CL159+(1-EXP(-LN(2)/25))/(LN(2)/25)*Calculateur!CG160*Calculateur!CI160*VLOOKUP('Données projet'!$B$12,Paramètres!$A$1:$I$89,3,0)*0.475*44/12</f>
        <v>6.1191449427410696</v>
      </c>
      <c r="CM160" s="21">
        <f>EXP(-LN(2)/2)*CM159+(1-EXP(-LN(2)/2))/(LN(2)/2)*CG160*CJ160*VLOOKUP('Données projet'!$B$12,Paramètres!$A$1:$I$89,3,0)*0.475*44/12</f>
        <v>1.819142841394988E-10</v>
      </c>
      <c r="CN160" s="22">
        <f t="shared" si="172"/>
        <v>39.475915602277155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2.4829205358400945E-14</v>
      </c>
      <c r="CV160" s="13">
        <f t="shared" si="173"/>
        <v>4.3867331143352915E-13</v>
      </c>
      <c r="CW160" s="20">
        <f t="shared" si="174"/>
        <v>8.0726688341261168E-13</v>
      </c>
      <c r="CX160" s="59">
        <f t="shared" si="122"/>
        <v>287.45861092658737</v>
      </c>
      <c r="CY160" s="59">
        <f ca="1">AVERAGE(OFFSET($CX$3,0,0,'Données projet'!$E$13+1,1))-AVERAGE(OFFSET($H$3,0,0,'Données projet'!$E$13+1,1))</f>
        <v>287.28439432670405</v>
      </c>
      <c r="CZ160" s="59">
        <f t="shared" si="150"/>
        <v>276.01618888357268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7.1790389913747843</v>
      </c>
      <c r="DG160" s="21">
        <f>EXP(-LN(2)/25)*DG159+(1-EXP(-LN(2)/25))/(LN(2)/25)*Calculateur!DB160*Calculateur!DD160*VLOOKUP('Données projet'!$B$13,Paramètres!$A$1:$I$89,3,0)*0.475*44/12</f>
        <v>4.3159115678079427</v>
      </c>
      <c r="DH160" s="21">
        <f>EXP(-LN(2)/2)*DH159+(1-EXP(-LN(2)/2))/(LN(2)/2)*DB160*DE160*VLOOKUP('Données projet'!$B$13,Paramètres!$A$1:$I$89,3,0)*0.475*44/12</f>
        <v>1.1690822089762817E-10</v>
      </c>
      <c r="DI160" s="22">
        <f t="shared" si="175"/>
        <v>11.494950559299633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9">
        <f t="shared" si="109"/>
        <v>1297.9122805428137</v>
      </c>
      <c r="S161" s="59">
        <f ca="1">AVERAGE(OFFSET($R$3,0,0,'Données projet'!$E$9+1,1))-AVERAGE(OFFSET($H$3,0,0,'Données projet'!$E$9+1,1))</f>
        <v>681.47578137804555</v>
      </c>
      <c r="T161" s="59">
        <f t="shared" si="142"/>
        <v>300.88511065995885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1.7053025658242404E-13</v>
      </c>
      <c r="AJ161" s="13">
        <f>AI161*VLOOKUP('Données projet'!$B$10,Paramètres!$A$1:$I$89,3,0)*VLOOKUP('Données projet'!$B$10,Paramètres!$A$1:$I$89,5,0)</f>
        <v>7.9808160080574461E-14</v>
      </c>
      <c r="AK161" s="13">
        <f t="shared" si="164"/>
        <v>1.2308384591775343E-12</v>
      </c>
      <c r="AL161" s="20">
        <f t="shared" si="165"/>
        <v>2.282709528541206E-12</v>
      </c>
      <c r="AM161" s="59">
        <f t="shared" si="113"/>
        <v>287.56052422643427</v>
      </c>
      <c r="AN161" s="59">
        <f ca="1">AVERAGE(OFFSET($AM$3,0,0,'Données projet'!$E$10+1,1))-AVERAGE(OFFSET($H$3,0,0,'Données projet'!$E$10+1,1))</f>
        <v>374.38106339726073</v>
      </c>
      <c r="AO161" s="59">
        <f t="shared" si="144"/>
        <v>296.53283288925957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85.211015337393917</v>
      </c>
      <c r="AV161" s="21">
        <f>EXP(-LN(2)/25)*AV160+(1-EXP(-LN(2)/25))/(LN(2)/25)*Calculateur!AQ161*Calculateur!AS161*VLOOKUP('Données projet'!$B$10,Paramètres!$A$1:$I$89,3,0)*0.475*44/12</f>
        <v>21.245189916194509</v>
      </c>
      <c r="AW161" s="21">
        <f>EXP(-LN(2)/2)*AW160+(1-EXP(-LN(2)/2))/(LN(2)/2)*AQ161*AT161*VLOOKUP('Données projet'!$B$10,Paramètres!$A$1:$I$89,3,0)*0.475*44/12</f>
        <v>2.7974095193385013E-3</v>
      </c>
      <c r="AX161" s="21">
        <f t="shared" si="166"/>
        <v>106.45900266310775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1.0818439477588981E-13</v>
      </c>
      <c r="BF161" s="13">
        <f t="shared" si="167"/>
        <v>1.6104228458716316E-12</v>
      </c>
      <c r="BG161" s="20">
        <f t="shared" si="168"/>
        <v>2.9932409441277661E-12</v>
      </c>
      <c r="BH161" s="59">
        <f t="shared" si="116"/>
        <v>287.56052422643501</v>
      </c>
      <c r="BI161" s="59">
        <f ca="1">AVERAGE(OFFSET($BH$3,0,0,'Données projet'!$E$11+1,1))-AVERAGE(OFFSET($H$3,0,0,'Données projet'!$E$11+1,1))</f>
        <v>423.80243030843661</v>
      </c>
      <c r="BJ161" s="59">
        <f t="shared" si="146"/>
        <v>260.29028006191834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21.669580760134743</v>
      </c>
      <c r="BQ161" s="21">
        <f>EXP(-LN(2)/25)*BQ160+(1-EXP(-LN(2)/25))/(LN(2)/25)*Calculateur!BL161*Calculateur!BN161*VLOOKUP('Données projet'!$B$11,Paramètres!$A$1:$I$89,3,0)*0.475*44/12</f>
        <v>16.1176750360301</v>
      </c>
      <c r="BR161" s="21">
        <f>EXP(-LN(2)/2)*BR160+(1-EXP(-LN(2)/2))/(LN(2)/2)*BL161*BO161*VLOOKUP('Données projet'!$B$11,Paramètres!$A$1:$I$89,3,0)*0.475*44/12</f>
        <v>1.2369242010899488E-4</v>
      </c>
      <c r="BS161" s="22">
        <f t="shared" si="169"/>
        <v>37.787379488584953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-1.3596945791505279E-13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373.61861223558259</v>
      </c>
      <c r="CE161" s="59">
        <f t="shared" si="148"/>
        <v>277.62293009761049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32.702664732345376</v>
      </c>
      <c r="CL161" s="21">
        <f>EXP(-LN(2)/25)*CL160+(1-EXP(-LN(2)/25))/(LN(2)/25)*Calculateur!CG161*Calculateur!CI161*VLOOKUP('Données projet'!$B$12,Paramètres!$A$1:$I$89,3,0)*0.475*44/12</f>
        <v>5.9518166024899681</v>
      </c>
      <c r="CM161" s="21">
        <f>EXP(-LN(2)/2)*CM160+(1-EXP(-LN(2)/2))/(LN(2)/2)*CG161*CJ161*VLOOKUP('Données projet'!$B$12,Paramètres!$A$1:$I$89,3,0)*0.475*44/12</f>
        <v>1.2863282390973601E-10</v>
      </c>
      <c r="CN161" s="22">
        <f t="shared" si="172"/>
        <v>38.654481334963975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2.4829205358400945E-14</v>
      </c>
      <c r="CV161" s="13">
        <f t="shared" si="173"/>
        <v>4.3867331143352915E-13</v>
      </c>
      <c r="CW161" s="20">
        <f t="shared" si="174"/>
        <v>8.0726688341261168E-13</v>
      </c>
      <c r="CX161" s="59">
        <f t="shared" si="122"/>
        <v>287.56052422643279</v>
      </c>
      <c r="CY161" s="59">
        <f ca="1">AVERAGE(OFFSET($CX$3,0,0,'Données projet'!$E$13+1,1))-AVERAGE(OFFSET($H$3,0,0,'Données projet'!$E$13+1,1))</f>
        <v>287.28439432670405</v>
      </c>
      <c r="CZ161" s="59">
        <f t="shared" si="150"/>
        <v>276.01618888357268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7.0382624155353408</v>
      </c>
      <c r="DG161" s="21">
        <f>EXP(-LN(2)/25)*DG160+(1-EXP(-LN(2)/25))/(LN(2)/25)*Calculateur!DB161*Calculateur!DD161*VLOOKUP('Données projet'!$B$13,Paramètres!$A$1:$I$89,3,0)*0.475*44/12</f>
        <v>4.1978927390223095</v>
      </c>
      <c r="DH161" s="21">
        <f>EXP(-LN(2)/2)*DH160+(1-EXP(-LN(2)/2))/(LN(2)/2)*DB161*DE161*VLOOKUP('Données projet'!$B$13,Paramètres!$A$1:$I$89,3,0)*0.475*44/12</f>
        <v>8.2666595773167725E-11</v>
      </c>
      <c r="DI161" s="22">
        <f t="shared" si="175"/>
        <v>11.236155154640317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9">
        <f t="shared" si="109"/>
        <v>1315.9333244176519</v>
      </c>
      <c r="S162" s="59">
        <f ca="1">AVERAGE(OFFSET($R$3,0,0,'Données projet'!$E$9+1,1))-AVERAGE(OFFSET($H$3,0,0,'Données projet'!$E$9+1,1))</f>
        <v>681.47578137804555</v>
      </c>
      <c r="T162" s="59">
        <f t="shared" si="142"/>
        <v>300.88511065995885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1.7053025658242404E-13</v>
      </c>
      <c r="AJ162" s="13">
        <f>AI162*VLOOKUP('Données projet'!$B$10,Paramètres!$A$1:$I$89,3,0)*VLOOKUP('Données projet'!$B$10,Paramètres!$A$1:$I$89,5,0)</f>
        <v>7.9808160080574461E-14</v>
      </c>
      <c r="AK162" s="13">
        <f t="shared" si="164"/>
        <v>1.2308384591775343E-12</v>
      </c>
      <c r="AL162" s="20">
        <f t="shared" si="165"/>
        <v>2.282709528541206E-12</v>
      </c>
      <c r="AM162" s="59">
        <f t="shared" si="113"/>
        <v>287.66066955837124</v>
      </c>
      <c r="AN162" s="59">
        <f ca="1">AVERAGE(OFFSET($AM$3,0,0,'Données projet'!$E$10+1,1))-AVERAGE(OFFSET($H$3,0,0,'Données projet'!$E$10+1,1))</f>
        <v>374.38106339726073</v>
      </c>
      <c r="AO162" s="59">
        <f t="shared" si="144"/>
        <v>296.53283288925957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83.540079300215012</v>
      </c>
      <c r="AV162" s="21">
        <f>EXP(-LN(2)/25)*AV161+(1-EXP(-LN(2)/25))/(LN(2)/25)*Calculateur!AQ162*Calculateur!AS162*VLOOKUP('Données projet'!$B$10,Paramètres!$A$1:$I$89,3,0)*0.475*44/12</f>
        <v>20.664239080700188</v>
      </c>
      <c r="AW162" s="21">
        <f>EXP(-LN(2)/2)*AW161+(1-EXP(-LN(2)/2))/(LN(2)/2)*AQ162*AT162*VLOOKUP('Données projet'!$B$10,Paramètres!$A$1:$I$89,3,0)*0.475*44/12</f>
        <v>1.9780672408800546E-3</v>
      </c>
      <c r="AX162" s="21">
        <f t="shared" si="166"/>
        <v>104.20629644815608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1.0818439477588981E-13</v>
      </c>
      <c r="BF162" s="13">
        <f t="shared" si="167"/>
        <v>1.6104228458716316E-12</v>
      </c>
      <c r="BG162" s="20">
        <f t="shared" si="168"/>
        <v>2.9932409441277661E-12</v>
      </c>
      <c r="BH162" s="59">
        <f t="shared" si="116"/>
        <v>287.66066955837198</v>
      </c>
      <c r="BI162" s="59">
        <f ca="1">AVERAGE(OFFSET($BH$3,0,0,'Données projet'!$E$11+1,1))-AVERAGE(OFFSET($H$3,0,0,'Données projet'!$E$11+1,1))</f>
        <v>423.80243030843661</v>
      </c>
      <c r="BJ162" s="59">
        <f t="shared" si="146"/>
        <v>260.29028006191834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21.244653498567679</v>
      </c>
      <c r="BQ162" s="21">
        <f>EXP(-LN(2)/25)*BQ161+(1-EXP(-LN(2)/25))/(LN(2)/25)*Calculateur!BL162*Calculateur!BN162*VLOOKUP('Données projet'!$B$11,Paramètres!$A$1:$I$89,3,0)*0.475*44/12</f>
        <v>15.676936364578165</v>
      </c>
      <c r="BR162" s="21">
        <f>EXP(-LN(2)/2)*BR161+(1-EXP(-LN(2)/2))/(LN(2)/2)*BL162*BO162*VLOOKUP('Données projet'!$B$11,Paramètres!$A$1:$I$89,3,0)*0.475*44/12</f>
        <v>8.7463749040445554E-5</v>
      </c>
      <c r="BS162" s="22">
        <f t="shared" si="169"/>
        <v>36.92167732689488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-1.3596945791505279E-13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373.61861223558259</v>
      </c>
      <c r="CE162" s="59">
        <f t="shared" si="148"/>
        <v>277.62293009761049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32.061385423600001</v>
      </c>
      <c r="CL162" s="21">
        <f>EXP(-LN(2)/25)*CL161+(1-EXP(-LN(2)/25))/(LN(2)/25)*Calculateur!CG162*Calculateur!CI162*VLOOKUP('Données projet'!$B$12,Paramètres!$A$1:$I$89,3,0)*0.475*44/12</f>
        <v>5.7890638645024479</v>
      </c>
      <c r="CM162" s="21">
        <f>EXP(-LN(2)/2)*CM161+(1-EXP(-LN(2)/2))/(LN(2)/2)*CG162*CJ162*VLOOKUP('Données projet'!$B$12,Paramètres!$A$1:$I$89,3,0)*0.475*44/12</f>
        <v>9.0957142069749401E-11</v>
      </c>
      <c r="CN162" s="22">
        <f t="shared" si="172"/>
        <v>37.850449288193403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2.4829205358400945E-14</v>
      </c>
      <c r="CV162" s="13">
        <f t="shared" si="173"/>
        <v>4.3867331143352915E-13</v>
      </c>
      <c r="CW162" s="20">
        <f t="shared" si="174"/>
        <v>8.0726688341261168E-13</v>
      </c>
      <c r="CX162" s="59">
        <f t="shared" si="122"/>
        <v>287.66066955836976</v>
      </c>
      <c r="CY162" s="59">
        <f ca="1">AVERAGE(OFFSET($CX$3,0,0,'Données projet'!$E$13+1,1))-AVERAGE(OFFSET($H$3,0,0,'Données projet'!$E$13+1,1))</f>
        <v>287.28439432670405</v>
      </c>
      <c r="CZ162" s="59">
        <f t="shared" si="150"/>
        <v>276.01618888357268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6.9002463824828757</v>
      </c>
      <c r="DG162" s="21">
        <f>EXP(-LN(2)/25)*DG161+(1-EXP(-LN(2)/25))/(LN(2)/25)*Calculateur!DB162*Calculateur!DD162*VLOOKUP('Données projet'!$B$13,Paramètres!$A$1:$I$89,3,0)*0.475*44/12</f>
        <v>4.0831011413161598</v>
      </c>
      <c r="DH162" s="21">
        <f>EXP(-LN(2)/2)*DH161+(1-EXP(-LN(2)/2))/(LN(2)/2)*DB162*DE162*VLOOKUP('Données projet'!$B$13,Paramètres!$A$1:$I$89,3,0)*0.475*44/12</f>
        <v>5.8454110448814083E-11</v>
      </c>
      <c r="DI162" s="22">
        <f t="shared" si="175"/>
        <v>10.983347523857491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9">
        <f t="shared" si="109"/>
        <v>1333.9464834311204</v>
      </c>
      <c r="S163" s="59">
        <f ca="1">AVERAGE(OFFSET($R$3,0,0,'Données projet'!$E$9+1,1))-AVERAGE(OFFSET($H$3,0,0,'Données projet'!$E$9+1,1))</f>
        <v>681.47578137804555</v>
      </c>
      <c r="T163" s="59">
        <f t="shared" si="142"/>
        <v>300.88511065995885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1.7053025658242404E-13</v>
      </c>
      <c r="AJ163" s="13">
        <f>AI163*VLOOKUP('Données projet'!$B$10,Paramètres!$A$1:$I$89,3,0)*VLOOKUP('Données projet'!$B$10,Paramètres!$A$1:$I$89,5,0)</f>
        <v>7.9808160080574461E-14</v>
      </c>
      <c r="AK163" s="13">
        <f t="shared" si="164"/>
        <v>1.2308384591775343E-12</v>
      </c>
      <c r="AL163" s="20">
        <f t="shared" si="165"/>
        <v>2.282709528541206E-12</v>
      </c>
      <c r="AM163" s="59">
        <f t="shared" si="113"/>
        <v>287.75907759269063</v>
      </c>
      <c r="AN163" s="59">
        <f ca="1">AVERAGE(OFFSET($AM$3,0,0,'Données projet'!$E$10+1,1))-AVERAGE(OFFSET($H$3,0,0,'Données projet'!$E$10+1,1))</f>
        <v>374.38106339726073</v>
      </c>
      <c r="AO163" s="59">
        <f t="shared" si="144"/>
        <v>296.53283288925957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81.901909299554845</v>
      </c>
      <c r="AV163" s="21">
        <f>EXP(-LN(2)/25)*AV162+(1-EXP(-LN(2)/25))/(LN(2)/25)*Calculateur!AQ163*Calculateur!AS163*VLOOKUP('Données projet'!$B$10,Paramètres!$A$1:$I$89,3,0)*0.475*44/12</f>
        <v>20.099174376353336</v>
      </c>
      <c r="AW163" s="21">
        <f>EXP(-LN(2)/2)*AW162+(1-EXP(-LN(2)/2))/(LN(2)/2)*AQ163*AT163*VLOOKUP('Données projet'!$B$10,Paramètres!$A$1:$I$89,3,0)*0.475*44/12</f>
        <v>1.3987047596692506E-3</v>
      </c>
      <c r="AX163" s="21">
        <f t="shared" si="166"/>
        <v>102.00248238066784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1.0818439477588981E-13</v>
      </c>
      <c r="BF163" s="13">
        <f t="shared" si="167"/>
        <v>1.6104228458716316E-12</v>
      </c>
      <c r="BG163" s="20">
        <f t="shared" si="168"/>
        <v>2.9932409441277661E-12</v>
      </c>
      <c r="BH163" s="59">
        <f t="shared" si="116"/>
        <v>287.75907759269137</v>
      </c>
      <c r="BI163" s="59">
        <f ca="1">AVERAGE(OFFSET($BH$3,0,0,'Données projet'!$E$11+1,1))-AVERAGE(OFFSET($H$3,0,0,'Données projet'!$E$11+1,1))</f>
        <v>423.80243030843661</v>
      </c>
      <c r="BJ163" s="59">
        <f t="shared" si="146"/>
        <v>260.29028006191834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20.82805880141991</v>
      </c>
      <c r="BQ163" s="21">
        <f>EXP(-LN(2)/25)*BQ162+(1-EXP(-LN(2)/25))/(LN(2)/25)*Calculateur!BL163*Calculateur!BN163*VLOOKUP('Données projet'!$B$11,Paramètres!$A$1:$I$89,3,0)*0.475*44/12</f>
        <v>15.248249715274522</v>
      </c>
      <c r="BR163" s="21">
        <f>EXP(-LN(2)/2)*BR162+(1-EXP(-LN(2)/2))/(LN(2)/2)*BL163*BO163*VLOOKUP('Données projet'!$B$11,Paramètres!$A$1:$I$89,3,0)*0.475*44/12</f>
        <v>6.1846210054497441E-5</v>
      </c>
      <c r="BS163" s="22">
        <f t="shared" si="169"/>
        <v>36.076370362904484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-1.3596945791505279E-13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373.61861223558259</v>
      </c>
      <c r="CE163" s="59">
        <f t="shared" si="148"/>
        <v>277.62293009761049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31.432681210957366</v>
      </c>
      <c r="CL163" s="21">
        <f>EXP(-LN(2)/25)*CL162+(1-EXP(-LN(2)/25))/(LN(2)/25)*Calculateur!CG163*Calculateur!CI163*VLOOKUP('Données projet'!$B$12,Paramètres!$A$1:$I$89,3,0)*0.475*44/12</f>
        <v>5.6307616086939909</v>
      </c>
      <c r="CM163" s="21">
        <f>EXP(-LN(2)/2)*CM162+(1-EXP(-LN(2)/2))/(LN(2)/2)*CG163*CJ163*VLOOKUP('Données projet'!$B$12,Paramètres!$A$1:$I$89,3,0)*0.475*44/12</f>
        <v>6.4316411954868005E-11</v>
      </c>
      <c r="CN163" s="22">
        <f t="shared" si="172"/>
        <v>37.063442819715675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2.4829205358400945E-14</v>
      </c>
      <c r="CV163" s="13">
        <f t="shared" si="173"/>
        <v>4.3867331143352915E-13</v>
      </c>
      <c r="CW163" s="20">
        <f t="shared" si="174"/>
        <v>8.0726688341261168E-13</v>
      </c>
      <c r="CX163" s="59">
        <f t="shared" si="122"/>
        <v>287.75907759268915</v>
      </c>
      <c r="CY163" s="59">
        <f ca="1">AVERAGE(OFFSET($CX$3,0,0,'Données projet'!$E$13+1,1))-AVERAGE(OFFSET($H$3,0,0,'Données projet'!$E$13+1,1))</f>
        <v>287.28439432670405</v>
      </c>
      <c r="CZ163" s="59">
        <f t="shared" si="150"/>
        <v>276.01618888357268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6.7649367596571022</v>
      </c>
      <c r="DG163" s="21">
        <f>EXP(-LN(2)/25)*DG162+(1-EXP(-LN(2)/25))/(LN(2)/25)*Calculateur!DB163*Calculateur!DD163*VLOOKUP('Données projet'!$B$13,Paramètres!$A$1:$I$89,3,0)*0.475*44/12</f>
        <v>3.9714485258859122</v>
      </c>
      <c r="DH163" s="21">
        <f>EXP(-LN(2)/2)*DH162+(1-EXP(-LN(2)/2))/(LN(2)/2)*DB163*DE163*VLOOKUP('Données projet'!$B$13,Paramètres!$A$1:$I$89,3,0)*0.475*44/12</f>
        <v>4.1333297886583862E-11</v>
      </c>
      <c r="DI163" s="22">
        <f t="shared" si="175"/>
        <v>10.736385285584349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9">
        <f t="shared" si="109"/>
        <v>1351.9519076730503</v>
      </c>
      <c r="S164" s="59">
        <f ca="1">AVERAGE(OFFSET($R$3,0,0,'Données projet'!$E$9+1,1))-AVERAGE(OFFSET($H$3,0,0,'Données projet'!$E$9+1,1))</f>
        <v>681.47578137804555</v>
      </c>
      <c r="T164" s="59">
        <f t="shared" si="142"/>
        <v>300.88511065995885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1.7053025658242404E-13</v>
      </c>
      <c r="AJ164" s="13">
        <f>AI164*VLOOKUP('Données projet'!$B$10,Paramètres!$A$1:$I$89,3,0)*VLOOKUP('Données projet'!$B$10,Paramètres!$A$1:$I$89,5,0)</f>
        <v>7.9808160080574461E-14</v>
      </c>
      <c r="AK164" s="13">
        <f t="shared" si="164"/>
        <v>1.2308384591775343E-12</v>
      </c>
      <c r="AL164" s="20">
        <f t="shared" si="165"/>
        <v>2.282709528541206E-12</v>
      </c>
      <c r="AM164" s="59">
        <f t="shared" si="113"/>
        <v>287.85577846762197</v>
      </c>
      <c r="AN164" s="59">
        <f ca="1">AVERAGE(OFFSET($AM$3,0,0,'Données projet'!$E$10+1,1))-AVERAGE(OFFSET($H$3,0,0,'Données projet'!$E$10+1,1))</f>
        <v>374.38106339726073</v>
      </c>
      <c r="AO164" s="59">
        <f t="shared" si="144"/>
        <v>296.53283288925957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80.295862813422573</v>
      </c>
      <c r="AV164" s="21">
        <f>EXP(-LN(2)/25)*AV163+(1-EXP(-LN(2)/25))/(LN(2)/25)*Calculateur!AQ164*Calculateur!AS164*VLOOKUP('Données projet'!$B$10,Paramètres!$A$1:$I$89,3,0)*0.475*44/12</f>
        <v>19.549561396062309</v>
      </c>
      <c r="AW164" s="21">
        <f>EXP(-LN(2)/2)*AW163+(1-EXP(-LN(2)/2))/(LN(2)/2)*AQ164*AT164*VLOOKUP('Données projet'!$B$10,Paramètres!$A$1:$I$89,3,0)*0.475*44/12</f>
        <v>9.8903362044002732E-4</v>
      </c>
      <c r="AX164" s="21">
        <f t="shared" si="166"/>
        <v>99.846413243105332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1.0818439477588981E-13</v>
      </c>
      <c r="BF164" s="13">
        <f t="shared" si="167"/>
        <v>1.6104228458716316E-12</v>
      </c>
      <c r="BG164" s="20">
        <f t="shared" si="168"/>
        <v>2.9932409441277661E-12</v>
      </c>
      <c r="BH164" s="59">
        <f t="shared" si="116"/>
        <v>287.85577846762271</v>
      </c>
      <c r="BI164" s="59">
        <f ca="1">AVERAGE(OFFSET($BH$3,0,0,'Données projet'!$E$11+1,1))-AVERAGE(OFFSET($H$3,0,0,'Données projet'!$E$11+1,1))</f>
        <v>423.80243030843661</v>
      </c>
      <c r="BJ164" s="59">
        <f t="shared" si="146"/>
        <v>260.29028006191834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20.419633272185532</v>
      </c>
      <c r="BQ164" s="21">
        <f>EXP(-LN(2)/25)*BQ163+(1-EXP(-LN(2)/25))/(LN(2)/25)*Calculateur!BL164*Calculateur!BN164*VLOOKUP('Données projet'!$B$11,Paramètres!$A$1:$I$89,3,0)*0.475*44/12</f>
        <v>14.831285524939737</v>
      </c>
      <c r="BR164" s="21">
        <f>EXP(-LN(2)/2)*BR163+(1-EXP(-LN(2)/2))/(LN(2)/2)*BL164*BO164*VLOOKUP('Données projet'!$B$11,Paramètres!$A$1:$I$89,3,0)*0.475*44/12</f>
        <v>4.3731874520222777E-5</v>
      </c>
      <c r="BS164" s="22">
        <f t="shared" si="169"/>
        <v>35.250962528999786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-1.3596945791505279E-13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373.61861223558259</v>
      </c>
      <c r="CE164" s="59">
        <f t="shared" si="148"/>
        <v>277.62293009761049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30.816305504452949</v>
      </c>
      <c r="CL164" s="21">
        <f>EXP(-LN(2)/25)*CL163+(1-EXP(-LN(2)/25))/(LN(2)/25)*Calculateur!CG164*Calculateur!CI164*VLOOKUP('Données projet'!$B$12,Paramètres!$A$1:$I$89,3,0)*0.475*44/12</f>
        <v>5.4767881363953697</v>
      </c>
      <c r="CM164" s="21">
        <f>EXP(-LN(2)/2)*CM163+(1-EXP(-LN(2)/2))/(LN(2)/2)*CG164*CJ164*VLOOKUP('Données projet'!$B$12,Paramètres!$A$1:$I$89,3,0)*0.475*44/12</f>
        <v>4.54785710348747E-11</v>
      </c>
      <c r="CN164" s="22">
        <f t="shared" si="172"/>
        <v>36.293093640893801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2.4829205358400945E-14</v>
      </c>
      <c r="CV164" s="13">
        <f t="shared" si="173"/>
        <v>4.3867331143352915E-13</v>
      </c>
      <c r="CW164" s="20">
        <f t="shared" si="174"/>
        <v>8.0726688341261168E-13</v>
      </c>
      <c r="CX164" s="59">
        <f t="shared" si="122"/>
        <v>287.8557784676205</v>
      </c>
      <c r="CY164" s="59">
        <f ca="1">AVERAGE(OFFSET($CX$3,0,0,'Données projet'!$E$13+1,1))-AVERAGE(OFFSET($H$3,0,0,'Données projet'!$E$13+1,1))</f>
        <v>287.28439432670405</v>
      </c>
      <c r="CZ164" s="59">
        <f t="shared" si="150"/>
        <v>276.01618888357268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6.6322804760042207</v>
      </c>
      <c r="DG164" s="21">
        <f>EXP(-LN(2)/25)*DG163+(1-EXP(-LN(2)/25))/(LN(2)/25)*Calculateur!DB164*Calculateur!DD164*VLOOKUP('Données projet'!$B$13,Paramètres!$A$1:$I$89,3,0)*0.475*44/12</f>
        <v>3.8628490570961609</v>
      </c>
      <c r="DH164" s="21">
        <f>EXP(-LN(2)/2)*DH163+(1-EXP(-LN(2)/2))/(LN(2)/2)*DB164*DE164*VLOOKUP('Données projet'!$B$13,Paramètres!$A$1:$I$89,3,0)*0.475*44/12</f>
        <v>2.9227055224407042E-11</v>
      </c>
      <c r="DI164" s="22">
        <f t="shared" si="175"/>
        <v>10.495129533129608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9">
        <f t="shared" si="109"/>
        <v>1369.9497423494806</v>
      </c>
      <c r="S165" s="59">
        <f ca="1">AVERAGE(OFFSET($R$3,0,0,'Données projet'!$E$9+1,1))-AVERAGE(OFFSET($H$3,0,0,'Données projet'!$E$9+1,1))</f>
        <v>681.47578137804555</v>
      </c>
      <c r="T165" s="59">
        <f t="shared" si="142"/>
        <v>300.88511065995885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1.7053025658242404E-13</v>
      </c>
      <c r="AJ165" s="13">
        <f>AI165*VLOOKUP('Données projet'!$B$10,Paramètres!$A$1:$I$89,3,0)*VLOOKUP('Données projet'!$B$10,Paramètres!$A$1:$I$89,5,0)</f>
        <v>7.9808160080574461E-14</v>
      </c>
      <c r="AK165" s="13">
        <f t="shared" si="164"/>
        <v>1.2308384591775343E-12</v>
      </c>
      <c r="AL165" s="20">
        <f t="shared" si="165"/>
        <v>2.282709528541206E-12</v>
      </c>
      <c r="AM165" s="59">
        <f t="shared" si="113"/>
        <v>287.95080179856399</v>
      </c>
      <c r="AN165" s="59">
        <f ca="1">AVERAGE(OFFSET($AM$3,0,0,'Données projet'!$E$10+1,1))-AVERAGE(OFFSET($H$3,0,0,'Données projet'!$E$10+1,1))</f>
        <v>374.38106339726073</v>
      </c>
      <c r="AO165" s="59">
        <f t="shared" si="144"/>
        <v>296.53283288925957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78.721309919291727</v>
      </c>
      <c r="AV165" s="21">
        <f>EXP(-LN(2)/25)*AV164+(1-EXP(-LN(2)/25))/(LN(2)/25)*Calculateur!AQ165*Calculateur!AS165*VLOOKUP('Données projet'!$B$10,Paramètres!$A$1:$I$89,3,0)*0.475*44/12</f>
        <v>19.014977611620232</v>
      </c>
      <c r="AW165" s="21">
        <f>EXP(-LN(2)/2)*AW164+(1-EXP(-LN(2)/2))/(LN(2)/2)*AQ165*AT165*VLOOKUP('Données projet'!$B$10,Paramètres!$A$1:$I$89,3,0)*0.475*44/12</f>
        <v>6.9935237983462532E-4</v>
      </c>
      <c r="AX165" s="21">
        <f t="shared" si="166"/>
        <v>97.736986883291806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1.0818439477588981E-13</v>
      </c>
      <c r="BF165" s="13">
        <f t="shared" si="167"/>
        <v>1.6104228458716316E-12</v>
      </c>
      <c r="BG165" s="20">
        <f t="shared" si="168"/>
        <v>2.9932409441277661E-12</v>
      </c>
      <c r="BH165" s="59">
        <f t="shared" si="116"/>
        <v>287.95080179856473</v>
      </c>
      <c r="BI165" s="59">
        <f ca="1">AVERAGE(OFFSET($BH$3,0,0,'Données projet'!$E$11+1,1))-AVERAGE(OFFSET($H$3,0,0,'Données projet'!$E$11+1,1))</f>
        <v>423.80243030843661</v>
      </c>
      <c r="BJ165" s="59">
        <f t="shared" si="146"/>
        <v>260.29028006191834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20.019216718464467</v>
      </c>
      <c r="BQ165" s="21">
        <f>EXP(-LN(2)/25)*BQ164+(1-EXP(-LN(2)/25))/(LN(2)/25)*Calculateur!BL165*Calculateur!BN165*VLOOKUP('Données projet'!$B$11,Paramètres!$A$1:$I$89,3,0)*0.475*44/12</f>
        <v>14.425723242316852</v>
      </c>
      <c r="BR165" s="21">
        <f>EXP(-LN(2)/2)*BR164+(1-EXP(-LN(2)/2))/(LN(2)/2)*BL165*BO165*VLOOKUP('Données projet'!$B$11,Paramètres!$A$1:$I$89,3,0)*0.475*44/12</f>
        <v>3.092310502724872E-5</v>
      </c>
      <c r="BS165" s="22">
        <f t="shared" si="169"/>
        <v>34.444970883886349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-1.3596945791505279E-13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373.61861223558259</v>
      </c>
      <c r="CE165" s="59">
        <f t="shared" si="148"/>
        <v>277.62293009761049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30.212016549601024</v>
      </c>
      <c r="CL165" s="21">
        <f>EXP(-LN(2)/25)*CL164+(1-EXP(-LN(2)/25))/(LN(2)/25)*Calculateur!CG165*Calculateur!CI165*VLOOKUP('Données projet'!$B$12,Paramètres!$A$1:$I$89,3,0)*0.475*44/12</f>
        <v>5.3270250767938672</v>
      </c>
      <c r="CM165" s="21">
        <f>EXP(-LN(2)/2)*CM164+(1-EXP(-LN(2)/2))/(LN(2)/2)*CG165*CJ165*VLOOKUP('Données projet'!$B$12,Paramètres!$A$1:$I$89,3,0)*0.475*44/12</f>
        <v>3.2158205977434003E-11</v>
      </c>
      <c r="CN165" s="22">
        <f t="shared" si="172"/>
        <v>35.53904162642705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2.4829205358400945E-14</v>
      </c>
      <c r="CV165" s="13">
        <f t="shared" si="173"/>
        <v>4.3867331143352915E-13</v>
      </c>
      <c r="CW165" s="20">
        <f t="shared" si="174"/>
        <v>8.0726688341261168E-13</v>
      </c>
      <c r="CX165" s="59">
        <f t="shared" si="122"/>
        <v>287.95080179856251</v>
      </c>
      <c r="CY165" s="59">
        <f ca="1">AVERAGE(OFFSET($CX$3,0,0,'Données projet'!$E$13+1,1))-AVERAGE(OFFSET($H$3,0,0,'Données projet'!$E$13+1,1))</f>
        <v>287.28439432670405</v>
      </c>
      <c r="CZ165" s="59">
        <f t="shared" si="150"/>
        <v>276.01618888357268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6.5022255011614289</v>
      </c>
      <c r="DG165" s="21">
        <f>EXP(-LN(2)/25)*DG164+(1-EXP(-LN(2)/25))/(LN(2)/25)*Calculateur!DB165*Calculateur!DD165*VLOOKUP('Données projet'!$B$13,Paramètres!$A$1:$I$89,3,0)*0.475*44/12</f>
        <v>3.7572192464914633</v>
      </c>
      <c r="DH165" s="21">
        <f>EXP(-LN(2)/2)*DH164+(1-EXP(-LN(2)/2))/(LN(2)/2)*DB165*DE165*VLOOKUP('Données projet'!$B$13,Paramètres!$A$1:$I$89,3,0)*0.475*44/12</f>
        <v>2.0666648943291931E-11</v>
      </c>
      <c r="DI165" s="22">
        <f t="shared" si="175"/>
        <v>10.259444747673559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9">
        <f t="shared" si="109"/>
        <v>1387.9401280212558</v>
      </c>
      <c r="S166" s="59">
        <f ca="1">AVERAGE(OFFSET($R$3,0,0,'Données projet'!$E$9+1,1))-AVERAGE(OFFSET($H$3,0,0,'Données projet'!$E$9+1,1))</f>
        <v>681.47578137804555</v>
      </c>
      <c r="T166" s="59">
        <f t="shared" si="142"/>
        <v>300.88511065995885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1.7053025658242404E-13</v>
      </c>
      <c r="AJ166" s="13">
        <f>AI166*VLOOKUP('Données projet'!$B$10,Paramètres!$A$1:$I$89,3,0)*VLOOKUP('Données projet'!$B$10,Paramètres!$A$1:$I$89,5,0)</f>
        <v>7.9808160080574461E-14</v>
      </c>
      <c r="AK166" s="13">
        <f t="shared" si="164"/>
        <v>1.2308384591775343E-12</v>
      </c>
      <c r="AL166" s="20">
        <f t="shared" si="165"/>
        <v>2.282709528541206E-12</v>
      </c>
      <c r="AM166" s="59">
        <f t="shared" si="113"/>
        <v>288.0441766871545</v>
      </c>
      <c r="AN166" s="59">
        <f ca="1">AVERAGE(OFFSET($AM$3,0,0,'Données projet'!$E$10+1,1))-AVERAGE(OFFSET($H$3,0,0,'Données projet'!$E$10+1,1))</f>
        <v>374.38106339726073</v>
      </c>
      <c r="AO166" s="59">
        <f t="shared" si="144"/>
        <v>296.53283288925957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77.177633047032359</v>
      </c>
      <c r="AV166" s="21">
        <f>EXP(-LN(2)/25)*AV165+(1-EXP(-LN(2)/25))/(LN(2)/25)*Calculateur!AQ166*Calculateur!AS166*VLOOKUP('Données projet'!$B$10,Paramètres!$A$1:$I$89,3,0)*0.475*44/12</f>
        <v>18.495012048876262</v>
      </c>
      <c r="AW166" s="21">
        <f>EXP(-LN(2)/2)*AW165+(1-EXP(-LN(2)/2))/(LN(2)/2)*AQ166*AT166*VLOOKUP('Données projet'!$B$10,Paramètres!$A$1:$I$89,3,0)*0.475*44/12</f>
        <v>4.9451681022001366E-4</v>
      </c>
      <c r="AX166" s="21">
        <f t="shared" si="166"/>
        <v>95.673139612718842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1.0818439477588981E-13</v>
      </c>
      <c r="BF166" s="13">
        <f t="shared" si="167"/>
        <v>1.6104228458716316E-12</v>
      </c>
      <c r="BG166" s="20">
        <f t="shared" si="168"/>
        <v>2.9932409441277661E-12</v>
      </c>
      <c r="BH166" s="59">
        <f t="shared" si="116"/>
        <v>288.04417668715524</v>
      </c>
      <c r="BI166" s="59">
        <f ca="1">AVERAGE(OFFSET($BH$3,0,0,'Données projet'!$E$11+1,1))-AVERAGE(OFFSET($H$3,0,0,'Données projet'!$E$11+1,1))</f>
        <v>423.80243030843661</v>
      </c>
      <c r="BJ166" s="59">
        <f t="shared" si="146"/>
        <v>260.29028006191834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19.626652089131888</v>
      </c>
      <c r="BQ166" s="21">
        <f>EXP(-LN(2)/25)*BQ165+(1-EXP(-LN(2)/25))/(LN(2)/25)*Calculateur!BL166*Calculateur!BN166*VLOOKUP('Données projet'!$B$11,Paramètres!$A$1:$I$89,3,0)*0.475*44/12</f>
        <v>14.031251081639883</v>
      </c>
      <c r="BR166" s="21">
        <f>EXP(-LN(2)/2)*BR165+(1-EXP(-LN(2)/2))/(LN(2)/2)*BL166*BO166*VLOOKUP('Données projet'!$B$11,Paramètres!$A$1:$I$89,3,0)*0.475*44/12</f>
        <v>2.1865937260111388E-5</v>
      </c>
      <c r="BS166" s="22">
        <f t="shared" si="169"/>
        <v>33.657925036709038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-1.3596945791505279E-13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373.61861223558259</v>
      </c>
      <c r="CE166" s="59">
        <f t="shared" si="148"/>
        <v>277.62293009761049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29.619577332573879</v>
      </c>
      <c r="CL166" s="21">
        <f>EXP(-LN(2)/25)*CL165+(1-EXP(-LN(2)/25))/(LN(2)/25)*Calculateur!CG166*Calculateur!CI166*VLOOKUP('Données projet'!$B$12,Paramètres!$A$1:$I$89,3,0)*0.475*44/12</f>
        <v>5.1813572959328651</v>
      </c>
      <c r="CM166" s="21">
        <f>EXP(-LN(2)/2)*CM165+(1-EXP(-LN(2)/2))/(LN(2)/2)*CG166*CJ166*VLOOKUP('Données projet'!$B$12,Paramètres!$A$1:$I$89,3,0)*0.475*44/12</f>
        <v>2.273928551743735E-11</v>
      </c>
      <c r="CN166" s="22">
        <f t="shared" si="172"/>
        <v>34.800934628529482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2.4829205358400945E-14</v>
      </c>
      <c r="CV166" s="13">
        <f t="shared" si="173"/>
        <v>4.3867331143352915E-13</v>
      </c>
      <c r="CW166" s="20">
        <f t="shared" si="174"/>
        <v>8.0726688341261168E-13</v>
      </c>
      <c r="CX166" s="59">
        <f t="shared" si="122"/>
        <v>288.04417668715303</v>
      </c>
      <c r="CY166" s="59">
        <f ca="1">AVERAGE(OFFSET($CX$3,0,0,'Données projet'!$E$13+1,1))-AVERAGE(OFFSET($H$3,0,0,'Données projet'!$E$13+1,1))</f>
        <v>287.28439432670405</v>
      </c>
      <c r="CZ166" s="59">
        <f t="shared" si="150"/>
        <v>276.01618888357268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6.3747208250496028</v>
      </c>
      <c r="DG166" s="21">
        <f>EXP(-LN(2)/25)*DG165+(1-EXP(-LN(2)/25))/(LN(2)/25)*Calculateur!DB166*Calculateur!DD166*VLOOKUP('Données projet'!$B$13,Paramètres!$A$1:$I$89,3,0)*0.475*44/12</f>
        <v>3.6544778886125813</v>
      </c>
      <c r="DH166" s="21">
        <f>EXP(-LN(2)/2)*DH165+(1-EXP(-LN(2)/2))/(LN(2)/2)*DB166*DE166*VLOOKUP('Données projet'!$B$13,Paramètres!$A$1:$I$89,3,0)*0.475*44/12</f>
        <v>1.4613527612203521E-11</v>
      </c>
      <c r="DI166" s="22">
        <f t="shared" si="175"/>
        <v>10.029198713676799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9">
        <f t="shared" si="109"/>
        <v>1405.9232008267759</v>
      </c>
      <c r="S167" s="59">
        <f ca="1">AVERAGE(OFFSET($R$3,0,0,'Données projet'!$E$9+1,1))-AVERAGE(OFFSET($H$3,0,0,'Données projet'!$E$9+1,1))</f>
        <v>681.47578137804555</v>
      </c>
      <c r="T167" s="59">
        <f t="shared" si="142"/>
        <v>300.88511065995885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1.7053025658242404E-13</v>
      </c>
      <c r="AJ167" s="13">
        <f>AI167*VLOOKUP('Données projet'!$B$10,Paramètres!$A$1:$I$89,3,0)*VLOOKUP('Données projet'!$B$10,Paramètres!$A$1:$I$89,5,0)</f>
        <v>7.9808160080574461E-14</v>
      </c>
      <c r="AK167" s="13">
        <f t="shared" si="164"/>
        <v>1.2308384591775343E-12</v>
      </c>
      <c r="AL167" s="20">
        <f t="shared" si="165"/>
        <v>2.282709528541206E-12</v>
      </c>
      <c r="AM167" s="59">
        <f t="shared" si="113"/>
        <v>288.13593173018296</v>
      </c>
      <c r="AN167" s="59">
        <f ca="1">AVERAGE(OFFSET($AM$3,0,0,'Données projet'!$E$10+1,1))-AVERAGE(OFFSET($H$3,0,0,'Données projet'!$E$10+1,1))</f>
        <v>374.38106339726073</v>
      </c>
      <c r="AO167" s="59">
        <f t="shared" si="144"/>
        <v>296.53283288925957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75.664226736688065</v>
      </c>
      <c r="AV167" s="21">
        <f>EXP(-LN(2)/25)*AV166+(1-EXP(-LN(2)/25))/(LN(2)/25)*Calculateur!AQ167*Calculateur!AS167*VLOOKUP('Données projet'!$B$10,Paramètres!$A$1:$I$89,3,0)*0.475*44/12</f>
        <v>17.989264971789328</v>
      </c>
      <c r="AW167" s="21">
        <f>EXP(-LN(2)/2)*AW166+(1-EXP(-LN(2)/2))/(LN(2)/2)*AQ167*AT167*VLOOKUP('Données projet'!$B$10,Paramètres!$A$1:$I$89,3,0)*0.475*44/12</f>
        <v>3.4967618991731266E-4</v>
      </c>
      <c r="AX167" s="21">
        <f t="shared" si="166"/>
        <v>93.653841384667302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1.0818439477588981E-13</v>
      </c>
      <c r="BF167" s="13">
        <f t="shared" si="167"/>
        <v>1.6104228458716316E-12</v>
      </c>
      <c r="BG167" s="20">
        <f t="shared" si="168"/>
        <v>2.9932409441277661E-12</v>
      </c>
      <c r="BH167" s="59">
        <f t="shared" si="116"/>
        <v>288.1359317301837</v>
      </c>
      <c r="BI167" s="59">
        <f ca="1">AVERAGE(OFFSET($BH$3,0,0,'Données projet'!$E$11+1,1))-AVERAGE(OFFSET($H$3,0,0,'Données projet'!$E$11+1,1))</f>
        <v>423.80243030843661</v>
      </c>
      <c r="BJ167" s="59">
        <f t="shared" si="146"/>
        <v>260.29028006191834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19.241785412739741</v>
      </c>
      <c r="BQ167" s="21">
        <f>EXP(-LN(2)/25)*BQ166+(1-EXP(-LN(2)/25))/(LN(2)/25)*Calculateur!BL167*Calculateur!BN167*VLOOKUP('Données projet'!$B$11,Paramètres!$A$1:$I$89,3,0)*0.475*44/12</f>
        <v>13.647565782941015</v>
      </c>
      <c r="BR167" s="21">
        <f>EXP(-LN(2)/2)*BR166+(1-EXP(-LN(2)/2))/(LN(2)/2)*BL167*BO167*VLOOKUP('Données projet'!$B$11,Paramètres!$A$1:$I$89,3,0)*0.475*44/12</f>
        <v>1.546155251362436E-5</v>
      </c>
      <c r="BS167" s="22">
        <f t="shared" si="169"/>
        <v>32.889366657233275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-1.3596945791505279E-13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373.61861223558259</v>
      </c>
      <c r="CE167" s="59">
        <f t="shared" si="148"/>
        <v>277.62293009761049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29.038755487240394</v>
      </c>
      <c r="CL167" s="21">
        <f>EXP(-LN(2)/25)*CL166+(1-EXP(-LN(2)/25))/(LN(2)/25)*Calculateur!CG167*Calculateur!CI167*VLOOKUP('Données projet'!$B$12,Paramètres!$A$1:$I$89,3,0)*0.475*44/12</f>
        <v>5.0396728081998425</v>
      </c>
      <c r="CM167" s="21">
        <f>EXP(-LN(2)/2)*CM166+(1-EXP(-LN(2)/2))/(LN(2)/2)*CG167*CJ167*VLOOKUP('Données projet'!$B$12,Paramètres!$A$1:$I$89,3,0)*0.475*44/12</f>
        <v>1.6079102988717001E-11</v>
      </c>
      <c r="CN167" s="22">
        <f t="shared" si="172"/>
        <v>34.078428295456312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2.4829205358400945E-14</v>
      </c>
      <c r="CV167" s="13">
        <f t="shared" si="173"/>
        <v>4.3867331143352915E-13</v>
      </c>
      <c r="CW167" s="20">
        <f t="shared" si="174"/>
        <v>8.0726688341261168E-13</v>
      </c>
      <c r="CX167" s="59">
        <f t="shared" si="122"/>
        <v>288.13593173018148</v>
      </c>
      <c r="CY167" s="59">
        <f ca="1">AVERAGE(OFFSET($CX$3,0,0,'Données projet'!$E$13+1,1))-AVERAGE(OFFSET($H$3,0,0,'Données projet'!$E$13+1,1))</f>
        <v>287.28439432670405</v>
      </c>
      <c r="CZ167" s="59">
        <f t="shared" si="150"/>
        <v>276.01618888357268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6.249716437866156</v>
      </c>
      <c r="DG167" s="21">
        <f>EXP(-LN(2)/25)*DG166+(1-EXP(-LN(2)/25))/(LN(2)/25)*Calculateur!DB167*Calculateur!DD167*VLOOKUP('Données projet'!$B$13,Paramètres!$A$1:$I$89,3,0)*0.475*44/12</f>
        <v>3.5545459985678307</v>
      </c>
      <c r="DH167" s="21">
        <f>EXP(-LN(2)/2)*DH166+(1-EXP(-LN(2)/2))/(LN(2)/2)*DB167*DE167*VLOOKUP('Données projet'!$B$13,Paramètres!$A$1:$I$89,3,0)*0.475*44/12</f>
        <v>1.0333324471645966E-11</v>
      </c>
      <c r="DI167" s="22">
        <f t="shared" si="175"/>
        <v>9.8042624364443203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9">
        <f t="shared" si="109"/>
        <v>1299.5790775591615</v>
      </c>
      <c r="S168" s="59">
        <f ca="1">AVERAGE(OFFSET($R$3,0,0,'Données projet'!$E$9+1,1))-AVERAGE(OFFSET($H$3,0,0,'Données projet'!$E$9+1,1))</f>
        <v>681.47578137804555</v>
      </c>
      <c r="T168" s="59">
        <f t="shared" si="142"/>
        <v>300.88511065995885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1.7053025658242404E-13</v>
      </c>
      <c r="AJ168" s="13">
        <f>AI168*VLOOKUP('Données projet'!$B$10,Paramètres!$A$1:$I$89,3,0)*VLOOKUP('Données projet'!$B$10,Paramètres!$A$1:$I$89,5,0)</f>
        <v>7.9808160080574461E-14</v>
      </c>
      <c r="AK168" s="13">
        <f t="shared" si="164"/>
        <v>1.2308384591775343E-12</v>
      </c>
      <c r="AL168" s="20">
        <f t="shared" si="165"/>
        <v>2.282709528541206E-12</v>
      </c>
      <c r="AM168" s="59">
        <f t="shared" si="113"/>
        <v>288.22609502834842</v>
      </c>
      <c r="AN168" s="59">
        <f ca="1">AVERAGE(OFFSET($AM$3,0,0,'Données projet'!$E$10+1,1))-AVERAGE(OFFSET($H$3,0,0,'Données projet'!$E$10+1,1))</f>
        <v>374.38106339726073</v>
      </c>
      <c r="AO168" s="59">
        <f t="shared" si="144"/>
        <v>296.53283288925957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74.180497401002924</v>
      </c>
      <c r="AV168" s="21">
        <f>EXP(-LN(2)/25)*AV167+(1-EXP(-LN(2)/25))/(LN(2)/25)*Calculateur!AQ168*Calculateur!AS168*VLOOKUP('Données projet'!$B$10,Paramètres!$A$1:$I$89,3,0)*0.475*44/12</f>
        <v>17.49734757512142</v>
      </c>
      <c r="AW168" s="21">
        <f>EXP(-LN(2)/2)*AW167+(1-EXP(-LN(2)/2))/(LN(2)/2)*AQ168*AT168*VLOOKUP('Données projet'!$B$10,Paramètres!$A$1:$I$89,3,0)*0.475*44/12</f>
        <v>2.4725840511000683E-4</v>
      </c>
      <c r="AX168" s="21">
        <f t="shared" si="166"/>
        <v>91.678092234529458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1.0818439477588981E-13</v>
      </c>
      <c r="BF168" s="13">
        <f t="shared" si="167"/>
        <v>1.6104228458716316E-12</v>
      </c>
      <c r="BG168" s="20">
        <f t="shared" si="168"/>
        <v>2.9932409441277661E-12</v>
      </c>
      <c r="BH168" s="59">
        <f t="shared" si="116"/>
        <v>288.22609502834916</v>
      </c>
      <c r="BI168" s="59">
        <f ca="1">AVERAGE(OFFSET($BH$3,0,0,'Données projet'!$E$11+1,1))-AVERAGE(OFFSET($H$3,0,0,'Données projet'!$E$11+1,1))</f>
        <v>423.80243030843661</v>
      </c>
      <c r="BJ168" s="59">
        <f t="shared" si="146"/>
        <v>260.29028006191834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18.864465737126149</v>
      </c>
      <c r="BQ168" s="21">
        <f>EXP(-LN(2)/25)*BQ167+(1-EXP(-LN(2)/25))/(LN(2)/25)*Calculateur!BL168*Calculateur!BN168*VLOOKUP('Données projet'!$B$11,Paramètres!$A$1:$I$89,3,0)*0.475*44/12</f>
        <v>13.274372378912201</v>
      </c>
      <c r="BR168" s="21">
        <f>EXP(-LN(2)/2)*BR167+(1-EXP(-LN(2)/2))/(LN(2)/2)*BL168*BO168*VLOOKUP('Données projet'!$B$11,Paramètres!$A$1:$I$89,3,0)*0.475*44/12</f>
        <v>1.0932968630055694E-5</v>
      </c>
      <c r="BS168" s="22">
        <f t="shared" si="169"/>
        <v>32.138849049006978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-1.3596945791505279E-13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373.61861223558259</v>
      </c>
      <c r="CE168" s="59">
        <f t="shared" si="148"/>
        <v>277.62293009761049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28.469323204027553</v>
      </c>
      <c r="CL168" s="21">
        <f>EXP(-LN(2)/25)*CL167+(1-EXP(-LN(2)/25))/(LN(2)/25)*Calculateur!CG168*Calculateur!CI168*VLOOKUP('Données projet'!$B$12,Paramètres!$A$1:$I$89,3,0)*0.475*44/12</f>
        <v>4.9018626902347435</v>
      </c>
      <c r="CM168" s="21">
        <f>EXP(-LN(2)/2)*CM167+(1-EXP(-LN(2)/2))/(LN(2)/2)*CG168*CJ168*VLOOKUP('Données projet'!$B$12,Paramètres!$A$1:$I$89,3,0)*0.475*44/12</f>
        <v>1.1369642758718675E-11</v>
      </c>
      <c r="CN168" s="22">
        <f t="shared" si="172"/>
        <v>33.371185894273665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2.4829205358400945E-14</v>
      </c>
      <c r="CV168" s="13">
        <f t="shared" si="173"/>
        <v>4.3867331143352915E-13</v>
      </c>
      <c r="CW168" s="20">
        <f t="shared" si="174"/>
        <v>8.0726688341261168E-13</v>
      </c>
      <c r="CX168" s="59">
        <f t="shared" si="122"/>
        <v>288.22609502834695</v>
      </c>
      <c r="CY168" s="59">
        <f ca="1">AVERAGE(OFFSET($CX$3,0,0,'Données projet'!$E$13+1,1))-AVERAGE(OFFSET($H$3,0,0,'Données projet'!$E$13+1,1))</f>
        <v>287.28439432670405</v>
      </c>
      <c r="CZ168" s="59">
        <f t="shared" si="150"/>
        <v>276.01618888357268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6.1271633104702286</v>
      </c>
      <c r="DG168" s="21">
        <f>EXP(-LN(2)/25)*DG167+(1-EXP(-LN(2)/25))/(LN(2)/25)*Calculateur!DB168*Calculateur!DD168*VLOOKUP('Données projet'!$B$13,Paramètres!$A$1:$I$89,3,0)*0.475*44/12</f>
        <v>3.4573467513115435</v>
      </c>
      <c r="DH168" s="21">
        <f>EXP(-LN(2)/2)*DH167+(1-EXP(-LN(2)/2))/(LN(2)/2)*DB168*DE168*VLOOKUP('Données projet'!$B$13,Paramètres!$A$1:$I$89,3,0)*0.475*44/12</f>
        <v>7.3067638061017604E-12</v>
      </c>
      <c r="DI168" s="22">
        <f t="shared" si="175"/>
        <v>9.5845100617890786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9">
        <f t="shared" si="109"/>
        <v>1317.8412781601244</v>
      </c>
      <c r="S169" s="59">
        <f ca="1">AVERAGE(OFFSET($R$3,0,0,'Données projet'!$E$9+1,1))-AVERAGE(OFFSET($H$3,0,0,'Données projet'!$E$9+1,1))</f>
        <v>681.47578137804555</v>
      </c>
      <c r="T169" s="59">
        <f t="shared" si="142"/>
        <v>300.88511065995885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1.7053025658242404E-13</v>
      </c>
      <c r="AJ169" s="13">
        <f>AI169*VLOOKUP('Données projet'!$B$10,Paramètres!$A$1:$I$89,3,0)*VLOOKUP('Données projet'!$B$10,Paramètres!$A$1:$I$89,5,0)</f>
        <v>7.9808160080574461E-14</v>
      </c>
      <c r="AK169" s="13">
        <f t="shared" si="164"/>
        <v>1.2308384591775343E-12</v>
      </c>
      <c r="AL169" s="20">
        <f t="shared" si="165"/>
        <v>2.282709528541206E-12</v>
      </c>
      <c r="AM169" s="59">
        <f t="shared" si="113"/>
        <v>288.31469419486569</v>
      </c>
      <c r="AN169" s="59">
        <f ca="1">AVERAGE(OFFSET($AM$3,0,0,'Données projet'!$E$10+1,1))-AVERAGE(OFFSET($H$3,0,0,'Données projet'!$E$10+1,1))</f>
        <v>374.38106339726073</v>
      </c>
      <c r="AO169" s="59">
        <f t="shared" si="144"/>
        <v>296.53283288925957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72.725863092605039</v>
      </c>
      <c r="AV169" s="21">
        <f>EXP(-LN(2)/25)*AV168+(1-EXP(-LN(2)/25))/(LN(2)/25)*Calculateur!AQ169*Calculateur!AS169*VLOOKUP('Données projet'!$B$10,Paramètres!$A$1:$I$89,3,0)*0.475*44/12</f>
        <v>17.018881685534208</v>
      </c>
      <c r="AW169" s="21">
        <f>EXP(-LN(2)/2)*AW168+(1-EXP(-LN(2)/2))/(LN(2)/2)*AQ169*AT169*VLOOKUP('Données projet'!$B$10,Paramètres!$A$1:$I$89,3,0)*0.475*44/12</f>
        <v>1.7483809495865633E-4</v>
      </c>
      <c r="AX169" s="21">
        <f t="shared" si="166"/>
        <v>89.744919616234213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1.0818439477588981E-13</v>
      </c>
      <c r="BF169" s="13">
        <f t="shared" si="167"/>
        <v>1.6104228458716316E-12</v>
      </c>
      <c r="BG169" s="20">
        <f t="shared" si="168"/>
        <v>2.9932409441277661E-12</v>
      </c>
      <c r="BH169" s="59">
        <f t="shared" si="116"/>
        <v>288.31469419486643</v>
      </c>
      <c r="BI169" s="59">
        <f ca="1">AVERAGE(OFFSET($BH$3,0,0,'Données projet'!$E$11+1,1))-AVERAGE(OFFSET($H$3,0,0,'Données projet'!$E$11+1,1))</f>
        <v>423.80243030843661</v>
      </c>
      <c r="BJ169" s="59">
        <f t="shared" si="146"/>
        <v>260.29028006191834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18.494545070209064</v>
      </c>
      <c r="BQ169" s="21">
        <f>EXP(-LN(2)/25)*BQ168+(1-EXP(-LN(2)/25))/(LN(2)/25)*Calculateur!BL169*Calculateur!BN169*VLOOKUP('Données projet'!$B$11,Paramètres!$A$1:$I$89,3,0)*0.475*44/12</f>
        <v>12.911383968141942</v>
      </c>
      <c r="BR169" s="21">
        <f>EXP(-LN(2)/2)*BR168+(1-EXP(-LN(2)/2))/(LN(2)/2)*BL169*BO169*VLOOKUP('Données projet'!$B$11,Paramètres!$A$1:$I$89,3,0)*0.475*44/12</f>
        <v>7.7307762568121801E-6</v>
      </c>
      <c r="BS169" s="22">
        <f t="shared" si="169"/>
        <v>31.405936769127262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-1.3596945791505279E-13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373.61861223558259</v>
      </c>
      <c r="CE169" s="59">
        <f t="shared" si="148"/>
        <v>277.62293009761049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27.911057140569117</v>
      </c>
      <c r="CL169" s="21">
        <f>EXP(-LN(2)/25)*CL168+(1-EXP(-LN(2)/25))/(LN(2)/25)*Calculateur!CG169*Calculateur!CI169*VLOOKUP('Données projet'!$B$12,Paramètres!$A$1:$I$89,3,0)*0.475*44/12</f>
        <v>4.7678209971925192</v>
      </c>
      <c r="CM169" s="21">
        <f>EXP(-LN(2)/2)*CM168+(1-EXP(-LN(2)/2))/(LN(2)/2)*CG169*CJ169*VLOOKUP('Données projet'!$B$12,Paramètres!$A$1:$I$89,3,0)*0.475*44/12</f>
        <v>8.0395514943585007E-12</v>
      </c>
      <c r="CN169" s="22">
        <f t="shared" si="172"/>
        <v>32.678878137769672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2.4829205358400945E-14</v>
      </c>
      <c r="CV169" s="13">
        <f t="shared" si="173"/>
        <v>4.3867331143352915E-13</v>
      </c>
      <c r="CW169" s="20">
        <f t="shared" si="174"/>
        <v>8.0726688341261168E-13</v>
      </c>
      <c r="CX169" s="59">
        <f t="shared" si="122"/>
        <v>288.31469419486422</v>
      </c>
      <c r="CY169" s="59">
        <f ca="1">AVERAGE(OFFSET($CX$3,0,0,'Données projet'!$E$13+1,1))-AVERAGE(OFFSET($H$3,0,0,'Données projet'!$E$13+1,1))</f>
        <v>287.28439432670405</v>
      </c>
      <c r="CZ169" s="59">
        <f t="shared" si="150"/>
        <v>276.01618888357268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6.0070133751525088</v>
      </c>
      <c r="DG169" s="21">
        <f>EXP(-LN(2)/25)*DG168+(1-EXP(-LN(2)/25))/(LN(2)/25)*Calculateur!DB169*Calculateur!DD169*VLOOKUP('Données projet'!$B$13,Paramètres!$A$1:$I$89,3,0)*0.475*44/12</f>
        <v>3.3628054225829653</v>
      </c>
      <c r="DH169" s="21">
        <f>EXP(-LN(2)/2)*DH168+(1-EXP(-LN(2)/2))/(LN(2)/2)*DB169*DE169*VLOOKUP('Données projet'!$B$13,Paramètres!$A$1:$I$89,3,0)*0.475*44/12</f>
        <v>5.1666622358229828E-12</v>
      </c>
      <c r="DI169" s="22">
        <f t="shared" si="175"/>
        <v>9.369818797740642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9">
        <f t="shared" si="109"/>
        <v>1336.0956281016738</v>
      </c>
      <c r="S170" s="59">
        <f ca="1">AVERAGE(OFFSET($R$3,0,0,'Données projet'!$E$9+1,1))-AVERAGE(OFFSET($H$3,0,0,'Données projet'!$E$9+1,1))</f>
        <v>681.47578137804555</v>
      </c>
      <c r="T170" s="59">
        <f t="shared" si="142"/>
        <v>300.88511065995885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1.7053025658242404E-13</v>
      </c>
      <c r="AJ170" s="13">
        <f>AI170*VLOOKUP('Données projet'!$B$10,Paramètres!$A$1:$I$89,3,0)*VLOOKUP('Données projet'!$B$10,Paramètres!$A$1:$I$89,5,0)</f>
        <v>7.9808160080574461E-14</v>
      </c>
      <c r="AK170" s="13">
        <f t="shared" si="164"/>
        <v>1.2308384591775343E-12</v>
      </c>
      <c r="AL170" s="20">
        <f t="shared" si="165"/>
        <v>2.282709528541206E-12</v>
      </c>
      <c r="AM170" s="59">
        <f t="shared" si="113"/>
        <v>288.40175636392189</v>
      </c>
      <c r="AN170" s="59">
        <f ca="1">AVERAGE(OFFSET($AM$3,0,0,'Données projet'!$E$10+1,1))-AVERAGE(OFFSET($H$3,0,0,'Données projet'!$E$10+1,1))</f>
        <v>374.38106339726073</v>
      </c>
      <c r="AO170" s="59">
        <f t="shared" si="144"/>
        <v>296.53283288925957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71.299753275755506</v>
      </c>
      <c r="AV170" s="21">
        <f>EXP(-LN(2)/25)*AV169+(1-EXP(-LN(2)/25))/(LN(2)/25)*Calculateur!AQ170*Calculateur!AS170*VLOOKUP('Données projet'!$B$10,Paramètres!$A$1:$I$89,3,0)*0.475*44/12</f>
        <v>16.553499470859183</v>
      </c>
      <c r="AW170" s="21">
        <f>EXP(-LN(2)/2)*AW169+(1-EXP(-LN(2)/2))/(LN(2)/2)*AQ170*AT170*VLOOKUP('Données projet'!$B$10,Paramètres!$A$1:$I$89,3,0)*0.475*44/12</f>
        <v>1.2362920255500341E-4</v>
      </c>
      <c r="AX170" s="21">
        <f t="shared" si="166"/>
        <v>87.853376375817234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1.0818439477588981E-13</v>
      </c>
      <c r="BF170" s="13">
        <f t="shared" si="167"/>
        <v>1.6104228458716316E-12</v>
      </c>
      <c r="BG170" s="20">
        <f t="shared" si="168"/>
        <v>2.9932409441277661E-12</v>
      </c>
      <c r="BH170" s="59">
        <f t="shared" si="116"/>
        <v>288.40175636392263</v>
      </c>
      <c r="BI170" s="59">
        <f ca="1">AVERAGE(OFFSET($BH$3,0,0,'Données projet'!$E$11+1,1))-AVERAGE(OFFSET($H$3,0,0,'Données projet'!$E$11+1,1))</f>
        <v>423.80243030843661</v>
      </c>
      <c r="BJ170" s="59">
        <f t="shared" si="146"/>
        <v>260.29028006191834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18.131878321940896</v>
      </c>
      <c r="BQ170" s="21">
        <f>EXP(-LN(2)/25)*BQ169+(1-EXP(-LN(2)/25))/(LN(2)/25)*Calculateur!BL170*Calculateur!BN170*VLOOKUP('Données projet'!$B$11,Paramètres!$A$1:$I$89,3,0)*0.475*44/12</f>
        <v>12.558321494552928</v>
      </c>
      <c r="BR170" s="21">
        <f>EXP(-LN(2)/2)*BR169+(1-EXP(-LN(2)/2))/(LN(2)/2)*BL170*BO170*VLOOKUP('Données projet'!$B$11,Paramètres!$A$1:$I$89,3,0)*0.475*44/12</f>
        <v>5.4664843150278471E-6</v>
      </c>
      <c r="BS170" s="22">
        <f t="shared" si="169"/>
        <v>30.690205282978138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-1.3596945791505279E-13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373.61861223558259</v>
      </c>
      <c r="CE170" s="59">
        <f t="shared" si="148"/>
        <v>277.62293009761049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27.363738334106426</v>
      </c>
      <c r="CL170" s="21">
        <f>EXP(-LN(2)/25)*CL169+(1-EXP(-LN(2)/25))/(LN(2)/25)*Calculateur!CG170*Calculateur!CI170*VLOOKUP('Données projet'!$B$12,Paramètres!$A$1:$I$89,3,0)*0.475*44/12</f>
        <v>4.6374446812954808</v>
      </c>
      <c r="CM170" s="21">
        <f>EXP(-LN(2)/2)*CM169+(1-EXP(-LN(2)/2))/(LN(2)/2)*CG170*CJ170*VLOOKUP('Données projet'!$B$12,Paramètres!$A$1:$I$89,3,0)*0.475*44/12</f>
        <v>5.6848213793593375E-12</v>
      </c>
      <c r="CN170" s="22">
        <f t="shared" si="172"/>
        <v>32.001183015407591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2.4829205358400945E-14</v>
      </c>
      <c r="CV170" s="13">
        <f t="shared" si="173"/>
        <v>4.3867331143352915E-13</v>
      </c>
      <c r="CW170" s="20">
        <f t="shared" si="174"/>
        <v>8.0726688341261168E-13</v>
      </c>
      <c r="CX170" s="59">
        <f t="shared" si="122"/>
        <v>288.40175636392041</v>
      </c>
      <c r="CY170" s="59">
        <f ca="1">AVERAGE(OFFSET($CX$3,0,0,'Données projet'!$E$13+1,1))-AVERAGE(OFFSET($H$3,0,0,'Données projet'!$E$13+1,1))</f>
        <v>287.28439432670405</v>
      </c>
      <c r="CZ170" s="59">
        <f t="shared" si="150"/>
        <v>276.01618888357268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5.8892195067821449</v>
      </c>
      <c r="DG170" s="21">
        <f>EXP(-LN(2)/25)*DG169+(1-EXP(-LN(2)/25))/(LN(2)/25)*Calculateur!DB170*Calculateur!DD170*VLOOKUP('Données projet'!$B$13,Paramètres!$A$1:$I$89,3,0)*0.475*44/12</f>
        <v>3.270849331460183</v>
      </c>
      <c r="DH170" s="21">
        <f>EXP(-LN(2)/2)*DH169+(1-EXP(-LN(2)/2))/(LN(2)/2)*DB170*DE170*VLOOKUP('Données projet'!$B$13,Paramètres!$A$1:$I$89,3,0)*0.475*44/12</f>
        <v>3.6533819030508802E-12</v>
      </c>
      <c r="DI170" s="22">
        <f t="shared" si="175"/>
        <v>9.1600688382459818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9">
        <f t="shared" si="109"/>
        <v>1354.3422787948371</v>
      </c>
      <c r="S171" s="59">
        <f ca="1">AVERAGE(OFFSET($R$3,0,0,'Données projet'!$E$9+1,1))-AVERAGE(OFFSET($H$3,0,0,'Données projet'!$E$9+1,1))</f>
        <v>681.47578137804555</v>
      </c>
      <c r="T171" s="59">
        <f t="shared" si="142"/>
        <v>300.88511065995885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1.7053025658242404E-13</v>
      </c>
      <c r="AJ171" s="13">
        <f>AI171*VLOOKUP('Données projet'!$B$10,Paramètres!$A$1:$I$89,3,0)*VLOOKUP('Données projet'!$B$10,Paramètres!$A$1:$I$89,5,0)</f>
        <v>7.9808160080574461E-14</v>
      </c>
      <c r="AK171" s="13">
        <f t="shared" si="164"/>
        <v>1.2308384591775343E-12</v>
      </c>
      <c r="AL171" s="20">
        <f t="shared" si="165"/>
        <v>2.282709528541206E-12</v>
      </c>
      <c r="AM171" s="59">
        <f t="shared" si="113"/>
        <v>288.4873081989868</v>
      </c>
      <c r="AN171" s="59">
        <f ca="1">AVERAGE(OFFSET($AM$3,0,0,'Données projet'!$E$10+1,1))-AVERAGE(OFFSET($H$3,0,0,'Données projet'!$E$10+1,1))</f>
        <v>374.38106339726073</v>
      </c>
      <c r="AO171" s="59">
        <f t="shared" si="144"/>
        <v>296.53283288925957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69.901608602573305</v>
      </c>
      <c r="AV171" s="21">
        <f>EXP(-LN(2)/25)*AV170+(1-EXP(-LN(2)/25))/(LN(2)/25)*Calculateur!AQ171*Calculateur!AS171*VLOOKUP('Données projet'!$B$10,Paramètres!$A$1:$I$89,3,0)*0.475*44/12</f>
        <v>16.100843157317836</v>
      </c>
      <c r="AW171" s="21">
        <f>EXP(-LN(2)/2)*AW170+(1-EXP(-LN(2)/2))/(LN(2)/2)*AQ171*AT171*VLOOKUP('Données projet'!$B$10,Paramètres!$A$1:$I$89,3,0)*0.475*44/12</f>
        <v>8.7419047479328165E-5</v>
      </c>
      <c r="AX171" s="21">
        <f t="shared" si="166"/>
        <v>86.002539178938619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1.0818439477588981E-13</v>
      </c>
      <c r="BF171" s="13">
        <f t="shared" si="167"/>
        <v>1.6104228458716316E-12</v>
      </c>
      <c r="BG171" s="20">
        <f t="shared" si="168"/>
        <v>2.9932409441277661E-12</v>
      </c>
      <c r="BH171" s="59">
        <f t="shared" si="116"/>
        <v>288.48730819898753</v>
      </c>
      <c r="BI171" s="59">
        <f ca="1">AVERAGE(OFFSET($BH$3,0,0,'Données projet'!$E$11+1,1))-AVERAGE(OFFSET($H$3,0,0,'Données projet'!$E$11+1,1))</f>
        <v>423.80243030843661</v>
      </c>
      <c r="BJ171" s="59">
        <f t="shared" si="146"/>
        <v>260.29028006191834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17.77632324740139</v>
      </c>
      <c r="BQ171" s="21">
        <f>EXP(-LN(2)/25)*BQ170+(1-EXP(-LN(2)/25))/(LN(2)/25)*Calculateur!BL171*Calculateur!BN171*VLOOKUP('Données projet'!$B$11,Paramètres!$A$1:$I$89,3,0)*0.475*44/12</f>
        <v>12.214913532870954</v>
      </c>
      <c r="BR171" s="21">
        <f>EXP(-LN(2)/2)*BR170+(1-EXP(-LN(2)/2))/(LN(2)/2)*BL171*BO171*VLOOKUP('Données projet'!$B$11,Paramètres!$A$1:$I$89,3,0)*0.475*44/12</f>
        <v>3.86538812840609E-6</v>
      </c>
      <c r="BS171" s="22">
        <f t="shared" si="169"/>
        <v>29.991240645660472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-1.3596945791505279E-13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373.61861223558259</v>
      </c>
      <c r="CE171" s="59">
        <f t="shared" si="148"/>
        <v>277.62293009761049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26.82715211560696</v>
      </c>
      <c r="CL171" s="21">
        <f>EXP(-LN(2)/25)*CL170+(1-EXP(-LN(2)/25))/(LN(2)/25)*Calculateur!CG171*Calculateur!CI171*VLOOKUP('Données projet'!$B$12,Paramètres!$A$1:$I$89,3,0)*0.475*44/12</f>
        <v>4.5106335126128387</v>
      </c>
      <c r="CM171" s="21">
        <f>EXP(-LN(2)/2)*CM170+(1-EXP(-LN(2)/2))/(LN(2)/2)*CG171*CJ171*VLOOKUP('Données projet'!$B$12,Paramètres!$A$1:$I$89,3,0)*0.475*44/12</f>
        <v>4.0197757471792503E-12</v>
      </c>
      <c r="CN171" s="22">
        <f t="shared" si="172"/>
        <v>31.337785628223816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2.4829205358400945E-14</v>
      </c>
      <c r="CV171" s="13">
        <f t="shared" si="173"/>
        <v>4.3867331143352915E-13</v>
      </c>
      <c r="CW171" s="20">
        <f t="shared" si="174"/>
        <v>8.0726688341261168E-13</v>
      </c>
      <c r="CX171" s="59">
        <f t="shared" si="122"/>
        <v>288.48730819898532</v>
      </c>
      <c r="CY171" s="59">
        <f ca="1">AVERAGE(OFFSET($CX$3,0,0,'Données projet'!$E$13+1,1))-AVERAGE(OFFSET($H$3,0,0,'Données projet'!$E$13+1,1))</f>
        <v>287.28439432670405</v>
      </c>
      <c r="CZ171" s="59">
        <f t="shared" si="150"/>
        <v>276.01618888357268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5.7737355043233585</v>
      </c>
      <c r="DG171" s="21">
        <f>EXP(-LN(2)/25)*DG170+(1-EXP(-LN(2)/25))/(LN(2)/25)*Calculateur!DB171*Calculateur!DD171*VLOOKUP('Données projet'!$B$13,Paramètres!$A$1:$I$89,3,0)*0.475*44/12</f>
        <v>3.1814077844849136</v>
      </c>
      <c r="DH171" s="21">
        <f>EXP(-LN(2)/2)*DH170+(1-EXP(-LN(2)/2))/(LN(2)/2)*DB171*DE171*VLOOKUP('Données projet'!$B$13,Paramètres!$A$1:$I$89,3,0)*0.475*44/12</f>
        <v>2.5833311179114914E-12</v>
      </c>
      <c r="DI171" s="22">
        <f t="shared" si="175"/>
        <v>8.9551432888108558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9">
        <f t="shared" si="109"/>
        <v>1372.5813765965065</v>
      </c>
      <c r="S172" s="59">
        <f ca="1">AVERAGE(OFFSET($R$3,0,0,'Données projet'!$E$9+1,1))-AVERAGE(OFFSET($H$3,0,0,'Données projet'!$E$9+1,1))</f>
        <v>681.47578137804555</v>
      </c>
      <c r="T172" s="59">
        <f t="shared" si="142"/>
        <v>300.88511065995885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1.7053025658242404E-13</v>
      </c>
      <c r="AJ172" s="13">
        <f>AI172*VLOOKUP('Données projet'!$B$10,Paramètres!$A$1:$I$89,3,0)*VLOOKUP('Données projet'!$B$10,Paramètres!$A$1:$I$89,5,0)</f>
        <v>7.9808160080574461E-14</v>
      </c>
      <c r="AK172" s="13">
        <f t="shared" si="164"/>
        <v>1.2308384591775343E-12</v>
      </c>
      <c r="AL172" s="20">
        <f t="shared" si="165"/>
        <v>2.282709528541206E-12</v>
      </c>
      <c r="AM172" s="59">
        <f t="shared" si="113"/>
        <v>288.57137590097869</v>
      </c>
      <c r="AN172" s="59">
        <f ca="1">AVERAGE(OFFSET($AM$3,0,0,'Données projet'!$E$10+1,1))-AVERAGE(OFFSET($H$3,0,0,'Données projet'!$E$10+1,1))</f>
        <v>374.38106339726073</v>
      </c>
      <c r="AO172" s="59">
        <f t="shared" si="144"/>
        <v>296.53283288925957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68.530880693648157</v>
      </c>
      <c r="AV172" s="21">
        <f>EXP(-LN(2)/25)*AV171+(1-EXP(-LN(2)/25))/(LN(2)/25)*Calculateur!AQ172*Calculateur!AS172*VLOOKUP('Données projet'!$B$10,Paramètres!$A$1:$I$89,3,0)*0.475*44/12</f>
        <v>15.660564754474438</v>
      </c>
      <c r="AW172" s="21">
        <f>EXP(-LN(2)/2)*AW171+(1-EXP(-LN(2)/2))/(LN(2)/2)*AQ172*AT172*VLOOKUP('Données projet'!$B$10,Paramètres!$A$1:$I$89,3,0)*0.475*44/12</f>
        <v>6.1814601277501707E-5</v>
      </c>
      <c r="AX172" s="21">
        <f t="shared" si="166"/>
        <v>84.191507262723874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1.0818439477588981E-13</v>
      </c>
      <c r="BF172" s="13">
        <f t="shared" si="167"/>
        <v>1.6104228458716316E-12</v>
      </c>
      <c r="BG172" s="20">
        <f t="shared" si="168"/>
        <v>2.9932409441277661E-12</v>
      </c>
      <c r="BH172" s="59">
        <f t="shared" si="116"/>
        <v>288.57137590097943</v>
      </c>
      <c r="BI172" s="59">
        <f ca="1">AVERAGE(OFFSET($BH$3,0,0,'Données projet'!$E$11+1,1))-AVERAGE(OFFSET($H$3,0,0,'Données projet'!$E$11+1,1))</f>
        <v>423.80243030843661</v>
      </c>
      <c r="BJ172" s="59">
        <f t="shared" si="146"/>
        <v>260.29028006191834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17.427740391006424</v>
      </c>
      <c r="BQ172" s="21">
        <f>EXP(-LN(2)/25)*BQ171+(1-EXP(-LN(2)/25))/(LN(2)/25)*Calculateur!BL172*Calculateur!BN172*VLOOKUP('Données projet'!$B$11,Paramètres!$A$1:$I$89,3,0)*0.475*44/12</f>
        <v>11.880896079960213</v>
      </c>
      <c r="BR172" s="21">
        <f>EXP(-LN(2)/2)*BR171+(1-EXP(-LN(2)/2))/(LN(2)/2)*BL172*BO172*VLOOKUP('Données projet'!$B$11,Paramètres!$A$1:$I$89,3,0)*0.475*44/12</f>
        <v>2.7332421575139236E-6</v>
      </c>
      <c r="BS172" s="22">
        <f t="shared" si="169"/>
        <v>29.308639204208795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-1.3596945791505279E-13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373.61861223558259</v>
      </c>
      <c r="CE172" s="59">
        <f t="shared" si="148"/>
        <v>277.62293009761049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26.30108802556699</v>
      </c>
      <c r="CL172" s="21">
        <f>EXP(-LN(2)/25)*CL171+(1-EXP(-LN(2)/25))/(LN(2)/25)*Calculateur!CG172*Calculateur!CI172*VLOOKUP('Données projet'!$B$12,Paramètres!$A$1:$I$89,3,0)*0.475*44/12</f>
        <v>4.3872900020065337</v>
      </c>
      <c r="CM172" s="21">
        <f>EXP(-LN(2)/2)*CM171+(1-EXP(-LN(2)/2))/(LN(2)/2)*CG172*CJ172*VLOOKUP('Données projet'!$B$12,Paramètres!$A$1:$I$89,3,0)*0.475*44/12</f>
        <v>2.8424106896796688E-12</v>
      </c>
      <c r="CN172" s="22">
        <f t="shared" si="172"/>
        <v>30.688378027576366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2.4829205358400945E-14</v>
      </c>
      <c r="CV172" s="13">
        <f t="shared" si="173"/>
        <v>4.3867331143352915E-13</v>
      </c>
      <c r="CW172" s="20">
        <f t="shared" si="174"/>
        <v>8.0726688341261168E-13</v>
      </c>
      <c r="CX172" s="59">
        <f t="shared" si="122"/>
        <v>288.57137590097722</v>
      </c>
      <c r="CY172" s="59">
        <f ca="1">AVERAGE(OFFSET($CX$3,0,0,'Données projet'!$E$13+1,1))-AVERAGE(OFFSET($H$3,0,0,'Données projet'!$E$13+1,1))</f>
        <v>287.28439432670405</v>
      </c>
      <c r="CZ172" s="59">
        <f t="shared" si="150"/>
        <v>276.01618888357268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5.6605160727145032</v>
      </c>
      <c r="DG172" s="21">
        <f>EXP(-LN(2)/25)*DG171+(1-EXP(-LN(2)/25))/(LN(2)/25)*Calculateur!DB172*Calculateur!DD172*VLOOKUP('Données projet'!$B$13,Paramètres!$A$1:$I$89,3,0)*0.475*44/12</f>
        <v>3.0944120213152093</v>
      </c>
      <c r="DH172" s="21">
        <f>EXP(-LN(2)/2)*DH171+(1-EXP(-LN(2)/2))/(LN(2)/2)*DB172*DE172*VLOOKUP('Données projet'!$B$13,Paramètres!$A$1:$I$89,3,0)*0.475*44/12</f>
        <v>1.8266909515254401E-12</v>
      </c>
      <c r="DI172" s="22">
        <f t="shared" si="175"/>
        <v>8.7549280940315377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9">
        <f t="shared" si="109"/>
        <v>1390.8130630620806</v>
      </c>
      <c r="S173" s="59">
        <f ca="1">AVERAGE(OFFSET($R$3,0,0,'Données projet'!$E$9+1,1))-AVERAGE(OFFSET($H$3,0,0,'Données projet'!$E$9+1,1))</f>
        <v>681.47578137804555</v>
      </c>
      <c r="T173" s="59">
        <f t="shared" si="142"/>
        <v>300.88511065995885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1.7053025658242404E-13</v>
      </c>
      <c r="AJ173" s="13">
        <f>AI173*VLOOKUP('Données projet'!$B$10,Paramètres!$A$1:$I$89,3,0)*VLOOKUP('Données projet'!$B$10,Paramètres!$A$1:$I$89,5,0)</f>
        <v>7.9808160080574461E-14</v>
      </c>
      <c r="AK173" s="13">
        <f t="shared" si="164"/>
        <v>1.2308384591775343E-12</v>
      </c>
      <c r="AL173" s="20">
        <f t="shared" si="165"/>
        <v>2.282709528541206E-12</v>
      </c>
      <c r="AM173" s="59">
        <f t="shared" si="113"/>
        <v>288.65398521628816</v>
      </c>
      <c r="AN173" s="59">
        <f ca="1">AVERAGE(OFFSET($AM$3,0,0,'Données projet'!$E$10+1,1))-AVERAGE(OFFSET($H$3,0,0,'Données projet'!$E$10+1,1))</f>
        <v>374.38106339726073</v>
      </c>
      <c r="AO173" s="59">
        <f t="shared" si="144"/>
        <v>296.53283288925957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67.187031922955555</v>
      </c>
      <c r="AV173" s="21">
        <f>EXP(-LN(2)/25)*AV172+(1-EXP(-LN(2)/25))/(LN(2)/25)*Calculateur!AQ173*Calculateur!AS173*VLOOKUP('Données projet'!$B$10,Paramètres!$A$1:$I$89,3,0)*0.475*44/12</f>
        <v>15.232325787710026</v>
      </c>
      <c r="AW173" s="21">
        <f>EXP(-LN(2)/2)*AW172+(1-EXP(-LN(2)/2))/(LN(2)/2)*AQ173*AT173*VLOOKUP('Données projet'!$B$10,Paramètres!$A$1:$I$89,3,0)*0.475*44/12</f>
        <v>4.3709523739664083E-5</v>
      </c>
      <c r="AX173" s="21">
        <f t="shared" si="166"/>
        <v>82.419401420189317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1.0818439477588981E-13</v>
      </c>
      <c r="BF173" s="13">
        <f t="shared" si="167"/>
        <v>1.6104228458716316E-12</v>
      </c>
      <c r="BG173" s="20">
        <f t="shared" si="168"/>
        <v>2.9932409441277661E-12</v>
      </c>
      <c r="BH173" s="59">
        <f t="shared" si="116"/>
        <v>288.6539852162889</v>
      </c>
      <c r="BI173" s="59">
        <f ca="1">AVERAGE(OFFSET($BH$3,0,0,'Données projet'!$E$11+1,1))-AVERAGE(OFFSET($H$3,0,0,'Données projet'!$E$11+1,1))</f>
        <v>423.80243030843661</v>
      </c>
      <c r="BJ173" s="59">
        <f t="shared" si="146"/>
        <v>260.29028006191834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17.085993031810812</v>
      </c>
      <c r="BQ173" s="21">
        <f>EXP(-LN(2)/25)*BQ172+(1-EXP(-LN(2)/25))/(LN(2)/25)*Calculateur!BL173*Calculateur!BN173*VLOOKUP('Données projet'!$B$11,Paramètres!$A$1:$I$89,3,0)*0.475*44/12</f>
        <v>11.556012351864529</v>
      </c>
      <c r="BR173" s="21">
        <f>EXP(-LN(2)/2)*BR172+(1-EXP(-LN(2)/2))/(LN(2)/2)*BL173*BO173*VLOOKUP('Données projet'!$B$11,Paramètres!$A$1:$I$89,3,0)*0.475*44/12</f>
        <v>1.932694064203045E-6</v>
      </c>
      <c r="BS173" s="22">
        <f t="shared" si="169"/>
        <v>28.642007316369405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-1.3596945791505279E-13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373.61861223558259</v>
      </c>
      <c r="CE173" s="59">
        <f t="shared" si="148"/>
        <v>277.62293009761049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25.785339731465292</v>
      </c>
      <c r="CL173" s="21">
        <f>EXP(-LN(2)/25)*CL172+(1-EXP(-LN(2)/25))/(LN(2)/25)*Calculateur!CG173*Calculateur!CI173*VLOOKUP('Données projet'!$B$12,Paramètres!$A$1:$I$89,3,0)*0.475*44/12</f>
        <v>4.2673193261841114</v>
      </c>
      <c r="CM173" s="21">
        <f>EXP(-LN(2)/2)*CM172+(1-EXP(-LN(2)/2))/(LN(2)/2)*CG173*CJ173*VLOOKUP('Données projet'!$B$12,Paramètres!$A$1:$I$89,3,0)*0.475*44/12</f>
        <v>2.0098878735896252E-12</v>
      </c>
      <c r="CN173" s="22">
        <f t="shared" si="172"/>
        <v>30.052659057651415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2.4829205358400945E-14</v>
      </c>
      <c r="CV173" s="13">
        <f t="shared" si="173"/>
        <v>4.3867331143352915E-13</v>
      </c>
      <c r="CW173" s="20">
        <f t="shared" si="174"/>
        <v>8.0726688341261168E-13</v>
      </c>
      <c r="CX173" s="59">
        <f t="shared" si="122"/>
        <v>288.65398521628669</v>
      </c>
      <c r="CY173" s="59">
        <f ca="1">AVERAGE(OFFSET($CX$3,0,0,'Données projet'!$E$13+1,1))-AVERAGE(OFFSET($H$3,0,0,'Données projet'!$E$13+1,1))</f>
        <v>287.28439432670405</v>
      </c>
      <c r="CZ173" s="59">
        <f t="shared" si="150"/>
        <v>276.01618888357268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5.5495168051024626</v>
      </c>
      <c r="DG173" s="21">
        <f>EXP(-LN(2)/25)*DG172+(1-EXP(-LN(2)/25))/(LN(2)/25)*Calculateur!DB173*Calculateur!DD173*VLOOKUP('Données projet'!$B$13,Paramètres!$A$1:$I$89,3,0)*0.475*44/12</f>
        <v>3.0097951618642891</v>
      </c>
      <c r="DH173" s="21">
        <f>EXP(-LN(2)/2)*DH172+(1-EXP(-LN(2)/2))/(LN(2)/2)*DB173*DE173*VLOOKUP('Données projet'!$B$13,Paramètres!$A$1:$I$89,3,0)*0.475*44/12</f>
        <v>1.2916655589557457E-12</v>
      </c>
      <c r="DI173" s="22">
        <f t="shared" si="175"/>
        <v>8.5593119669680426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9">
        <f t="shared" si="109"/>
        <v>1409.0374751810352</v>
      </c>
      <c r="S174" s="59">
        <f ca="1">AVERAGE(OFFSET($R$3,0,0,'Données projet'!$E$9+1,1))-AVERAGE(OFFSET($H$3,0,0,'Données projet'!$E$9+1,1))</f>
        <v>681.47578137804555</v>
      </c>
      <c r="T174" s="59">
        <f t="shared" si="142"/>
        <v>300.88511065995885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1.7053025658242404E-13</v>
      </c>
      <c r="AJ174" s="13">
        <f>AI174*VLOOKUP('Données projet'!$B$10,Paramètres!$A$1:$I$89,3,0)*VLOOKUP('Données projet'!$B$10,Paramètres!$A$1:$I$89,5,0)</f>
        <v>7.9808160080574461E-14</v>
      </c>
      <c r="AK174" s="13">
        <f t="shared" si="164"/>
        <v>1.2308384591775343E-12</v>
      </c>
      <c r="AL174" s="20">
        <f t="shared" si="165"/>
        <v>2.282709528541206E-12</v>
      </c>
      <c r="AM174" s="59">
        <f t="shared" si="113"/>
        <v>288.73516144466379</v>
      </c>
      <c r="AN174" s="59">
        <f ca="1">AVERAGE(OFFSET($AM$3,0,0,'Données projet'!$E$10+1,1))-AVERAGE(OFFSET($H$3,0,0,'Données projet'!$E$10+1,1))</f>
        <v>374.38106339726073</v>
      </c>
      <c r="AO174" s="59">
        <f t="shared" si="144"/>
        <v>296.53283288925957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65.869535206989426</v>
      </c>
      <c r="AV174" s="21">
        <f>EXP(-LN(2)/25)*AV173+(1-EXP(-LN(2)/25))/(LN(2)/25)*Calculateur!AQ174*Calculateur!AS174*VLOOKUP('Données projet'!$B$10,Paramètres!$A$1:$I$89,3,0)*0.475*44/12</f>
        <v>14.815797038011896</v>
      </c>
      <c r="AW174" s="21">
        <f>EXP(-LN(2)/2)*AW173+(1-EXP(-LN(2)/2))/(LN(2)/2)*AQ174*AT174*VLOOKUP('Données projet'!$B$10,Paramètres!$A$1:$I$89,3,0)*0.475*44/12</f>
        <v>3.0907300638750854E-5</v>
      </c>
      <c r="AX174" s="21">
        <f t="shared" si="166"/>
        <v>80.68536315230196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1.0818439477588981E-13</v>
      </c>
      <c r="BF174" s="13">
        <f t="shared" si="167"/>
        <v>1.6104228458716316E-12</v>
      </c>
      <c r="BG174" s="20">
        <f t="shared" si="168"/>
        <v>2.9932409441277661E-12</v>
      </c>
      <c r="BH174" s="59">
        <f t="shared" si="116"/>
        <v>288.73516144466453</v>
      </c>
      <c r="BI174" s="59">
        <f ca="1">AVERAGE(OFFSET($BH$3,0,0,'Données projet'!$E$11+1,1))-AVERAGE(OFFSET($H$3,0,0,'Données projet'!$E$11+1,1))</f>
        <v>423.80243030843661</v>
      </c>
      <c r="BJ174" s="59">
        <f t="shared" si="146"/>
        <v>260.29028006191834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16.75094712988372</v>
      </c>
      <c r="BQ174" s="21">
        <f>EXP(-LN(2)/25)*BQ173+(1-EXP(-LN(2)/25))/(LN(2)/25)*Calculateur!BL174*Calculateur!BN174*VLOOKUP('Données projet'!$B$11,Paramètres!$A$1:$I$89,3,0)*0.475*44/12</f>
        <v>11.240012586398516</v>
      </c>
      <c r="BR174" s="21">
        <f>EXP(-LN(2)/2)*BR173+(1-EXP(-LN(2)/2))/(LN(2)/2)*BL174*BO174*VLOOKUP('Données projet'!$B$11,Paramètres!$A$1:$I$89,3,0)*0.475*44/12</f>
        <v>1.3666210787569618E-6</v>
      </c>
      <c r="BS174" s="22">
        <f t="shared" si="169"/>
        <v>27.990961082903311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-1.3596945791505279E-13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373.61861223558259</v>
      </c>
      <c r="CE174" s="59">
        <f t="shared" si="148"/>
        <v>277.62293009761049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25.279704946835533</v>
      </c>
      <c r="CL174" s="21">
        <f>EXP(-LN(2)/25)*CL173+(1-EXP(-LN(2)/25))/(LN(2)/25)*Calculateur!CG174*Calculateur!CI174*VLOOKUP('Données projet'!$B$12,Paramètres!$A$1:$I$89,3,0)*0.475*44/12</f>
        <v>4.1506292548010366</v>
      </c>
      <c r="CM174" s="21">
        <f>EXP(-LN(2)/2)*CM173+(1-EXP(-LN(2)/2))/(LN(2)/2)*CG174*CJ174*VLOOKUP('Données projet'!$B$12,Paramètres!$A$1:$I$89,3,0)*0.475*44/12</f>
        <v>1.4212053448398344E-12</v>
      </c>
      <c r="CN174" s="22">
        <f t="shared" si="172"/>
        <v>29.43033420163799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2.4829205358400945E-14</v>
      </c>
      <c r="CV174" s="13">
        <f t="shared" si="173"/>
        <v>4.3867331143352915E-13</v>
      </c>
      <c r="CW174" s="20">
        <f t="shared" si="174"/>
        <v>8.0726688341261168E-13</v>
      </c>
      <c r="CX174" s="59">
        <f t="shared" si="122"/>
        <v>288.73516144466231</v>
      </c>
      <c r="CY174" s="59">
        <f ca="1">AVERAGE(OFFSET($CX$3,0,0,'Données projet'!$E$13+1,1))-AVERAGE(OFFSET($H$3,0,0,'Données projet'!$E$13+1,1))</f>
        <v>287.28439432670405</v>
      </c>
      <c r="CZ174" s="59">
        <f t="shared" si="150"/>
        <v>276.01618888357268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5.4406941654254259</v>
      </c>
      <c r="DG174" s="21">
        <f>EXP(-LN(2)/25)*DG173+(1-EXP(-LN(2)/25))/(LN(2)/25)*Calculateur!DB174*Calculateur!DD174*VLOOKUP('Données projet'!$B$13,Paramètres!$A$1:$I$89,3,0)*0.475*44/12</f>
        <v>2.9274921548848614</v>
      </c>
      <c r="DH174" s="21">
        <f>EXP(-LN(2)/2)*DH173+(1-EXP(-LN(2)/2))/(LN(2)/2)*DB174*DE174*VLOOKUP('Données projet'!$B$13,Paramètres!$A$1:$I$89,3,0)*0.475*44/12</f>
        <v>9.1334547576272005E-13</v>
      </c>
      <c r="DI174" s="22">
        <f t="shared" si="175"/>
        <v>8.3681863203111995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9">
        <f t="shared" si="109"/>
        <v>1427.2547455968675</v>
      </c>
      <c r="S175" s="59">
        <f ca="1">AVERAGE(OFFSET($R$3,0,0,'Données projet'!$E$9+1,1))-AVERAGE(OFFSET($H$3,0,0,'Données projet'!$E$9+1,1))</f>
        <v>681.47578137804555</v>
      </c>
      <c r="T175" s="59">
        <f t="shared" si="142"/>
        <v>300.88511065995885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1.7053025658242404E-13</v>
      </c>
      <c r="AJ175" s="13">
        <f>AI175*VLOOKUP('Données projet'!$B$10,Paramètres!$A$1:$I$89,3,0)*VLOOKUP('Données projet'!$B$10,Paramètres!$A$1:$I$89,5,0)</f>
        <v>7.9808160080574461E-14</v>
      </c>
      <c r="AK175" s="13">
        <f t="shared" si="164"/>
        <v>1.2308384591775343E-12</v>
      </c>
      <c r="AL175" s="20">
        <f t="shared" si="165"/>
        <v>2.282709528541206E-12</v>
      </c>
      <c r="AM175" s="59">
        <f t="shared" si="113"/>
        <v>288.81492944695992</v>
      </c>
      <c r="AN175" s="59">
        <f ca="1">AVERAGE(OFFSET($AM$3,0,0,'Données projet'!$E$10+1,1))-AVERAGE(OFFSET($H$3,0,0,'Données projet'!$E$10+1,1))</f>
        <v>374.38106339726073</v>
      </c>
      <c r="AO175" s="59">
        <f t="shared" si="144"/>
        <v>296.53283288925957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64.577873798029742</v>
      </c>
      <c r="AV175" s="21">
        <f>EXP(-LN(2)/25)*AV174+(1-EXP(-LN(2)/25))/(LN(2)/25)*Calculateur!AQ175*Calculateur!AS175*VLOOKUP('Données projet'!$B$10,Paramètres!$A$1:$I$89,3,0)*0.475*44/12</f>
        <v>14.410658288878556</v>
      </c>
      <c r="AW175" s="21">
        <f>EXP(-LN(2)/2)*AW174+(1-EXP(-LN(2)/2))/(LN(2)/2)*AQ175*AT175*VLOOKUP('Données projet'!$B$10,Paramètres!$A$1:$I$89,3,0)*0.475*44/12</f>
        <v>2.1854761869832041E-5</v>
      </c>
      <c r="AX175" s="21">
        <f t="shared" si="166"/>
        <v>78.988553941670162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1.0818439477588981E-13</v>
      </c>
      <c r="BF175" s="13">
        <f t="shared" si="167"/>
        <v>1.6104228458716316E-12</v>
      </c>
      <c r="BG175" s="20">
        <f t="shared" si="168"/>
        <v>2.9932409441277661E-12</v>
      </c>
      <c r="BH175" s="59">
        <f t="shared" si="116"/>
        <v>288.81492944696066</v>
      </c>
      <c r="BI175" s="59">
        <f ca="1">AVERAGE(OFFSET($BH$3,0,0,'Données projet'!$E$11+1,1))-AVERAGE(OFFSET($H$3,0,0,'Données projet'!$E$11+1,1))</f>
        <v>423.80243030843661</v>
      </c>
      <c r="BJ175" s="59">
        <f t="shared" si="146"/>
        <v>260.29028006191834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16.422471273735596</v>
      </c>
      <c r="BQ175" s="21">
        <f>EXP(-LN(2)/25)*BQ174+(1-EXP(-LN(2)/25))/(LN(2)/25)*Calculateur!BL175*Calculateur!BN175*VLOOKUP('Données projet'!$B$11,Paramètres!$A$1:$I$89,3,0)*0.475*44/12</f>
        <v>10.932653851136875</v>
      </c>
      <c r="BR175" s="21">
        <f>EXP(-LN(2)/2)*BR174+(1-EXP(-LN(2)/2))/(LN(2)/2)*BL175*BO175*VLOOKUP('Données projet'!$B$11,Paramètres!$A$1:$I$89,3,0)*0.475*44/12</f>
        <v>9.6634703210152251E-7</v>
      </c>
      <c r="BS175" s="22">
        <f t="shared" si="169"/>
        <v>27.355126091219503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-1.3596945791505279E-13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373.61861223558259</v>
      </c>
      <c r="CE175" s="59">
        <f t="shared" si="148"/>
        <v>277.62293009761049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24.783985351925597</v>
      </c>
      <c r="CL175" s="21">
        <f>EXP(-LN(2)/25)*CL174+(1-EXP(-LN(2)/25))/(LN(2)/25)*Calculateur!CG175*Calculateur!CI175*VLOOKUP('Données projet'!$B$12,Paramètres!$A$1:$I$89,3,0)*0.475*44/12</f>
        <v>4.0371300795563965</v>
      </c>
      <c r="CM175" s="21">
        <f>EXP(-LN(2)/2)*CM174+(1-EXP(-LN(2)/2))/(LN(2)/2)*CG175*CJ175*VLOOKUP('Données projet'!$B$12,Paramètres!$A$1:$I$89,3,0)*0.475*44/12</f>
        <v>1.0049439367948126E-12</v>
      </c>
      <c r="CN175" s="22">
        <f t="shared" si="172"/>
        <v>28.821115431482998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2.4829205358400945E-14</v>
      </c>
      <c r="CV175" s="13">
        <f t="shared" si="173"/>
        <v>4.3867331143352915E-13</v>
      </c>
      <c r="CW175" s="20">
        <f t="shared" si="174"/>
        <v>8.0726688341261168E-13</v>
      </c>
      <c r="CX175" s="59">
        <f t="shared" si="122"/>
        <v>288.81492944695844</v>
      </c>
      <c r="CY175" s="59">
        <f ca="1">AVERAGE(OFFSET($CX$3,0,0,'Données projet'!$E$13+1,1))-AVERAGE(OFFSET($H$3,0,0,'Données projet'!$E$13+1,1))</f>
        <v>287.28439432670405</v>
      </c>
      <c r="CZ175" s="59">
        <f t="shared" si="150"/>
        <v>276.01618888357268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5.3340054713371998</v>
      </c>
      <c r="DG175" s="21">
        <f>EXP(-LN(2)/25)*DG174+(1-EXP(-LN(2)/25))/(LN(2)/25)*Calculateur!DB175*Calculateur!DD175*VLOOKUP('Données projet'!$B$13,Paramètres!$A$1:$I$89,3,0)*0.475*44/12</f>
        <v>2.8474397279594132</v>
      </c>
      <c r="DH175" s="21">
        <f>EXP(-LN(2)/2)*DH174+(1-EXP(-LN(2)/2))/(LN(2)/2)*DB175*DE175*VLOOKUP('Données projet'!$B$13,Paramètres!$A$1:$I$89,3,0)*0.475*44/12</f>
        <v>6.4583277947787285E-13</v>
      </c>
      <c r="DI175" s="22">
        <f t="shared" si="175"/>
        <v>8.1814451992972597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9">
        <f t="shared" si="109"/>
        <v>1445.4650028127028</v>
      </c>
      <c r="S176" s="59">
        <f ca="1">AVERAGE(OFFSET($R$3,0,0,'Données projet'!$E$9+1,1))-AVERAGE(OFFSET($H$3,0,0,'Données projet'!$E$9+1,1))</f>
        <v>681.47578137804555</v>
      </c>
      <c r="T176" s="59">
        <f t="shared" si="142"/>
        <v>300.88511065995885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1.7053025658242404E-13</v>
      </c>
      <c r="AJ176" s="13">
        <f>AI176*VLOOKUP('Données projet'!$B$10,Paramètres!$A$1:$I$89,3,0)*VLOOKUP('Données projet'!$B$10,Paramètres!$A$1:$I$89,5,0)</f>
        <v>7.9808160080574461E-14</v>
      </c>
      <c r="AK176" s="13">
        <f t="shared" si="164"/>
        <v>1.2308384591775343E-12</v>
      </c>
      <c r="AL176" s="20">
        <f t="shared" si="165"/>
        <v>2.282709528541206E-12</v>
      </c>
      <c r="AM176" s="59">
        <f t="shared" si="113"/>
        <v>288.89331365275075</v>
      </c>
      <c r="AN176" s="59">
        <f ca="1">AVERAGE(OFFSET($AM$3,0,0,'Données projet'!$E$10+1,1))-AVERAGE(OFFSET($H$3,0,0,'Données projet'!$E$10+1,1))</f>
        <v>374.38106339726073</v>
      </c>
      <c r="AO176" s="59">
        <f t="shared" si="144"/>
        <v>296.53283288925957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63.311541081464092</v>
      </c>
      <c r="AV176" s="21">
        <f>EXP(-LN(2)/25)*AV175+(1-EXP(-LN(2)/25))/(LN(2)/25)*Calculateur!AQ176*Calculateur!AS176*VLOOKUP('Données projet'!$B$10,Paramètres!$A$1:$I$89,3,0)*0.475*44/12</f>
        <v>14.016598080145588</v>
      </c>
      <c r="AW176" s="21">
        <f>EXP(-LN(2)/2)*AW175+(1-EXP(-LN(2)/2))/(LN(2)/2)*AQ176*AT176*VLOOKUP('Données projet'!$B$10,Paramètres!$A$1:$I$89,3,0)*0.475*44/12</f>
        <v>1.5453650319375427E-5</v>
      </c>
      <c r="AX176" s="21">
        <f t="shared" si="166"/>
        <v>77.328154615260004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1.0818439477588981E-13</v>
      </c>
      <c r="BF176" s="13">
        <f t="shared" si="167"/>
        <v>1.6104228458716316E-12</v>
      </c>
      <c r="BG176" s="20">
        <f t="shared" si="168"/>
        <v>2.9932409441277661E-12</v>
      </c>
      <c r="BH176" s="59">
        <f t="shared" si="116"/>
        <v>288.89331365275149</v>
      </c>
      <c r="BI176" s="59">
        <f ca="1">AVERAGE(OFFSET($BH$3,0,0,'Données projet'!$E$11+1,1))-AVERAGE(OFFSET($H$3,0,0,'Données projet'!$E$11+1,1))</f>
        <v>423.80243030843661</v>
      </c>
      <c r="BJ176" s="59">
        <f t="shared" si="146"/>
        <v>260.29028006191834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16.100436628776048</v>
      </c>
      <c r="BQ176" s="21">
        <f>EXP(-LN(2)/25)*BQ175+(1-EXP(-LN(2)/25))/(LN(2)/25)*Calculateur!BL176*Calculateur!BN176*VLOOKUP('Données projet'!$B$11,Paramètres!$A$1:$I$89,3,0)*0.475*44/12</f>
        <v>10.633699856654259</v>
      </c>
      <c r="BR176" s="21">
        <f>EXP(-LN(2)/2)*BR175+(1-EXP(-LN(2)/2))/(LN(2)/2)*BL176*BO176*VLOOKUP('Données projet'!$B$11,Paramètres!$A$1:$I$89,3,0)*0.475*44/12</f>
        <v>6.8331053937848089E-7</v>
      </c>
      <c r="BS176" s="22">
        <f t="shared" si="169"/>
        <v>26.734137168740844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-1.3596945791505279E-13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373.61861223558259</v>
      </c>
      <c r="CE176" s="59">
        <f t="shared" si="148"/>
        <v>277.62293009761049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24.297986515912747</v>
      </c>
      <c r="CL176" s="21">
        <f>EXP(-LN(2)/25)*CL175+(1-EXP(-LN(2)/25))/(LN(2)/25)*Calculateur!CG176*Calculateur!CI176*VLOOKUP('Données projet'!$B$12,Paramètres!$A$1:$I$89,3,0)*0.475*44/12</f>
        <v>3.9267345452274829</v>
      </c>
      <c r="CM176" s="21">
        <f>EXP(-LN(2)/2)*CM175+(1-EXP(-LN(2)/2))/(LN(2)/2)*CG176*CJ176*VLOOKUP('Données projet'!$B$12,Paramètres!$A$1:$I$89,3,0)*0.475*44/12</f>
        <v>7.1060267241991719E-13</v>
      </c>
      <c r="CN176" s="22">
        <f t="shared" si="172"/>
        <v>28.22472106114094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2.4829205358400945E-14</v>
      </c>
      <c r="CV176" s="13">
        <f t="shared" si="173"/>
        <v>4.3867331143352915E-13</v>
      </c>
      <c r="CW176" s="20">
        <f t="shared" si="174"/>
        <v>8.0726688341261168E-13</v>
      </c>
      <c r="CX176" s="59">
        <f t="shared" si="122"/>
        <v>288.89331365274927</v>
      </c>
      <c r="CY176" s="59">
        <f ca="1">AVERAGE(OFFSET($CX$3,0,0,'Données projet'!$E$13+1,1))-AVERAGE(OFFSET($H$3,0,0,'Données projet'!$E$13+1,1))</f>
        <v>287.28439432670405</v>
      </c>
      <c r="CZ176" s="59">
        <f t="shared" si="150"/>
        <v>276.01618888357268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5.2294088774663665</v>
      </c>
      <c r="DG176" s="21">
        <f>EXP(-LN(2)/25)*DG175+(1-EXP(-LN(2)/25))/(LN(2)/25)*Calculateur!DB176*Calculateur!DD176*VLOOKUP('Données projet'!$B$13,Paramètres!$A$1:$I$89,3,0)*0.475*44/12</f>
        <v>2.7695763388580157</v>
      </c>
      <c r="DH176" s="21">
        <f>EXP(-LN(2)/2)*DH175+(1-EXP(-LN(2)/2))/(LN(2)/2)*DB176*DE176*VLOOKUP('Données projet'!$B$13,Paramètres!$A$1:$I$89,3,0)*0.475*44/12</f>
        <v>4.5667273788136003E-13</v>
      </c>
      <c r="DI176" s="22">
        <f t="shared" si="175"/>
        <v>7.9989852163248383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9">
        <f t="shared" si="109"/>
        <v>1463.6683713837238</v>
      </c>
      <c r="S177" s="59">
        <f ca="1">AVERAGE(OFFSET($R$3,0,0,'Données projet'!$E$9+1,1))-AVERAGE(OFFSET($H$3,0,0,'Données projet'!$E$9+1,1))</f>
        <v>681.47578137804555</v>
      </c>
      <c r="T177" s="59">
        <f t="shared" si="142"/>
        <v>300.88511065995885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1.7053025658242404E-13</v>
      </c>
      <c r="AJ177" s="13">
        <f>AI177*VLOOKUP('Données projet'!$B$10,Paramètres!$A$1:$I$89,3,0)*VLOOKUP('Données projet'!$B$10,Paramètres!$A$1:$I$89,5,0)</f>
        <v>7.9808160080574461E-14</v>
      </c>
      <c r="AK177" s="13">
        <f t="shared" si="164"/>
        <v>1.2308384591775343E-12</v>
      </c>
      <c r="AL177" s="20">
        <f t="shared" si="165"/>
        <v>2.282709528541206E-12</v>
      </c>
      <c r="AM177" s="59">
        <f t="shared" si="113"/>
        <v>288.97033806781201</v>
      </c>
      <c r="AN177" s="59">
        <f ca="1">AVERAGE(OFFSET($AM$3,0,0,'Données projet'!$E$10+1,1))-AVERAGE(OFFSET($H$3,0,0,'Données projet'!$E$10+1,1))</f>
        <v>374.38106339726073</v>
      </c>
      <c r="AO177" s="59">
        <f t="shared" si="144"/>
        <v>296.53283288925957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62.070040377083608</v>
      </c>
      <c r="AV177" s="21">
        <f>EXP(-LN(2)/25)*AV176+(1-EXP(-LN(2)/25))/(LN(2)/25)*Calculateur!AQ177*Calculateur!AS177*VLOOKUP('Données projet'!$B$10,Paramètres!$A$1:$I$89,3,0)*0.475*44/12</f>
        <v>13.633313468543149</v>
      </c>
      <c r="AW177" s="21">
        <f>EXP(-LN(2)/2)*AW176+(1-EXP(-LN(2)/2))/(LN(2)/2)*AQ177*AT177*VLOOKUP('Données projet'!$B$10,Paramètres!$A$1:$I$89,3,0)*0.475*44/12</f>
        <v>1.0927380934916021E-5</v>
      </c>
      <c r="AX177" s="21">
        <f t="shared" si="166"/>
        <v>75.703364773007692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1.0818439477588981E-13</v>
      </c>
      <c r="BF177" s="13">
        <f t="shared" si="167"/>
        <v>1.6104228458716316E-12</v>
      </c>
      <c r="BG177" s="20">
        <f t="shared" si="168"/>
        <v>2.9932409441277661E-12</v>
      </c>
      <c r="BH177" s="59">
        <f t="shared" si="116"/>
        <v>288.97033806781275</v>
      </c>
      <c r="BI177" s="59">
        <f ca="1">AVERAGE(OFFSET($BH$3,0,0,'Données projet'!$E$11+1,1))-AVERAGE(OFFSET($H$3,0,0,'Données projet'!$E$11+1,1))</f>
        <v>423.80243030843661</v>
      </c>
      <c r="BJ177" s="59">
        <f t="shared" si="146"/>
        <v>260.29028006191834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15.784716886782419</v>
      </c>
      <c r="BQ177" s="21">
        <f>EXP(-LN(2)/25)*BQ176+(1-EXP(-LN(2)/25))/(LN(2)/25)*Calculateur!BL177*Calculateur!BN177*VLOOKUP('Données projet'!$B$11,Paramètres!$A$1:$I$89,3,0)*0.475*44/12</f>
        <v>10.342920774872075</v>
      </c>
      <c r="BR177" s="21">
        <f>EXP(-LN(2)/2)*BR176+(1-EXP(-LN(2)/2))/(LN(2)/2)*BL177*BO177*VLOOKUP('Données projet'!$B$11,Paramètres!$A$1:$I$89,3,0)*0.475*44/12</f>
        <v>4.8317351605076126E-7</v>
      </c>
      <c r="BS177" s="22">
        <f t="shared" si="169"/>
        <v>26.127638144828012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-1.3596945791505279E-13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373.61861223558259</v>
      </c>
      <c r="CE177" s="59">
        <f t="shared" si="148"/>
        <v>277.62293009761049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23.82151782064409</v>
      </c>
      <c r="CL177" s="21">
        <f>EXP(-LN(2)/25)*CL176+(1-EXP(-LN(2)/25))/(LN(2)/25)*Calculateur!CG177*Calculateur!CI177*VLOOKUP('Données projet'!$B$12,Paramètres!$A$1:$I$89,3,0)*0.475*44/12</f>
        <v>3.8193577825902425</v>
      </c>
      <c r="CM177" s="21">
        <f>EXP(-LN(2)/2)*CM176+(1-EXP(-LN(2)/2))/(LN(2)/2)*CG177*CJ177*VLOOKUP('Données projet'!$B$12,Paramètres!$A$1:$I$89,3,0)*0.475*44/12</f>
        <v>5.0247196839740629E-13</v>
      </c>
      <c r="CN177" s="22">
        <f t="shared" si="172"/>
        <v>27.640875603234832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2.4829205358400945E-14</v>
      </c>
      <c r="CV177" s="13">
        <f t="shared" si="173"/>
        <v>4.3867331143352915E-13</v>
      </c>
      <c r="CW177" s="20">
        <f t="shared" si="174"/>
        <v>8.0726688341261168E-13</v>
      </c>
      <c r="CX177" s="59">
        <f t="shared" si="122"/>
        <v>288.97033806781053</v>
      </c>
      <c r="CY177" s="59">
        <f ca="1">AVERAGE(OFFSET($CX$3,0,0,'Données projet'!$E$13+1,1))-AVERAGE(OFFSET($H$3,0,0,'Données projet'!$E$13+1,1))</f>
        <v>287.28439432670405</v>
      </c>
      <c r="CZ177" s="59">
        <f t="shared" si="150"/>
        <v>276.01618888357268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5.1268633590037167</v>
      </c>
      <c r="DG177" s="21">
        <f>EXP(-LN(2)/25)*DG176+(1-EXP(-LN(2)/25))/(LN(2)/25)*Calculateur!DB177*Calculateur!DD177*VLOOKUP('Données projet'!$B$13,Paramètres!$A$1:$I$89,3,0)*0.475*44/12</f>
        <v>2.6938421282262537</v>
      </c>
      <c r="DH177" s="21">
        <f>EXP(-LN(2)/2)*DH176+(1-EXP(-LN(2)/2))/(LN(2)/2)*DB177*DE177*VLOOKUP('Données projet'!$B$13,Paramètres!$A$1:$I$89,3,0)*0.475*44/12</f>
        <v>3.2291638973893642E-13</v>
      </c>
      <c r="DI177" s="22">
        <f t="shared" si="175"/>
        <v>7.8207054872302937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9">
        <f t="shared" si="109"/>
        <v>1021.3604006373826</v>
      </c>
      <c r="S178" s="59">
        <f ca="1">AVERAGE(OFFSET($R$3,0,0,'Données projet'!$E$9+1,1))-AVERAGE(OFFSET($H$3,0,0,'Données projet'!$E$9+1,1))</f>
        <v>681.47578137804555</v>
      </c>
      <c r="T178" s="59">
        <f t="shared" si="142"/>
        <v>300.88511065995885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1.7053025658242404E-13</v>
      </c>
      <c r="AJ178" s="13">
        <f>AI178*VLOOKUP('Données projet'!$B$10,Paramètres!$A$1:$I$89,3,0)*VLOOKUP('Données projet'!$B$10,Paramètres!$A$1:$I$89,5,0)</f>
        <v>7.9808160080574461E-14</v>
      </c>
      <c r="AK178" s="13">
        <f t="shared" si="164"/>
        <v>1.2308384591775343E-12</v>
      </c>
      <c r="AL178" s="20">
        <f t="shared" si="165"/>
        <v>2.282709528541206E-12</v>
      </c>
      <c r="AM178" s="59">
        <f t="shared" si="113"/>
        <v>289.04602628147268</v>
      </c>
      <c r="AN178" s="59">
        <f ca="1">AVERAGE(OFFSET($AM$3,0,0,'Données projet'!$E$10+1,1))-AVERAGE(OFFSET($H$3,0,0,'Données projet'!$E$10+1,1))</f>
        <v>374.38106339726073</v>
      </c>
      <c r="AO178" s="59">
        <f t="shared" si="144"/>
        <v>296.53283288925957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60.852884744275364</v>
      </c>
      <c r="AV178" s="21">
        <f>EXP(-LN(2)/25)*AV177+(1-EXP(-LN(2)/25))/(LN(2)/25)*Calculateur!AQ178*Calculateur!AS178*VLOOKUP('Données projet'!$B$10,Paramètres!$A$1:$I$89,3,0)*0.475*44/12</f>
        <v>13.26050979480104</v>
      </c>
      <c r="AW178" s="21">
        <f>EXP(-LN(2)/2)*AW177+(1-EXP(-LN(2)/2))/(LN(2)/2)*AQ178*AT178*VLOOKUP('Données projet'!$B$10,Paramètres!$A$1:$I$89,3,0)*0.475*44/12</f>
        <v>7.7268251596877134E-6</v>
      </c>
      <c r="AX178" s="21">
        <f t="shared" si="166"/>
        <v>74.11340226590157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1.0818439477588981E-13</v>
      </c>
      <c r="BF178" s="13">
        <f t="shared" si="167"/>
        <v>1.6104228458716316E-12</v>
      </c>
      <c r="BG178" s="20">
        <f t="shared" si="168"/>
        <v>2.9932409441277661E-12</v>
      </c>
      <c r="BH178" s="59">
        <f t="shared" si="116"/>
        <v>289.04602628147342</v>
      </c>
      <c r="BI178" s="59">
        <f ca="1">AVERAGE(OFFSET($BH$3,0,0,'Données projet'!$E$11+1,1))-AVERAGE(OFFSET($H$3,0,0,'Données projet'!$E$11+1,1))</f>
        <v>423.80243030843661</v>
      </c>
      <c r="BJ178" s="59">
        <f t="shared" si="146"/>
        <v>260.29028006191834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15.475188216359259</v>
      </c>
      <c r="BQ178" s="21">
        <f>EXP(-LN(2)/25)*BQ177+(1-EXP(-LN(2)/25))/(LN(2)/25)*Calculateur!BL178*Calculateur!BN178*VLOOKUP('Données projet'!$B$11,Paramètres!$A$1:$I$89,3,0)*0.475*44/12</f>
        <v>10.060093062372633</v>
      </c>
      <c r="BR178" s="21">
        <f>EXP(-LN(2)/2)*BR177+(1-EXP(-LN(2)/2))/(LN(2)/2)*BL178*BO178*VLOOKUP('Données projet'!$B$11,Paramètres!$A$1:$I$89,3,0)*0.475*44/12</f>
        <v>3.4165526968924044E-7</v>
      </c>
      <c r="BS178" s="22">
        <f t="shared" si="169"/>
        <v>25.535281620387163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-1.3596945791505279E-13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373.61861223558259</v>
      </c>
      <c r="CE178" s="59">
        <f t="shared" si="148"/>
        <v>277.62293009761049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23.35439238587244</v>
      </c>
      <c r="CL178" s="21">
        <f>EXP(-LN(2)/25)*CL177+(1-EXP(-LN(2)/25))/(LN(2)/25)*Calculateur!CG178*Calculateur!CI178*VLOOKUP('Données projet'!$B$12,Paramètres!$A$1:$I$89,3,0)*0.475*44/12</f>
        <v>3.7149172431740158</v>
      </c>
      <c r="CM178" s="21">
        <f>EXP(-LN(2)/2)*CM177+(1-EXP(-LN(2)/2))/(LN(2)/2)*CG178*CJ178*VLOOKUP('Données projet'!$B$12,Paramètres!$A$1:$I$89,3,0)*0.475*44/12</f>
        <v>3.553013362099586E-13</v>
      </c>
      <c r="CN178" s="22">
        <f t="shared" si="172"/>
        <v>27.069309629046813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2.4829205358400945E-14</v>
      </c>
      <c r="CV178" s="13">
        <f t="shared" si="173"/>
        <v>4.3867331143352915E-13</v>
      </c>
      <c r="CW178" s="20">
        <f t="shared" si="174"/>
        <v>8.0726688341261168E-13</v>
      </c>
      <c r="CX178" s="59">
        <f t="shared" si="122"/>
        <v>289.0460262814712</v>
      </c>
      <c r="CY178" s="59">
        <f ca="1">AVERAGE(OFFSET($CX$3,0,0,'Données projet'!$E$13+1,1))-AVERAGE(OFFSET($H$3,0,0,'Données projet'!$E$13+1,1))</f>
        <v>287.28439432670405</v>
      </c>
      <c r="CZ178" s="59">
        <f t="shared" si="150"/>
        <v>276.01618888357268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5.0263286956115296</v>
      </c>
      <c r="DG178" s="21">
        <f>EXP(-LN(2)/25)*DG177+(1-EXP(-LN(2)/25))/(LN(2)/25)*Calculateur!DB178*Calculateur!DD178*VLOOKUP('Données projet'!$B$13,Paramètres!$A$1:$I$89,3,0)*0.475*44/12</f>
        <v>2.620178873566906</v>
      </c>
      <c r="DH178" s="21">
        <f>EXP(-LN(2)/2)*DH177+(1-EXP(-LN(2)/2))/(LN(2)/2)*DB178*DE178*VLOOKUP('Données projet'!$B$13,Paramètres!$A$1:$I$89,3,0)*0.475*44/12</f>
        <v>2.2833636894068001E-13</v>
      </c>
      <c r="DI178" s="22">
        <f t="shared" si="175"/>
        <v>7.6465075691786639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9">
        <f t="shared" si="109"/>
        <v>1033.1072009259974</v>
      </c>
      <c r="S179" s="59">
        <f ca="1">AVERAGE(OFFSET($R$3,0,0,'Données projet'!$E$9+1,1))-AVERAGE(OFFSET($H$3,0,0,'Données projet'!$E$9+1,1))</f>
        <v>681.47578137804555</v>
      </c>
      <c r="T179" s="59">
        <f t="shared" si="142"/>
        <v>300.88511065995885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1.7053025658242404E-13</v>
      </c>
      <c r="AJ179" s="13">
        <f>AI179*VLOOKUP('Données projet'!$B$10,Paramètres!$A$1:$I$89,3,0)*VLOOKUP('Données projet'!$B$10,Paramètres!$A$1:$I$89,5,0)</f>
        <v>7.9808160080574461E-14</v>
      </c>
      <c r="AK179" s="13">
        <f t="shared" si="164"/>
        <v>1.2308384591775343E-12</v>
      </c>
      <c r="AL179" s="20">
        <f t="shared" si="165"/>
        <v>2.282709528541206E-12</v>
      </c>
      <c r="AM179" s="59">
        <f t="shared" si="113"/>
        <v>289.12040147383988</v>
      </c>
      <c r="AN179" s="59">
        <f ca="1">AVERAGE(OFFSET($AM$3,0,0,'Données projet'!$E$10+1,1))-AVERAGE(OFFSET($H$3,0,0,'Données projet'!$E$10+1,1))</f>
        <v>374.38106339726073</v>
      </c>
      <c r="AO179" s="59">
        <f t="shared" si="144"/>
        <v>296.53283288925957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59.659596791034858</v>
      </c>
      <c r="AV179" s="21">
        <f>EXP(-LN(2)/25)*AV178+(1-EXP(-LN(2)/25))/(LN(2)/25)*Calculateur!AQ179*Calculateur!AS179*VLOOKUP('Données projet'!$B$10,Paramètres!$A$1:$I$89,3,0)*0.475*44/12</f>
        <v>12.897900457122303</v>
      </c>
      <c r="AW179" s="21">
        <f>EXP(-LN(2)/2)*AW178+(1-EXP(-LN(2)/2))/(LN(2)/2)*AQ179*AT179*VLOOKUP('Données projet'!$B$10,Paramètres!$A$1:$I$89,3,0)*0.475*44/12</f>
        <v>5.4636904674580103E-6</v>
      </c>
      <c r="AX179" s="21">
        <f t="shared" si="166"/>
        <v>72.557502711847633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1.0818439477588981E-13</v>
      </c>
      <c r="BF179" s="13">
        <f t="shared" si="167"/>
        <v>1.6104228458716316E-12</v>
      </c>
      <c r="BG179" s="20">
        <f t="shared" si="168"/>
        <v>2.9932409441277661E-12</v>
      </c>
      <c r="BH179" s="59">
        <f t="shared" si="116"/>
        <v>289.12040147384062</v>
      </c>
      <c r="BI179" s="59">
        <f ca="1">AVERAGE(OFFSET($BH$3,0,0,'Données projet'!$E$11+1,1))-AVERAGE(OFFSET($H$3,0,0,'Données projet'!$E$11+1,1))</f>
        <v>423.80243030843661</v>
      </c>
      <c r="BJ179" s="59">
        <f t="shared" si="146"/>
        <v>260.29028006191834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15.171729214369249</v>
      </c>
      <c r="BQ179" s="21">
        <f>EXP(-LN(2)/25)*BQ178+(1-EXP(-LN(2)/25))/(LN(2)/25)*Calculateur!BL179*Calculateur!BN179*VLOOKUP('Données projet'!$B$11,Paramètres!$A$1:$I$89,3,0)*0.475*44/12</f>
        <v>9.7849992885447516</v>
      </c>
      <c r="BR179" s="21">
        <f>EXP(-LN(2)/2)*BR178+(1-EXP(-LN(2)/2))/(LN(2)/2)*BL179*BO179*VLOOKUP('Données projet'!$B$11,Paramètres!$A$1:$I$89,3,0)*0.475*44/12</f>
        <v>2.4158675802538063E-7</v>
      </c>
      <c r="BS179" s="22">
        <f t="shared" si="169"/>
        <v>24.956728744500758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-1.3596945791505279E-13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373.61861223558259</v>
      </c>
      <c r="CE179" s="59">
        <f t="shared" si="148"/>
        <v>277.62293009761049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22.896426995958283</v>
      </c>
      <c r="CL179" s="21">
        <f>EXP(-LN(2)/25)*CL178+(1-EXP(-LN(2)/25))/(LN(2)/25)*Calculateur!CG179*Calculateur!CI179*VLOOKUP('Données projet'!$B$12,Paramètres!$A$1:$I$89,3,0)*0.475*44/12</f>
        <v>3.6133326358004152</v>
      </c>
      <c r="CM179" s="21">
        <f>EXP(-LN(2)/2)*CM178+(1-EXP(-LN(2)/2))/(LN(2)/2)*CG179*CJ179*VLOOKUP('Données projet'!$B$12,Paramètres!$A$1:$I$89,3,0)*0.475*44/12</f>
        <v>2.5123598419870315E-13</v>
      </c>
      <c r="CN179" s="22">
        <f t="shared" si="172"/>
        <v>26.50975963175895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2.4829205358400945E-14</v>
      </c>
      <c r="CV179" s="13">
        <f t="shared" si="173"/>
        <v>4.3867331143352915E-13</v>
      </c>
      <c r="CW179" s="20">
        <f t="shared" si="174"/>
        <v>8.0726688341261168E-13</v>
      </c>
      <c r="CX179" s="59">
        <f t="shared" si="122"/>
        <v>289.1204014738384</v>
      </c>
      <c r="CY179" s="59">
        <f ca="1">AVERAGE(OFFSET($CX$3,0,0,'Données projet'!$E$13+1,1))-AVERAGE(OFFSET($H$3,0,0,'Données projet'!$E$13+1,1))</f>
        <v>287.28439432670405</v>
      </c>
      <c r="CZ179" s="59">
        <f t="shared" si="150"/>
        <v>276.01618888357268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4.9277654556483732</v>
      </c>
      <c r="DG179" s="21">
        <f>EXP(-LN(2)/25)*DG178+(1-EXP(-LN(2)/25))/(LN(2)/25)*Calculateur!DB179*Calculateur!DD179*VLOOKUP('Données projet'!$B$13,Paramètres!$A$1:$I$89,3,0)*0.475*44/12</f>
        <v>2.5485299444800007</v>
      </c>
      <c r="DH179" s="21">
        <f>EXP(-LN(2)/2)*DH178+(1-EXP(-LN(2)/2))/(LN(2)/2)*DB179*DE179*VLOOKUP('Données projet'!$B$13,Paramètres!$A$1:$I$89,3,0)*0.475*44/12</f>
        <v>1.6145819486946821E-13</v>
      </c>
      <c r="DI179" s="22">
        <f t="shared" si="175"/>
        <v>7.4762954001285351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9">
        <f t="shared" si="109"/>
        <v>1044.8489865007516</v>
      </c>
      <c r="S180" s="59">
        <f ca="1">AVERAGE(OFFSET($R$3,0,0,'Données projet'!$E$9+1,1))-AVERAGE(OFFSET($H$3,0,0,'Données projet'!$E$9+1,1))</f>
        <v>681.47578137804555</v>
      </c>
      <c r="T180" s="59">
        <f t="shared" si="142"/>
        <v>300.88511065995885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1.7053025658242404E-13</v>
      </c>
      <c r="AJ180" s="13">
        <f>AI180*VLOOKUP('Données projet'!$B$10,Paramètres!$A$1:$I$89,3,0)*VLOOKUP('Données projet'!$B$10,Paramètres!$A$1:$I$89,5,0)</f>
        <v>7.9808160080574461E-14</v>
      </c>
      <c r="AK180" s="13">
        <f t="shared" si="164"/>
        <v>1.2308384591775343E-12</v>
      </c>
      <c r="AL180" s="20">
        <f t="shared" si="165"/>
        <v>2.282709528541206E-12</v>
      </c>
      <c r="AM180" s="59">
        <f t="shared" si="113"/>
        <v>289.19348642289754</v>
      </c>
      <c r="AN180" s="59">
        <f ca="1">AVERAGE(OFFSET($AM$3,0,0,'Données projet'!$E$10+1,1))-AVERAGE(OFFSET($H$3,0,0,'Données projet'!$E$10+1,1))</f>
        <v>374.38106339726073</v>
      </c>
      <c r="AO180" s="59">
        <f t="shared" si="144"/>
        <v>296.53283288925957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58.489708486723615</v>
      </c>
      <c r="AV180" s="21">
        <f>EXP(-LN(2)/25)*AV179+(1-EXP(-LN(2)/25))/(LN(2)/25)*Calculateur!AQ180*Calculateur!AS180*VLOOKUP('Données projet'!$B$10,Paramètres!$A$1:$I$89,3,0)*0.475*44/12</f>
        <v>12.545206690851186</v>
      </c>
      <c r="AW180" s="21">
        <f>EXP(-LN(2)/2)*AW179+(1-EXP(-LN(2)/2))/(LN(2)/2)*AQ180*AT180*VLOOKUP('Données projet'!$B$10,Paramètres!$A$1:$I$89,3,0)*0.475*44/12</f>
        <v>3.8634125798438567E-6</v>
      </c>
      <c r="AX180" s="21">
        <f t="shared" si="166"/>
        <v>71.034919040987376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1.0818439477588981E-13</v>
      </c>
      <c r="BF180" s="13">
        <f t="shared" si="167"/>
        <v>1.6104228458716316E-12</v>
      </c>
      <c r="BG180" s="20">
        <f t="shared" si="168"/>
        <v>2.9932409441277661E-12</v>
      </c>
      <c r="BH180" s="59">
        <f t="shared" si="116"/>
        <v>289.19348642289827</v>
      </c>
      <c r="BI180" s="59">
        <f ca="1">AVERAGE(OFFSET($BH$3,0,0,'Données projet'!$E$11+1,1))-AVERAGE(OFFSET($H$3,0,0,'Données projet'!$E$11+1,1))</f>
        <v>423.80243030843661</v>
      </c>
      <c r="BJ180" s="59">
        <f t="shared" si="146"/>
        <v>260.29028006191834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14.874220858316548</v>
      </c>
      <c r="BQ180" s="21">
        <f>EXP(-LN(2)/25)*BQ179+(1-EXP(-LN(2)/25))/(LN(2)/25)*Calculateur!BL180*Calculateur!BN180*VLOOKUP('Données projet'!$B$11,Paramètres!$A$1:$I$89,3,0)*0.475*44/12</f>
        <v>9.5174279684287466</v>
      </c>
      <c r="BR180" s="21">
        <f>EXP(-LN(2)/2)*BR179+(1-EXP(-LN(2)/2))/(LN(2)/2)*BL180*BO180*VLOOKUP('Données projet'!$B$11,Paramètres!$A$1:$I$89,3,0)*0.475*44/12</f>
        <v>1.7082763484462022E-7</v>
      </c>
      <c r="BS180" s="22">
        <f t="shared" si="169"/>
        <v>24.391648997572933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-1.3596945791505279E-13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373.61861223558259</v>
      </c>
      <c r="CE180" s="59">
        <f t="shared" si="148"/>
        <v>277.62293009761049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22.447442028009036</v>
      </c>
      <c r="CL180" s="21">
        <f>EXP(-LN(2)/25)*CL179+(1-EXP(-LN(2)/25))/(LN(2)/25)*Calculateur!CG180*Calculateur!CI180*VLOOKUP('Données projet'!$B$12,Paramètres!$A$1:$I$89,3,0)*0.475*44/12</f>
        <v>3.5145258648575477</v>
      </c>
      <c r="CM180" s="21">
        <f>EXP(-LN(2)/2)*CM179+(1-EXP(-LN(2)/2))/(LN(2)/2)*CG180*CJ180*VLOOKUP('Données projet'!$B$12,Paramètres!$A$1:$I$89,3,0)*0.475*44/12</f>
        <v>1.776506681049793E-13</v>
      </c>
      <c r="CN180" s="22">
        <f t="shared" si="172"/>
        <v>25.96196789286676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2.4829205358400945E-14</v>
      </c>
      <c r="CV180" s="13">
        <f t="shared" si="173"/>
        <v>4.3867331143352915E-13</v>
      </c>
      <c r="CW180" s="20">
        <f t="shared" si="174"/>
        <v>8.0726688341261168E-13</v>
      </c>
      <c r="CX180" s="59">
        <f t="shared" si="122"/>
        <v>289.19348642289606</v>
      </c>
      <c r="CY180" s="59">
        <f ca="1">AVERAGE(OFFSET($CX$3,0,0,'Données projet'!$E$13+1,1))-AVERAGE(OFFSET($H$3,0,0,'Données projet'!$E$13+1,1))</f>
        <v>287.28439432670405</v>
      </c>
      <c r="CZ180" s="59">
        <f t="shared" si="150"/>
        <v>276.01618888357268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4.8311349807032542</v>
      </c>
      <c r="DG180" s="21">
        <f>EXP(-LN(2)/25)*DG179+(1-EXP(-LN(2)/25))/(LN(2)/25)*Calculateur!DB180*Calculateur!DD180*VLOOKUP('Données projet'!$B$13,Paramètres!$A$1:$I$89,3,0)*0.475*44/12</f>
        <v>2.4788402591268301</v>
      </c>
      <c r="DH180" s="21">
        <f>EXP(-LN(2)/2)*DH179+(1-EXP(-LN(2)/2))/(LN(2)/2)*DB180*DE180*VLOOKUP('Données projet'!$B$13,Paramètres!$A$1:$I$89,3,0)*0.475*44/12</f>
        <v>1.1416818447034001E-13</v>
      </c>
      <c r="DI180" s="22">
        <f t="shared" si="175"/>
        <v>7.3099752398301989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9">
        <f t="shared" si="109"/>
        <v>806.7265209073995</v>
      </c>
      <c r="S181" s="59">
        <f ca="1">AVERAGE(OFFSET($R$3,0,0,'Données projet'!$E$9+1,1))-AVERAGE(OFFSET($H$3,0,0,'Données projet'!$E$9+1,1))</f>
        <v>681.47578137804555</v>
      </c>
      <c r="T181" s="59">
        <f t="shared" si="142"/>
        <v>300.88511065995885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1.7053025658242404E-13</v>
      </c>
      <c r="AJ181" s="13">
        <f>AI181*VLOOKUP('Données projet'!$B$10,Paramètres!$A$1:$I$89,3,0)*VLOOKUP('Données projet'!$B$10,Paramètres!$A$1:$I$89,5,0)</f>
        <v>7.9808160080574461E-14</v>
      </c>
      <c r="AK181" s="13">
        <f t="shared" si="164"/>
        <v>1.2308384591775343E-12</v>
      </c>
      <c r="AL181" s="20">
        <f t="shared" si="165"/>
        <v>2.282709528541206E-12</v>
      </c>
      <c r="AM181" s="59">
        <f t="shared" si="113"/>
        <v>289.26530351148244</v>
      </c>
      <c r="AN181" s="59">
        <f ca="1">AVERAGE(OFFSET($AM$3,0,0,'Données projet'!$E$10+1,1))-AVERAGE(OFFSET($H$3,0,0,'Données projet'!$E$10+1,1))</f>
        <v>374.38106339726073</v>
      </c>
      <c r="AO181" s="59">
        <f t="shared" si="144"/>
        <v>296.53283288925957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57.342760978498511</v>
      </c>
      <c r="AV181" s="21">
        <f>EXP(-LN(2)/25)*AV180+(1-EXP(-LN(2)/25))/(LN(2)/25)*Calculateur!AQ181*Calculateur!AS181*VLOOKUP('Données projet'!$B$10,Paramètres!$A$1:$I$89,3,0)*0.475*44/12</f>
        <v>12.202157354166113</v>
      </c>
      <c r="AW181" s="21">
        <f>EXP(-LN(2)/2)*AW180+(1-EXP(-LN(2)/2))/(LN(2)/2)*AQ181*AT181*VLOOKUP('Données projet'!$B$10,Paramètres!$A$1:$I$89,3,0)*0.475*44/12</f>
        <v>2.7318452337290052E-6</v>
      </c>
      <c r="AX181" s="21">
        <f t="shared" si="166"/>
        <v>69.54492106450985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1.0818439477588981E-13</v>
      </c>
      <c r="BF181" s="13">
        <f t="shared" si="167"/>
        <v>1.6104228458716316E-12</v>
      </c>
      <c r="BG181" s="20">
        <f t="shared" si="168"/>
        <v>2.9932409441277661E-12</v>
      </c>
      <c r="BH181" s="59">
        <f t="shared" si="116"/>
        <v>289.26530351148318</v>
      </c>
      <c r="BI181" s="59">
        <f ca="1">AVERAGE(OFFSET($BH$3,0,0,'Données projet'!$E$11+1,1))-AVERAGE(OFFSET($H$3,0,0,'Données projet'!$E$11+1,1))</f>
        <v>423.80243030843661</v>
      </c>
      <c r="BJ181" s="59">
        <f t="shared" si="146"/>
        <v>260.29028006191834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14.582546459663861</v>
      </c>
      <c r="BQ181" s="21">
        <f>EXP(-LN(2)/25)*BQ180+(1-EXP(-LN(2)/25))/(LN(2)/25)*Calculateur!BL181*Calculateur!BN181*VLOOKUP('Données projet'!$B$11,Paramètres!$A$1:$I$89,3,0)*0.475*44/12</f>
        <v>9.2571734001322774</v>
      </c>
      <c r="BR181" s="21">
        <f>EXP(-LN(2)/2)*BR180+(1-EXP(-LN(2)/2))/(LN(2)/2)*BL181*BO181*VLOOKUP('Données projet'!$B$11,Paramètres!$A$1:$I$89,3,0)*0.475*44/12</f>
        <v>1.2079337901269031E-7</v>
      </c>
      <c r="BS181" s="22">
        <f t="shared" si="169"/>
        <v>23.839719980589521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-1.3596945791505279E-13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373.61861223558259</v>
      </c>
      <c r="CE181" s="59">
        <f t="shared" si="148"/>
        <v>277.62293009761049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22.007261381427483</v>
      </c>
      <c r="CL181" s="21">
        <f>EXP(-LN(2)/25)*CL180+(1-EXP(-LN(2)/25))/(LN(2)/25)*Calculateur!CG181*Calculateur!CI181*VLOOKUP('Données projet'!$B$12,Paramètres!$A$1:$I$89,3,0)*0.475*44/12</f>
        <v>3.4184209702621353</v>
      </c>
      <c r="CM181" s="21">
        <f>EXP(-LN(2)/2)*CM180+(1-EXP(-LN(2)/2))/(LN(2)/2)*CG181*CJ181*VLOOKUP('Données projet'!$B$12,Paramètres!$A$1:$I$89,3,0)*0.475*44/12</f>
        <v>1.2561799209935157E-13</v>
      </c>
      <c r="CN181" s="22">
        <f t="shared" si="172"/>
        <v>25.425682351689744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2.4829205358400945E-14</v>
      </c>
      <c r="CV181" s="13">
        <f t="shared" si="173"/>
        <v>4.3867331143352915E-13</v>
      </c>
      <c r="CW181" s="20">
        <f t="shared" si="174"/>
        <v>8.0726688341261168E-13</v>
      </c>
      <c r="CX181" s="59">
        <f t="shared" si="122"/>
        <v>289.26530351148097</v>
      </c>
      <c r="CY181" s="59">
        <f ca="1">AVERAGE(OFFSET($CX$3,0,0,'Données projet'!$E$13+1,1))-AVERAGE(OFFSET($H$3,0,0,'Données projet'!$E$13+1,1))</f>
        <v>287.28439432670405</v>
      </c>
      <c r="CZ181" s="59">
        <f t="shared" si="150"/>
        <v>276.01618888357268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4.7363993704330394</v>
      </c>
      <c r="DG181" s="21">
        <f>EXP(-LN(2)/25)*DG180+(1-EXP(-LN(2)/25))/(LN(2)/25)*Calculateur!DB181*Calculateur!DD181*VLOOKUP('Données projet'!$B$13,Paramètres!$A$1:$I$89,3,0)*0.475*44/12</f>
        <v>2.4110562418844634</v>
      </c>
      <c r="DH181" s="21">
        <f>EXP(-LN(2)/2)*DH180+(1-EXP(-LN(2)/2))/(LN(2)/2)*DB181*DE181*VLOOKUP('Données projet'!$B$13,Paramètres!$A$1:$I$89,3,0)*0.475*44/12</f>
        <v>8.0729097434734106E-14</v>
      </c>
      <c r="DI181" s="22">
        <f t="shared" si="175"/>
        <v>7.1474556123175832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9">
        <f t="shared" si="109"/>
        <v>813.99679679762676</v>
      </c>
      <c r="S182" s="59">
        <f ca="1">AVERAGE(OFFSET($R$3,0,0,'Données projet'!$E$9+1,1))-AVERAGE(OFFSET($H$3,0,0,'Données projet'!$E$9+1,1))</f>
        <v>681.47578137804555</v>
      </c>
      <c r="T182" s="59">
        <f t="shared" si="142"/>
        <v>300.88511065995885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1.7053025658242404E-13</v>
      </c>
      <c r="AJ182" s="13">
        <f>AI182*VLOOKUP('Données projet'!$B$10,Paramètres!$A$1:$I$89,3,0)*VLOOKUP('Données projet'!$B$10,Paramètres!$A$1:$I$89,5,0)</f>
        <v>7.9808160080574461E-14</v>
      </c>
      <c r="AK182" s="13">
        <f t="shared" si="164"/>
        <v>1.2308384591775343E-12</v>
      </c>
      <c r="AL182" s="20">
        <f t="shared" si="165"/>
        <v>2.282709528541206E-12</v>
      </c>
      <c r="AM182" s="59">
        <f t="shared" si="113"/>
        <v>289.3358747341394</v>
      </c>
      <c r="AN182" s="59">
        <f ca="1">AVERAGE(OFFSET($AM$3,0,0,'Données projet'!$E$10+1,1))-AVERAGE(OFFSET($H$3,0,0,'Données projet'!$E$10+1,1))</f>
        <v>374.38106339726073</v>
      </c>
      <c r="AO182" s="59">
        <f t="shared" si="144"/>
        <v>296.53283288925957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56.218304411340796</v>
      </c>
      <c r="AV182" s="21">
        <f>EXP(-LN(2)/25)*AV181+(1-EXP(-LN(2)/25))/(LN(2)/25)*Calculateur!AQ182*Calculateur!AS182*VLOOKUP('Données projet'!$B$10,Paramètres!$A$1:$I$89,3,0)*0.475*44/12</f>
        <v>11.868488719632873</v>
      </c>
      <c r="AW182" s="21">
        <f>EXP(-LN(2)/2)*AW181+(1-EXP(-LN(2)/2))/(LN(2)/2)*AQ182*AT182*VLOOKUP('Données projet'!$B$10,Paramètres!$A$1:$I$89,3,0)*0.475*44/12</f>
        <v>1.9317062899219284E-6</v>
      </c>
      <c r="AX182" s="21">
        <f t="shared" si="166"/>
        <v>68.086795062679968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1.0818439477588981E-13</v>
      </c>
      <c r="BF182" s="13">
        <f t="shared" si="167"/>
        <v>1.6104228458716316E-12</v>
      </c>
      <c r="BG182" s="20">
        <f t="shared" si="168"/>
        <v>2.9932409441277661E-12</v>
      </c>
      <c r="BH182" s="59">
        <f t="shared" si="116"/>
        <v>289.33587473414013</v>
      </c>
      <c r="BI182" s="59">
        <f ca="1">AVERAGE(OFFSET($BH$3,0,0,'Données projet'!$E$11+1,1))-AVERAGE(OFFSET($H$3,0,0,'Données projet'!$E$11+1,1))</f>
        <v>423.80243030843661</v>
      </c>
      <c r="BJ182" s="59">
        <f t="shared" si="146"/>
        <v>260.29028006191834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14.296591618064937</v>
      </c>
      <c r="BQ182" s="21">
        <f>EXP(-LN(2)/25)*BQ181+(1-EXP(-LN(2)/25))/(LN(2)/25)*Calculateur!BL182*Calculateur!BN182*VLOOKUP('Données projet'!$B$11,Paramètres!$A$1:$I$89,3,0)*0.475*44/12</f>
        <v>9.0040355066920679</v>
      </c>
      <c r="BR182" s="21">
        <f>EXP(-LN(2)/2)*BR181+(1-EXP(-LN(2)/2))/(LN(2)/2)*BL182*BO182*VLOOKUP('Données projet'!$B$11,Paramètres!$A$1:$I$89,3,0)*0.475*44/12</f>
        <v>8.5413817422310111E-8</v>
      </c>
      <c r="BS182" s="22">
        <f t="shared" si="169"/>
        <v>23.300627210170823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-1.3596945791505279E-13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373.61861223558259</v>
      </c>
      <c r="CE182" s="59">
        <f t="shared" si="148"/>
        <v>277.62293009761049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21.57571240884171</v>
      </c>
      <c r="CL182" s="21">
        <f>EXP(-LN(2)/25)*CL181+(1-EXP(-LN(2)/25))/(LN(2)/25)*Calculateur!CG182*Calculateur!CI182*VLOOKUP('Données projet'!$B$12,Paramètres!$A$1:$I$89,3,0)*0.475*44/12</f>
        <v>3.3249440690633714</v>
      </c>
      <c r="CM182" s="21">
        <f>EXP(-LN(2)/2)*CM181+(1-EXP(-LN(2)/2))/(LN(2)/2)*CG182*CJ182*VLOOKUP('Données projet'!$B$12,Paramètres!$A$1:$I$89,3,0)*0.475*44/12</f>
        <v>8.8825334052489649E-14</v>
      </c>
      <c r="CN182" s="22">
        <f t="shared" si="172"/>
        <v>24.900656477905169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2.4829205358400945E-14</v>
      </c>
      <c r="CV182" s="13">
        <f t="shared" si="173"/>
        <v>4.3867331143352915E-13</v>
      </c>
      <c r="CW182" s="20">
        <f t="shared" si="174"/>
        <v>8.0726688341261168E-13</v>
      </c>
      <c r="CX182" s="59">
        <f t="shared" si="122"/>
        <v>289.33587473413792</v>
      </c>
      <c r="CY182" s="59">
        <f ca="1">AVERAGE(OFFSET($CX$3,0,0,'Données projet'!$E$13+1,1))-AVERAGE(OFFSET($H$3,0,0,'Données projet'!$E$13+1,1))</f>
        <v>287.28439432670405</v>
      </c>
      <c r="CZ182" s="59">
        <f t="shared" si="150"/>
        <v>276.01618888357268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4.6435214676972061</v>
      </c>
      <c r="DG182" s="21">
        <f>EXP(-LN(2)/25)*DG181+(1-EXP(-LN(2)/25))/(LN(2)/25)*Calculateur!DB182*Calculateur!DD182*VLOOKUP('Données projet'!$B$13,Paramètres!$A$1:$I$89,3,0)*0.475*44/12</f>
        <v>2.3451257821581954</v>
      </c>
      <c r="DH182" s="21">
        <f>EXP(-LN(2)/2)*DH181+(1-EXP(-LN(2)/2))/(LN(2)/2)*DB182*DE182*VLOOKUP('Données projet'!$B$13,Paramètres!$A$1:$I$89,3,0)*0.475*44/12</f>
        <v>5.7084092235170003E-14</v>
      </c>
      <c r="DI182" s="22">
        <f t="shared" si="175"/>
        <v>6.9886472498554584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9">
        <f t="shared" si="109"/>
        <v>821.26376720295116</v>
      </c>
      <c r="S183" s="59">
        <f ca="1">AVERAGE(OFFSET($R$3,0,0,'Données projet'!$E$9+1,1))-AVERAGE(OFFSET($H$3,0,0,'Données projet'!$E$9+1,1))</f>
        <v>681.47578137804555</v>
      </c>
      <c r="T183" s="59">
        <f t="shared" si="142"/>
        <v>300.88511065995885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1.7053025658242404E-13</v>
      </c>
      <c r="AJ183" s="13">
        <f>AI183*VLOOKUP('Données projet'!$B$10,Paramètres!$A$1:$I$89,3,0)*VLOOKUP('Données projet'!$B$10,Paramètres!$A$1:$I$89,5,0)</f>
        <v>7.9808160080574461E-14</v>
      </c>
      <c r="AK183" s="13">
        <f t="shared" si="164"/>
        <v>1.2308384591775343E-12</v>
      </c>
      <c r="AL183" s="20">
        <f t="shared" si="165"/>
        <v>2.282709528541206E-12</v>
      </c>
      <c r="AM183" s="59">
        <f t="shared" si="113"/>
        <v>289.40522170385691</v>
      </c>
      <c r="AN183" s="59">
        <f ca="1">AVERAGE(OFFSET($AM$3,0,0,'Données projet'!$E$10+1,1))-AVERAGE(OFFSET($H$3,0,0,'Données projet'!$E$10+1,1))</f>
        <v>374.38106339726073</v>
      </c>
      <c r="AO183" s="59">
        <f t="shared" si="144"/>
        <v>296.53283288925957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55.115897751614263</v>
      </c>
      <c r="AV183" s="21">
        <f>EXP(-LN(2)/25)*AV182+(1-EXP(-LN(2)/25))/(LN(2)/25)*Calculateur!AQ183*Calculateur!AS183*VLOOKUP('Données projet'!$B$10,Paramètres!$A$1:$I$89,3,0)*0.475*44/12</f>
        <v>11.543944271457816</v>
      </c>
      <c r="AW183" s="21">
        <f>EXP(-LN(2)/2)*AW182+(1-EXP(-LN(2)/2))/(LN(2)/2)*AQ183*AT183*VLOOKUP('Données projet'!$B$10,Paramètres!$A$1:$I$89,3,0)*0.475*44/12</f>
        <v>1.3659226168645026E-6</v>
      </c>
      <c r="AX183" s="21">
        <f t="shared" si="166"/>
        <v>66.659843388994688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1.0818439477588981E-13</v>
      </c>
      <c r="BF183" s="13">
        <f t="shared" si="167"/>
        <v>1.6104228458716316E-12</v>
      </c>
      <c r="BG183" s="20">
        <f t="shared" si="168"/>
        <v>2.9932409441277661E-12</v>
      </c>
      <c r="BH183" s="59">
        <f t="shared" si="116"/>
        <v>289.40522170385765</v>
      </c>
      <c r="BI183" s="59">
        <f ca="1">AVERAGE(OFFSET($BH$3,0,0,'Données projet'!$E$11+1,1))-AVERAGE(OFFSET($H$3,0,0,'Données projet'!$E$11+1,1))</f>
        <v>423.80243030843661</v>
      </c>
      <c r="BJ183" s="59">
        <f t="shared" si="146"/>
        <v>260.29028006191834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14.016244176494537</v>
      </c>
      <c r="BQ183" s="21">
        <f>EXP(-LN(2)/25)*BQ182+(1-EXP(-LN(2)/25))/(LN(2)/25)*Calculateur!BL183*Calculateur!BN183*VLOOKUP('Données projet'!$B$11,Paramètres!$A$1:$I$89,3,0)*0.475*44/12</f>
        <v>8.7578196822599246</v>
      </c>
      <c r="BR183" s="21">
        <f>EXP(-LN(2)/2)*BR182+(1-EXP(-LN(2)/2))/(LN(2)/2)*BL183*BO183*VLOOKUP('Données projet'!$B$11,Paramètres!$A$1:$I$89,3,0)*0.475*44/12</f>
        <v>6.0396689506345157E-8</v>
      </c>
      <c r="BS183" s="22">
        <f t="shared" si="169"/>
        <v>22.77406391915115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-1.3596945791505279E-13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373.61861223558259</v>
      </c>
      <c r="CE183" s="59">
        <f t="shared" si="148"/>
        <v>277.62293009761049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21.152625848389462</v>
      </c>
      <c r="CL183" s="21">
        <f>EXP(-LN(2)/25)*CL182+(1-EXP(-LN(2)/25))/(LN(2)/25)*Calculateur!CG183*Calculateur!CI183*VLOOKUP('Données projet'!$B$12,Paramètres!$A$1:$I$89,3,0)*0.475*44/12</f>
        <v>3.2340232986436241</v>
      </c>
      <c r="CM183" s="21">
        <f>EXP(-LN(2)/2)*CM182+(1-EXP(-LN(2)/2))/(LN(2)/2)*CG183*CJ183*VLOOKUP('Données projet'!$B$12,Paramètres!$A$1:$I$89,3,0)*0.475*44/12</f>
        <v>6.2808996049675786E-14</v>
      </c>
      <c r="CN183" s="22">
        <f t="shared" si="172"/>
        <v>24.38664914703315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2.4829205358400945E-14</v>
      </c>
      <c r="CV183" s="13">
        <f t="shared" si="173"/>
        <v>4.3867331143352915E-13</v>
      </c>
      <c r="CW183" s="20">
        <f t="shared" si="174"/>
        <v>8.0726688341261168E-13</v>
      </c>
      <c r="CX183" s="59">
        <f t="shared" si="122"/>
        <v>289.40522170385543</v>
      </c>
      <c r="CY183" s="59">
        <f ca="1">AVERAGE(OFFSET($CX$3,0,0,'Données projet'!$E$13+1,1))-AVERAGE(OFFSET($H$3,0,0,'Données projet'!$E$13+1,1))</f>
        <v>287.28439432670405</v>
      </c>
      <c r="CZ183" s="59">
        <f t="shared" si="150"/>
        <v>276.01618888357268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4.5524648439840956</v>
      </c>
      <c r="DG183" s="21">
        <f>EXP(-LN(2)/25)*DG182+(1-EXP(-LN(2)/25))/(LN(2)/25)*Calculateur!DB183*Calculateur!DD183*VLOOKUP('Données projet'!$B$13,Paramètres!$A$1:$I$89,3,0)*0.475*44/12</f>
        <v>2.2809981943202744</v>
      </c>
      <c r="DH183" s="21">
        <f>EXP(-LN(2)/2)*DH182+(1-EXP(-LN(2)/2))/(LN(2)/2)*DB183*DE183*VLOOKUP('Données projet'!$B$13,Paramètres!$A$1:$I$89,3,0)*0.475*44/12</f>
        <v>4.0364548717367053E-14</v>
      </c>
      <c r="DI183" s="22">
        <f t="shared" si="175"/>
        <v>6.8334630383044095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9">
        <f t="shared" si="109"/>
        <v>658.66950990201644</v>
      </c>
      <c r="S184" s="59">
        <f ca="1">AVERAGE(OFFSET($R$3,0,0,'Données projet'!$E$9+1,1))-AVERAGE(OFFSET($H$3,0,0,'Données projet'!$E$9+1,1))</f>
        <v>681.47578137804555</v>
      </c>
      <c r="T184" s="59">
        <f t="shared" si="142"/>
        <v>300.88511065995885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1.7053025658242404E-13</v>
      </c>
      <c r="AJ184" s="13">
        <f>AI184*VLOOKUP('Données projet'!$B$10,Paramètres!$A$1:$I$89,3,0)*VLOOKUP('Données projet'!$B$10,Paramètres!$A$1:$I$89,5,0)</f>
        <v>7.9808160080574461E-14</v>
      </c>
      <c r="AK184" s="13">
        <f t="shared" si="164"/>
        <v>1.2308384591775343E-12</v>
      </c>
      <c r="AL184" s="20">
        <f t="shared" si="165"/>
        <v>2.282709528541206E-12</v>
      </c>
      <c r="AM184" s="59">
        <f t="shared" si="113"/>
        <v>289.47336565868636</v>
      </c>
      <c r="AN184" s="59">
        <f ca="1">AVERAGE(OFFSET($AM$3,0,0,'Données projet'!$E$10+1,1))-AVERAGE(OFFSET($H$3,0,0,'Données projet'!$E$10+1,1))</f>
        <v>374.38106339726073</v>
      </c>
      <c r="AO184" s="59">
        <f t="shared" si="144"/>
        <v>296.53283288925957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54.035108614083292</v>
      </c>
      <c r="AV184" s="21">
        <f>EXP(-LN(2)/25)*AV183+(1-EXP(-LN(2)/25))/(LN(2)/25)*Calculateur!AQ184*Calculateur!AS184*VLOOKUP('Données projet'!$B$10,Paramètres!$A$1:$I$89,3,0)*0.475*44/12</f>
        <v>11.228274508285157</v>
      </c>
      <c r="AW184" s="21">
        <f>EXP(-LN(2)/2)*AW183+(1-EXP(-LN(2)/2))/(LN(2)/2)*AQ184*AT184*VLOOKUP('Données projet'!$B$10,Paramètres!$A$1:$I$89,3,0)*0.475*44/12</f>
        <v>9.6585314496096418E-7</v>
      </c>
      <c r="AX184" s="21">
        <f t="shared" si="166"/>
        <v>65.263384088221599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1.0818439477588981E-13</v>
      </c>
      <c r="BF184" s="13">
        <f t="shared" si="167"/>
        <v>1.6104228458716316E-12</v>
      </c>
      <c r="BG184" s="20">
        <f t="shared" si="168"/>
        <v>2.9932409441277661E-12</v>
      </c>
      <c r="BH184" s="59">
        <f t="shared" si="116"/>
        <v>289.4733656586871</v>
      </c>
      <c r="BI184" s="59">
        <f ca="1">AVERAGE(OFFSET($BH$3,0,0,'Données projet'!$E$11+1,1))-AVERAGE(OFFSET($H$3,0,0,'Données projet'!$E$11+1,1))</f>
        <v>423.80243030843661</v>
      </c>
      <c r="BJ184" s="59">
        <f t="shared" si="146"/>
        <v>260.29028006191834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13.741394177258277</v>
      </c>
      <c r="BQ184" s="21">
        <f>EXP(-LN(2)/25)*BQ183+(1-EXP(-LN(2)/25))/(LN(2)/25)*Calculateur!BL184*Calculateur!BN184*VLOOKUP('Données projet'!$B$11,Paramètres!$A$1:$I$89,3,0)*0.475*44/12</f>
        <v>8.5183366424948055</v>
      </c>
      <c r="BR184" s="21">
        <f>EXP(-LN(2)/2)*BR183+(1-EXP(-LN(2)/2))/(LN(2)/2)*BL184*BO184*VLOOKUP('Données projet'!$B$11,Paramètres!$A$1:$I$89,3,0)*0.475*44/12</f>
        <v>4.2706908711155056E-8</v>
      </c>
      <c r="BS184" s="22">
        <f t="shared" si="169"/>
        <v>22.259730862459989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-1.3596945791505279E-13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373.61861223558259</v>
      </c>
      <c r="CE184" s="59">
        <f t="shared" si="148"/>
        <v>277.62293009761049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20.737835757330362</v>
      </c>
      <c r="CL184" s="21">
        <f>EXP(-LN(2)/25)*CL183+(1-EXP(-LN(2)/25))/(LN(2)/25)*Calculateur!CG184*Calculateur!CI184*VLOOKUP('Données projet'!$B$12,Paramètres!$A$1:$I$89,3,0)*0.475*44/12</f>
        <v>3.1455887614723204</v>
      </c>
      <c r="CM184" s="21">
        <f>EXP(-LN(2)/2)*CM183+(1-EXP(-LN(2)/2))/(LN(2)/2)*CG184*CJ184*VLOOKUP('Données projet'!$B$12,Paramètres!$A$1:$I$89,3,0)*0.475*44/12</f>
        <v>4.4412667026244825E-14</v>
      </c>
      <c r="CN184" s="22">
        <f t="shared" si="172"/>
        <v>23.88342451880273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2.4829205358400945E-14</v>
      </c>
      <c r="CV184" s="13">
        <f t="shared" si="173"/>
        <v>4.3867331143352915E-13</v>
      </c>
      <c r="CW184" s="20">
        <f t="shared" si="174"/>
        <v>8.0726688341261168E-13</v>
      </c>
      <c r="CX184" s="59">
        <f t="shared" si="122"/>
        <v>289.47336565868488</v>
      </c>
      <c r="CY184" s="59">
        <f ca="1">AVERAGE(OFFSET($CX$3,0,0,'Données projet'!$E$13+1,1))-AVERAGE(OFFSET($H$3,0,0,'Données projet'!$E$13+1,1))</f>
        <v>287.28439432670405</v>
      </c>
      <c r="CZ184" s="59">
        <f t="shared" si="150"/>
        <v>276.01618888357268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4.4631937851229431</v>
      </c>
      <c r="DG184" s="21">
        <f>EXP(-LN(2)/25)*DG183+(1-EXP(-LN(2)/25))/(LN(2)/25)*Calculateur!DB184*Calculateur!DD184*VLOOKUP('Données projet'!$B$13,Paramètres!$A$1:$I$89,3,0)*0.475*44/12</f>
        <v>2.2186241787441046</v>
      </c>
      <c r="DH184" s="21">
        <f>EXP(-LN(2)/2)*DH183+(1-EXP(-LN(2)/2))/(LN(2)/2)*DB184*DE184*VLOOKUP('Données projet'!$B$13,Paramètres!$A$1:$I$89,3,0)*0.475*44/12</f>
        <v>2.8542046117585002E-14</v>
      </c>
      <c r="DI184" s="22">
        <f t="shared" si="175"/>
        <v>6.6818179638670756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9">
        <f t="shared" si="109"/>
        <v>663.15978243301083</v>
      </c>
      <c r="S185" s="59">
        <f ca="1">AVERAGE(OFFSET($R$3,0,0,'Données projet'!$E$9+1,1))-AVERAGE(OFFSET($H$3,0,0,'Données projet'!$E$9+1,1))</f>
        <v>681.47578137804555</v>
      </c>
      <c r="T185" s="59">
        <f t="shared" si="142"/>
        <v>300.88511065995885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1.7053025658242404E-13</v>
      </c>
      <c r="AJ185" s="13">
        <f>AI185*VLOOKUP('Données projet'!$B$10,Paramètres!$A$1:$I$89,3,0)*VLOOKUP('Données projet'!$B$10,Paramètres!$A$1:$I$89,5,0)</f>
        <v>7.9808160080574461E-14</v>
      </c>
      <c r="AK185" s="13">
        <f t="shared" si="164"/>
        <v>1.2308384591775343E-12</v>
      </c>
      <c r="AL185" s="20">
        <f t="shared" si="165"/>
        <v>2.282709528541206E-12</v>
      </c>
      <c r="AM185" s="59">
        <f t="shared" si="113"/>
        <v>289.54032746824669</v>
      </c>
      <c r="AN185" s="59">
        <f ca="1">AVERAGE(OFFSET($AM$3,0,0,'Données projet'!$E$10+1,1))-AVERAGE(OFFSET($H$3,0,0,'Données projet'!$E$10+1,1))</f>
        <v>374.38106339726073</v>
      </c>
      <c r="AO185" s="59">
        <f t="shared" si="144"/>
        <v>296.53283288925957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52.975513092323027</v>
      </c>
      <c r="AV185" s="21">
        <f>EXP(-LN(2)/25)*AV184+(1-EXP(-LN(2)/25))/(LN(2)/25)*Calculateur!AQ185*Calculateur!AS185*VLOOKUP('Données projet'!$B$10,Paramètres!$A$1:$I$89,3,0)*0.475*44/12</f>
        <v>10.921236751386806</v>
      </c>
      <c r="AW185" s="21">
        <f>EXP(-LN(2)/2)*AW184+(1-EXP(-LN(2)/2))/(LN(2)/2)*AQ185*AT185*VLOOKUP('Données projet'!$B$10,Paramètres!$A$1:$I$89,3,0)*0.475*44/12</f>
        <v>6.8296130843225129E-7</v>
      </c>
      <c r="AX185" s="21">
        <f t="shared" si="166"/>
        <v>63.896750526671141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1.0818439477588981E-13</v>
      </c>
      <c r="BF185" s="13">
        <f t="shared" si="167"/>
        <v>1.6104228458716316E-12</v>
      </c>
      <c r="BG185" s="20">
        <f t="shared" si="168"/>
        <v>2.9932409441277661E-12</v>
      </c>
      <c r="BH185" s="59">
        <f t="shared" si="116"/>
        <v>289.54032746824743</v>
      </c>
      <c r="BI185" s="59">
        <f ca="1">AVERAGE(OFFSET($BH$3,0,0,'Données projet'!$E$11+1,1))-AVERAGE(OFFSET($H$3,0,0,'Données projet'!$E$11+1,1))</f>
        <v>423.80243030843661</v>
      </c>
      <c r="BJ185" s="59">
        <f t="shared" si="146"/>
        <v>260.29028006191834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13.471933818865093</v>
      </c>
      <c r="BQ185" s="21">
        <f>EXP(-LN(2)/25)*BQ184+(1-EXP(-LN(2)/25))/(LN(2)/25)*Calculateur!BL185*Calculateur!BN185*VLOOKUP('Données projet'!$B$11,Paramètres!$A$1:$I$89,3,0)*0.475*44/12</f>
        <v>8.2854022790459307</v>
      </c>
      <c r="BR185" s="21">
        <f>EXP(-LN(2)/2)*BR184+(1-EXP(-LN(2)/2))/(LN(2)/2)*BL185*BO185*VLOOKUP('Données projet'!$B$11,Paramètres!$A$1:$I$89,3,0)*0.475*44/12</f>
        <v>3.0198344753172578E-8</v>
      </c>
      <c r="BS185" s="22">
        <f t="shared" si="169"/>
        <v>21.757336128109365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-1.3596945791505279E-13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373.61861223558259</v>
      </c>
      <c r="CE185" s="59">
        <f t="shared" si="148"/>
        <v>277.62293009761049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20.331179446959958</v>
      </c>
      <c r="CL185" s="21">
        <f>EXP(-LN(2)/25)*CL184+(1-EXP(-LN(2)/25))/(LN(2)/25)*Calculateur!CG185*Calculateur!CI185*VLOOKUP('Données projet'!$B$12,Paramètres!$A$1:$I$89,3,0)*0.475*44/12</f>
        <v>3.0595724713705361</v>
      </c>
      <c r="CM185" s="21">
        <f>EXP(-LN(2)/2)*CM184+(1-EXP(-LN(2)/2))/(LN(2)/2)*CG185*CJ185*VLOOKUP('Données projet'!$B$12,Paramètres!$A$1:$I$89,3,0)*0.475*44/12</f>
        <v>3.1404498024837893E-14</v>
      </c>
      <c r="CN185" s="22">
        <f t="shared" si="172"/>
        <v>23.390751918330526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2.4829205358400945E-14</v>
      </c>
      <c r="CV185" s="13">
        <f t="shared" si="173"/>
        <v>4.3867331143352915E-13</v>
      </c>
      <c r="CW185" s="20">
        <f t="shared" si="174"/>
        <v>8.0726688341261168E-13</v>
      </c>
      <c r="CX185" s="59">
        <f t="shared" si="122"/>
        <v>289.54032746824521</v>
      </c>
      <c r="CY185" s="59">
        <f ca="1">AVERAGE(OFFSET($CX$3,0,0,'Données projet'!$E$13+1,1))-AVERAGE(OFFSET($H$3,0,0,'Données projet'!$E$13+1,1))</f>
        <v>287.28439432670405</v>
      </c>
      <c r="CZ185" s="59">
        <f t="shared" si="150"/>
        <v>276.01618888357268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4.3756732772760882</v>
      </c>
      <c r="DG185" s="21">
        <f>EXP(-LN(2)/25)*DG184+(1-EXP(-LN(2)/25))/(LN(2)/25)*Calculateur!DB185*Calculateur!DD185*VLOOKUP('Données projet'!$B$13,Paramètres!$A$1:$I$89,3,0)*0.475*44/12</f>
        <v>2.1579557839039722</v>
      </c>
      <c r="DH185" s="21">
        <f>EXP(-LN(2)/2)*DH184+(1-EXP(-LN(2)/2))/(LN(2)/2)*DB185*DE185*VLOOKUP('Données projet'!$B$13,Paramètres!$A$1:$I$89,3,0)*0.475*44/12</f>
        <v>2.0182274358683527E-14</v>
      </c>
      <c r="DI185" s="22">
        <f t="shared" si="175"/>
        <v>6.5336290611800809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9">
        <f t="shared" si="109"/>
        <v>667.6477520583062</v>
      </c>
      <c r="S186" s="59">
        <f ca="1">AVERAGE(OFFSET($R$3,0,0,'Données projet'!$E$9+1,1))-AVERAGE(OFFSET($H$3,0,0,'Données projet'!$E$9+1,1))</f>
        <v>681.47578137804555</v>
      </c>
      <c r="T186" s="59">
        <f t="shared" si="142"/>
        <v>300.88511065995885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1.7053025658242404E-13</v>
      </c>
      <c r="AJ186" s="13">
        <f>AI186*VLOOKUP('Données projet'!$B$10,Paramètres!$A$1:$I$89,3,0)*VLOOKUP('Données projet'!$B$10,Paramètres!$A$1:$I$89,5,0)</f>
        <v>7.9808160080574461E-14</v>
      </c>
      <c r="AK186" s="13">
        <f t="shared" si="164"/>
        <v>1.2308384591775343E-12</v>
      </c>
      <c r="AL186" s="20">
        <f t="shared" si="165"/>
        <v>2.282709528541206E-12</v>
      </c>
      <c r="AM186" s="59">
        <f t="shared" si="113"/>
        <v>289.60612764011523</v>
      </c>
      <c r="AN186" s="59">
        <f ca="1">AVERAGE(OFFSET($AM$3,0,0,'Données projet'!$E$10+1,1))-AVERAGE(OFFSET($H$3,0,0,'Données projet'!$E$10+1,1))</f>
        <v>374.38106339726073</v>
      </c>
      <c r="AO186" s="59">
        <f t="shared" si="144"/>
        <v>296.53283288925957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51.936695592455024</v>
      </c>
      <c r="AV186" s="21">
        <f>EXP(-LN(2)/25)*AV185+(1-EXP(-LN(2)/25))/(LN(2)/25)*Calculateur!AQ186*Calculateur!AS186*VLOOKUP('Données projet'!$B$10,Paramètres!$A$1:$I$89,3,0)*0.475*44/12</f>
        <v>10.622594958097254</v>
      </c>
      <c r="AW186" s="21">
        <f>EXP(-LN(2)/2)*AW185+(1-EXP(-LN(2)/2))/(LN(2)/2)*AQ186*AT186*VLOOKUP('Données projet'!$B$10,Paramètres!$A$1:$I$89,3,0)*0.475*44/12</f>
        <v>4.8292657248048209E-7</v>
      </c>
      <c r="AX186" s="21">
        <f t="shared" si="166"/>
        <v>62.55929103347885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1.0818439477588981E-13</v>
      </c>
      <c r="BF186" s="13">
        <f t="shared" si="167"/>
        <v>1.6104228458716316E-12</v>
      </c>
      <c r="BG186" s="20">
        <f t="shared" si="168"/>
        <v>2.9932409441277661E-12</v>
      </c>
      <c r="BH186" s="59">
        <f t="shared" si="116"/>
        <v>289.60612764011597</v>
      </c>
      <c r="BI186" s="59">
        <f ca="1">AVERAGE(OFFSET($BH$3,0,0,'Données projet'!$E$11+1,1))-AVERAGE(OFFSET($H$3,0,0,'Données projet'!$E$11+1,1))</f>
        <v>423.80243030843661</v>
      </c>
      <c r="BJ186" s="59">
        <f t="shared" si="146"/>
        <v>260.29028006191834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13.20775741374541</v>
      </c>
      <c r="BQ186" s="21">
        <f>EXP(-LN(2)/25)*BQ185+(1-EXP(-LN(2)/25))/(LN(2)/25)*Calculateur!BL186*Calculateur!BN186*VLOOKUP('Données projet'!$B$11,Paramètres!$A$1:$I$89,3,0)*0.475*44/12</f>
        <v>8.05883751801505</v>
      </c>
      <c r="BR186" s="21">
        <f>EXP(-LN(2)/2)*BR185+(1-EXP(-LN(2)/2))/(LN(2)/2)*BL186*BO186*VLOOKUP('Données projet'!$B$11,Paramètres!$A$1:$I$89,3,0)*0.475*44/12</f>
        <v>2.1353454355577528E-8</v>
      </c>
      <c r="BS186" s="22">
        <f t="shared" si="169"/>
        <v>21.266594953113913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-1.3596945791505279E-13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373.61861223558259</v>
      </c>
      <c r="CE186" s="59">
        <f t="shared" si="148"/>
        <v>277.62293009761049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19.932497418800057</v>
      </c>
      <c r="CL186" s="21">
        <f>EXP(-LN(2)/25)*CL185+(1-EXP(-LN(2)/25))/(LN(2)/25)*Calculateur!CG186*Calculateur!CI186*VLOOKUP('Données projet'!$B$12,Paramètres!$A$1:$I$89,3,0)*0.475*44/12</f>
        <v>2.9759083012449854</v>
      </c>
      <c r="CM186" s="21">
        <f>EXP(-LN(2)/2)*CM185+(1-EXP(-LN(2)/2))/(LN(2)/2)*CG186*CJ186*VLOOKUP('Données projet'!$B$12,Paramètres!$A$1:$I$89,3,0)*0.475*44/12</f>
        <v>2.2206333513122412E-14</v>
      </c>
      <c r="CN186" s="22">
        <f t="shared" si="172"/>
        <v>22.908405720045064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2.4829205358400945E-14</v>
      </c>
      <c r="CV186" s="13">
        <f t="shared" si="173"/>
        <v>4.3867331143352915E-13</v>
      </c>
      <c r="CW186" s="20">
        <f t="shared" si="174"/>
        <v>8.0726688341261168E-13</v>
      </c>
      <c r="CX186" s="59">
        <f t="shared" si="122"/>
        <v>289.60612764011375</v>
      </c>
      <c r="CY186" s="59">
        <f ca="1">AVERAGE(OFFSET($CX$3,0,0,'Données projet'!$E$13+1,1))-AVERAGE(OFFSET($H$3,0,0,'Données projet'!$E$13+1,1))</f>
        <v>287.28439432670405</v>
      </c>
      <c r="CZ186" s="59">
        <f t="shared" si="150"/>
        <v>276.01618888357268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4.2898689932058716</v>
      </c>
      <c r="DG186" s="21">
        <f>EXP(-LN(2)/25)*DG185+(1-EXP(-LN(2)/25))/(LN(2)/25)*Calculateur!DB186*Calculateur!DD186*VLOOKUP('Données projet'!$B$13,Paramètres!$A$1:$I$89,3,0)*0.475*44/12</f>
        <v>2.0989463695111557</v>
      </c>
      <c r="DH186" s="21">
        <f>EXP(-LN(2)/2)*DH185+(1-EXP(-LN(2)/2))/(LN(2)/2)*DB186*DE186*VLOOKUP('Données projet'!$B$13,Paramètres!$A$1:$I$89,3,0)*0.475*44/12</f>
        <v>1.4271023058792501E-14</v>
      </c>
      <c r="DI186" s="22">
        <f t="shared" si="175"/>
        <v>6.3888153627170414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9">
        <f t="shared" si="109"/>
        <v>289.67078632612294</v>
      </c>
      <c r="S187" s="59">
        <f ca="1">AVERAGE(OFFSET($R$3,0,0,'Données projet'!$E$9+1,1))-AVERAGE(OFFSET($H$3,0,0,'Données projet'!$E$9+1,1))</f>
        <v>681.47578137804555</v>
      </c>
      <c r="T187" s="59">
        <f t="shared" si="142"/>
        <v>300.88511065995885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1.7053025658242404E-13</v>
      </c>
      <c r="AJ187" s="13">
        <f>AI187*VLOOKUP('Données projet'!$B$10,Paramètres!$A$1:$I$89,3,0)*VLOOKUP('Données projet'!$B$10,Paramètres!$A$1:$I$89,5,0)</f>
        <v>7.9808160080574461E-14</v>
      </c>
      <c r="AK187" s="13">
        <f t="shared" si="164"/>
        <v>1.2308384591775343E-12</v>
      </c>
      <c r="AL187" s="20">
        <f t="shared" si="165"/>
        <v>2.282709528541206E-12</v>
      </c>
      <c r="AM187" s="59">
        <f t="shared" si="113"/>
        <v>289.67078632610901</v>
      </c>
      <c r="AN187" s="59">
        <f ca="1">AVERAGE(OFFSET($AM$3,0,0,'Données projet'!$E$10+1,1))-AVERAGE(OFFSET($H$3,0,0,'Données projet'!$E$10+1,1))</f>
        <v>374.38106339726073</v>
      </c>
      <c r="AO187" s="59">
        <f t="shared" si="144"/>
        <v>296.53283288925957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50.918248670143328</v>
      </c>
      <c r="AV187" s="21">
        <f>EXP(-LN(2)/25)*AV186+(1-EXP(-LN(2)/25))/(LN(2)/25)*Calculateur!AQ187*Calculateur!AS187*VLOOKUP('Données projet'!$B$10,Paramètres!$A$1:$I$89,3,0)*0.475*44/12</f>
        <v>10.332119540350094</v>
      </c>
      <c r="AW187" s="21">
        <f>EXP(-LN(2)/2)*AW186+(1-EXP(-LN(2)/2))/(LN(2)/2)*AQ187*AT187*VLOOKUP('Données projet'!$B$10,Paramètres!$A$1:$I$89,3,0)*0.475*44/12</f>
        <v>3.4148065421612565E-7</v>
      </c>
      <c r="AX187" s="21">
        <f t="shared" si="166"/>
        <v>61.250368551974077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1.0818439477588981E-13</v>
      </c>
      <c r="BF187" s="13">
        <f t="shared" si="167"/>
        <v>1.6104228458716316E-12</v>
      </c>
      <c r="BG187" s="20">
        <f t="shared" si="168"/>
        <v>2.9932409441277661E-12</v>
      </c>
      <c r="BH187" s="59">
        <f t="shared" si="116"/>
        <v>289.67078632610975</v>
      </c>
      <c r="BI187" s="59">
        <f ca="1">AVERAGE(OFFSET($BH$3,0,0,'Données projet'!$E$11+1,1))-AVERAGE(OFFSET($H$3,0,0,'Données projet'!$E$11+1,1))</f>
        <v>423.80243030843661</v>
      </c>
      <c r="BJ187" s="59">
        <f t="shared" si="146"/>
        <v>260.29028006191834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12.948761346798427</v>
      </c>
      <c r="BQ187" s="21">
        <f>EXP(-LN(2)/25)*BQ186+(1-EXP(-LN(2)/25))/(LN(2)/25)*Calculateur!BL187*Calculateur!BN187*VLOOKUP('Données projet'!$B$11,Paramètres!$A$1:$I$89,3,0)*0.475*44/12</f>
        <v>7.8384681822890823</v>
      </c>
      <c r="BR187" s="21">
        <f>EXP(-LN(2)/2)*BR186+(1-EXP(-LN(2)/2))/(LN(2)/2)*BL187*BO187*VLOOKUP('Données projet'!$B$11,Paramètres!$A$1:$I$89,3,0)*0.475*44/12</f>
        <v>1.5099172376586289E-8</v>
      </c>
      <c r="BS187" s="22">
        <f t="shared" si="169"/>
        <v>20.787229544186683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-1.3596945791505279E-13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373.61861223558259</v>
      </c>
      <c r="CE187" s="59">
        <f t="shared" si="148"/>
        <v>277.62293009761049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19.541633302040349</v>
      </c>
      <c r="CL187" s="21">
        <f>EXP(-LN(2)/25)*CL186+(1-EXP(-LN(2)/25))/(LN(2)/25)*Calculateur!CG187*Calculateur!CI187*VLOOKUP('Données projet'!$B$12,Paramètres!$A$1:$I$89,3,0)*0.475*44/12</f>
        <v>2.8945319322512253</v>
      </c>
      <c r="CM187" s="21">
        <f>EXP(-LN(2)/2)*CM186+(1-EXP(-LN(2)/2))/(LN(2)/2)*CG187*CJ187*VLOOKUP('Données projet'!$B$12,Paramètres!$A$1:$I$89,3,0)*0.475*44/12</f>
        <v>1.5702249012418947E-14</v>
      </c>
      <c r="CN187" s="22">
        <f t="shared" si="172"/>
        <v>22.43616523429159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2.4829205358400945E-14</v>
      </c>
      <c r="CV187" s="13">
        <f t="shared" si="173"/>
        <v>4.3867331143352915E-13</v>
      </c>
      <c r="CW187" s="20">
        <f t="shared" si="174"/>
        <v>8.0726688341261168E-13</v>
      </c>
      <c r="CX187" s="59">
        <f t="shared" si="122"/>
        <v>289.67078632610753</v>
      </c>
      <c r="CY187" s="59">
        <f ca="1">AVERAGE(OFFSET($CX$3,0,0,'Données projet'!$E$13+1,1))-AVERAGE(OFFSET($H$3,0,0,'Données projet'!$E$13+1,1))</f>
        <v>287.28439432670405</v>
      </c>
      <c r="CZ187" s="59">
        <f t="shared" si="150"/>
        <v>276.01618888357268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4.2057472788108266</v>
      </c>
      <c r="DG187" s="21">
        <f>EXP(-LN(2)/25)*DG186+(1-EXP(-LN(2)/25))/(LN(2)/25)*Calculateur!DB187*Calculateur!DD187*VLOOKUP('Données projet'!$B$13,Paramètres!$A$1:$I$89,3,0)*0.475*44/12</f>
        <v>2.0415505706580808</v>
      </c>
      <c r="DH187" s="21">
        <f>EXP(-LN(2)/2)*DH186+(1-EXP(-LN(2)/2))/(LN(2)/2)*DB187*DE187*VLOOKUP('Données projet'!$B$13,Paramètres!$A$1:$I$89,3,0)*0.475*44/12</f>
        <v>1.0091137179341763E-14</v>
      </c>
      <c r="DI187" s="22">
        <f t="shared" si="175"/>
        <v>6.2472978494689171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9">
        <f t="shared" si="109"/>
        <v>289.73432332846994</v>
      </c>
      <c r="S188" s="59">
        <f ca="1">AVERAGE(OFFSET($R$3,0,0,'Données projet'!$E$9+1,1))-AVERAGE(OFFSET($H$3,0,0,'Données projet'!$E$9+1,1))</f>
        <v>681.47578137804555</v>
      </c>
      <c r="T188" s="59">
        <f t="shared" si="142"/>
        <v>300.88511065995885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1.7053025658242404E-13</v>
      </c>
      <c r="AJ188" s="13">
        <f>AI188*VLOOKUP('Données projet'!$B$10,Paramètres!$A$1:$I$89,3,0)*VLOOKUP('Données projet'!$B$10,Paramètres!$A$1:$I$89,5,0)</f>
        <v>7.9808160080574461E-14</v>
      </c>
      <c r="AK188" s="13">
        <f t="shared" si="164"/>
        <v>1.2308384591775343E-12</v>
      </c>
      <c r="AL188" s="20">
        <f t="shared" si="165"/>
        <v>2.282709528541206E-12</v>
      </c>
      <c r="AM188" s="59">
        <f t="shared" si="113"/>
        <v>289.73432332845601</v>
      </c>
      <c r="AN188" s="59">
        <f ca="1">AVERAGE(OFFSET($AM$3,0,0,'Données projet'!$E$10+1,1))-AVERAGE(OFFSET($H$3,0,0,'Données projet'!$E$10+1,1))</f>
        <v>374.38106339726073</v>
      </c>
      <c r="AO188" s="59">
        <f t="shared" si="144"/>
        <v>296.53283288925957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49.919772870786872</v>
      </c>
      <c r="AV188" s="21">
        <f>EXP(-LN(2)/25)*AV187+(1-EXP(-LN(2)/25))/(LN(2)/25)*Calculateur!AQ188*Calculateur!AS188*VLOOKUP('Données projet'!$B$10,Paramètres!$A$1:$I$89,3,0)*0.475*44/12</f>
        <v>10.049587188176668</v>
      </c>
      <c r="AW188" s="21">
        <f>EXP(-LN(2)/2)*AW187+(1-EXP(-LN(2)/2))/(LN(2)/2)*AQ188*AT188*VLOOKUP('Données projet'!$B$10,Paramètres!$A$1:$I$89,3,0)*0.475*44/12</f>
        <v>2.4146328624024104E-7</v>
      </c>
      <c r="AX188" s="21">
        <f t="shared" si="166"/>
        <v>59.969360300426821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1.0818439477588981E-13</v>
      </c>
      <c r="BF188" s="13">
        <f t="shared" si="167"/>
        <v>1.6104228458716316E-12</v>
      </c>
      <c r="BG188" s="20">
        <f t="shared" si="168"/>
        <v>2.9932409441277661E-12</v>
      </c>
      <c r="BH188" s="59">
        <f t="shared" si="116"/>
        <v>289.73432332845675</v>
      </c>
      <c r="BI188" s="59">
        <f ca="1">AVERAGE(OFFSET($BH$3,0,0,'Données projet'!$E$11+1,1))-AVERAGE(OFFSET($H$3,0,0,'Données projet'!$E$11+1,1))</f>
        <v>423.80243030843661</v>
      </c>
      <c r="BJ188" s="59">
        <f t="shared" si="146"/>
        <v>260.29028006191834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12.694844034752272</v>
      </c>
      <c r="BQ188" s="21">
        <f>EXP(-LN(2)/25)*BQ187+(1-EXP(-LN(2)/25))/(LN(2)/25)*Calculateur!BL188*Calculateur!BN188*VLOOKUP('Données projet'!$B$11,Paramètres!$A$1:$I$89,3,0)*0.475*44/12</f>
        <v>7.6241248576372609</v>
      </c>
      <c r="BR188" s="21">
        <f>EXP(-LN(2)/2)*BR187+(1-EXP(-LN(2)/2))/(LN(2)/2)*BL188*BO188*VLOOKUP('Données projet'!$B$11,Paramètres!$A$1:$I$89,3,0)*0.475*44/12</f>
        <v>1.0676727177788764E-8</v>
      </c>
      <c r="BS188" s="22">
        <f t="shared" si="169"/>
        <v>20.318968903066263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-1.3596945791505279E-13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373.61861223558259</v>
      </c>
      <c r="CE188" s="59">
        <f t="shared" si="148"/>
        <v>277.62293009761049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19.158433792206726</v>
      </c>
      <c r="CL188" s="21">
        <f>EXP(-LN(2)/25)*CL187+(1-EXP(-LN(2)/25))/(LN(2)/25)*Calculateur!CG188*Calculateur!CI188*VLOOKUP('Données projet'!$B$12,Paramètres!$A$1:$I$89,3,0)*0.475*44/12</f>
        <v>2.8153808043469968</v>
      </c>
      <c r="CM188" s="21">
        <f>EXP(-LN(2)/2)*CM187+(1-EXP(-LN(2)/2))/(LN(2)/2)*CG188*CJ188*VLOOKUP('Données projet'!$B$12,Paramètres!$A$1:$I$89,3,0)*0.475*44/12</f>
        <v>1.1103166756561206E-14</v>
      </c>
      <c r="CN188" s="22">
        <f t="shared" si="172"/>
        <v>21.973814596553733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2.4829205358400945E-14</v>
      </c>
      <c r="CV188" s="13">
        <f t="shared" si="173"/>
        <v>4.3867331143352915E-13</v>
      </c>
      <c r="CW188" s="20">
        <f t="shared" si="174"/>
        <v>8.0726688341261168E-13</v>
      </c>
      <c r="CX188" s="59">
        <f t="shared" si="122"/>
        <v>289.73432332845454</v>
      </c>
      <c r="CY188" s="59">
        <f ca="1">AVERAGE(OFFSET($CX$3,0,0,'Données projet'!$E$13+1,1))-AVERAGE(OFFSET($H$3,0,0,'Données projet'!$E$13+1,1))</f>
        <v>287.28439432670405</v>
      </c>
      <c r="CZ188" s="59">
        <f t="shared" si="150"/>
        <v>276.01618888357268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4.1232751399258882</v>
      </c>
      <c r="DG188" s="21">
        <f>EXP(-LN(2)/25)*DG187+(1-EXP(-LN(2)/25))/(LN(2)/25)*Calculateur!DB188*Calculateur!DD188*VLOOKUP('Données projet'!$B$13,Paramètres!$A$1:$I$89,3,0)*0.475*44/12</f>
        <v>1.985724262942957</v>
      </c>
      <c r="DH188" s="21">
        <f>EXP(-LN(2)/2)*DH187+(1-EXP(-LN(2)/2))/(LN(2)/2)*DB188*DE188*VLOOKUP('Données projet'!$B$13,Paramètres!$A$1:$I$89,3,0)*0.475*44/12</f>
        <v>7.1355115293962504E-15</v>
      </c>
      <c r="DI188" s="22">
        <f t="shared" si="175"/>
        <v>6.1089994028688519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9">
        <f t="shared" si="109"/>
        <v>289.79675810587361</v>
      </c>
      <c r="S189" s="59">
        <f ca="1">AVERAGE(OFFSET($R$3,0,0,'Données projet'!$E$9+1,1))-AVERAGE(OFFSET($H$3,0,0,'Données projet'!$E$9+1,1))</f>
        <v>681.47578137804555</v>
      </c>
      <c r="T189" s="59">
        <f t="shared" si="142"/>
        <v>300.88511065995885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1.7053025658242404E-13</v>
      </c>
      <c r="AJ189" s="13">
        <f>AI189*VLOOKUP('Données projet'!$B$10,Paramètres!$A$1:$I$89,3,0)*VLOOKUP('Données projet'!$B$10,Paramètres!$A$1:$I$89,5,0)</f>
        <v>7.9808160080574461E-14</v>
      </c>
      <c r="AK189" s="13">
        <f t="shared" si="164"/>
        <v>1.2308384591775343E-12</v>
      </c>
      <c r="AL189" s="20">
        <f t="shared" si="165"/>
        <v>2.282709528541206E-12</v>
      </c>
      <c r="AM189" s="59">
        <f t="shared" si="113"/>
        <v>289.79675810585968</v>
      </c>
      <c r="AN189" s="59">
        <f ca="1">AVERAGE(OFFSET($AM$3,0,0,'Données projet'!$E$10+1,1))-AVERAGE(OFFSET($H$3,0,0,'Données projet'!$E$10+1,1))</f>
        <v>374.38106339726073</v>
      </c>
      <c r="AO189" s="59">
        <f t="shared" si="144"/>
        <v>296.53283288925957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48.940876572845696</v>
      </c>
      <c r="AV189" s="21">
        <f>EXP(-LN(2)/25)*AV188+(1-EXP(-LN(2)/25))/(LN(2)/25)*Calculateur!AQ189*Calculateur!AS189*VLOOKUP('Données projet'!$B$10,Paramètres!$A$1:$I$89,3,0)*0.475*44/12</f>
        <v>9.7747806980311545</v>
      </c>
      <c r="AW189" s="21">
        <f>EXP(-LN(2)/2)*AW188+(1-EXP(-LN(2)/2))/(LN(2)/2)*AQ189*AT189*VLOOKUP('Données projet'!$B$10,Paramètres!$A$1:$I$89,3,0)*0.475*44/12</f>
        <v>1.7074032710806282E-7</v>
      </c>
      <c r="AX189" s="21">
        <f t="shared" si="166"/>
        <v>58.715657441617175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1.0818439477588981E-13</v>
      </c>
      <c r="BF189" s="13">
        <f t="shared" si="167"/>
        <v>1.6104228458716316E-12</v>
      </c>
      <c r="BG189" s="20">
        <f t="shared" si="168"/>
        <v>2.9932409441277661E-12</v>
      </c>
      <c r="BH189" s="59">
        <f t="shared" si="116"/>
        <v>289.79675810586042</v>
      </c>
      <c r="BI189" s="59">
        <f ca="1">AVERAGE(OFFSET($BH$3,0,0,'Données projet'!$E$11+1,1))-AVERAGE(OFFSET($H$3,0,0,'Données projet'!$E$11+1,1))</f>
        <v>423.80243030843661</v>
      </c>
      <c r="BJ189" s="59">
        <f t="shared" si="146"/>
        <v>260.29028006191834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12.445905886321075</v>
      </c>
      <c r="BQ189" s="21">
        <f>EXP(-LN(2)/25)*BQ188+(1-EXP(-LN(2)/25))/(LN(2)/25)*Calculateur!BL189*Calculateur!BN189*VLOOKUP('Données projet'!$B$11,Paramètres!$A$1:$I$89,3,0)*0.475*44/12</f>
        <v>7.4156427624698686</v>
      </c>
      <c r="BR189" s="21">
        <f>EXP(-LN(2)/2)*BR188+(1-EXP(-LN(2)/2))/(LN(2)/2)*BL189*BO189*VLOOKUP('Données projet'!$B$11,Paramètres!$A$1:$I$89,3,0)*0.475*44/12</f>
        <v>7.5495861882931446E-9</v>
      </c>
      <c r="BS189" s="22">
        <f t="shared" si="169"/>
        <v>19.861548656340531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-1.3596945791505279E-13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373.61861223558259</v>
      </c>
      <c r="CE189" s="59">
        <f t="shared" si="148"/>
        <v>277.62293009761049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18.78274859103232</v>
      </c>
      <c r="CL189" s="21">
        <f>EXP(-LN(2)/25)*CL188+(1-EXP(-LN(2)/25))/(LN(2)/25)*Calculateur!CG189*Calculateur!CI189*VLOOKUP('Données projet'!$B$12,Paramètres!$A$1:$I$89,3,0)*0.475*44/12</f>
        <v>2.7383940681976862</v>
      </c>
      <c r="CM189" s="21">
        <f>EXP(-LN(2)/2)*CM188+(1-EXP(-LN(2)/2))/(LN(2)/2)*CG189*CJ189*VLOOKUP('Données projet'!$B$12,Paramètres!$A$1:$I$89,3,0)*0.475*44/12</f>
        <v>7.8511245062094733E-15</v>
      </c>
      <c r="CN189" s="22">
        <f t="shared" si="172"/>
        <v>21.521142659230012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2.4829205358400945E-14</v>
      </c>
      <c r="CV189" s="13">
        <f t="shared" si="173"/>
        <v>4.3867331143352915E-13</v>
      </c>
      <c r="CW189" s="20">
        <f t="shared" si="174"/>
        <v>8.0726688341261168E-13</v>
      </c>
      <c r="CX189" s="59">
        <f t="shared" si="122"/>
        <v>289.7967581058582</v>
      </c>
      <c r="CY189" s="59">
        <f ca="1">AVERAGE(OFFSET($CX$3,0,0,'Données projet'!$E$13+1,1))-AVERAGE(OFFSET($H$3,0,0,'Données projet'!$E$13+1,1))</f>
        <v>287.28439432670405</v>
      </c>
      <c r="CZ189" s="59">
        <f t="shared" si="150"/>
        <v>276.01618888357268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4.0424202293814462</v>
      </c>
      <c r="DG189" s="21">
        <f>EXP(-LN(2)/25)*DG188+(1-EXP(-LN(2)/25))/(LN(2)/25)*Calculateur!DB189*Calculateur!DD189*VLOOKUP('Données projet'!$B$13,Paramètres!$A$1:$I$89,3,0)*0.475*44/12</f>
        <v>1.9314245285480813</v>
      </c>
      <c r="DH189" s="21">
        <f>EXP(-LN(2)/2)*DH188+(1-EXP(-LN(2)/2))/(LN(2)/2)*DB189*DE189*VLOOKUP('Données projet'!$B$13,Paramètres!$A$1:$I$89,3,0)*0.475*44/12</f>
        <v>5.0455685896708816E-15</v>
      </c>
      <c r="DI189" s="22">
        <f t="shared" si="175"/>
        <v>5.9738447579295331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9">
        <f t="shared" si="109"/>
        <v>289.85810977947261</v>
      </c>
      <c r="S190" s="59">
        <f ca="1">AVERAGE(OFFSET($R$3,0,0,'Données projet'!$E$9+1,1))-AVERAGE(OFFSET($H$3,0,0,'Données projet'!$E$9+1,1))</f>
        <v>681.47578137804555</v>
      </c>
      <c r="T190" s="59">
        <f t="shared" si="142"/>
        <v>300.88511065995885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1.7053025658242404E-13</v>
      </c>
      <c r="AJ190" s="13">
        <f>AI190*VLOOKUP('Données projet'!$B$10,Paramètres!$A$1:$I$89,3,0)*VLOOKUP('Données projet'!$B$10,Paramètres!$A$1:$I$89,5,0)</f>
        <v>7.9808160080574461E-14</v>
      </c>
      <c r="AK190" s="13">
        <f t="shared" si="164"/>
        <v>1.2308384591775343E-12</v>
      </c>
      <c r="AL190" s="20">
        <f t="shared" si="165"/>
        <v>2.282709528541206E-12</v>
      </c>
      <c r="AM190" s="59">
        <f t="shared" si="113"/>
        <v>289.85810977945869</v>
      </c>
      <c r="AN190" s="59">
        <f ca="1">AVERAGE(OFFSET($AM$3,0,0,'Données projet'!$E$10+1,1))-AVERAGE(OFFSET($H$3,0,0,'Données projet'!$E$10+1,1))</f>
        <v>374.38106339726073</v>
      </c>
      <c r="AO190" s="59">
        <f t="shared" si="144"/>
        <v>296.53283288925957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47.981175834239359</v>
      </c>
      <c r="AV190" s="21">
        <f>EXP(-LN(2)/25)*AV189+(1-EXP(-LN(2)/25))/(LN(2)/25)*Calculateur!AQ190*Calculateur!AS190*VLOOKUP('Données projet'!$B$10,Paramètres!$A$1:$I$89,3,0)*0.475*44/12</f>
        <v>9.5074888058101159</v>
      </c>
      <c r="AW190" s="21">
        <f>EXP(-LN(2)/2)*AW189+(1-EXP(-LN(2)/2))/(LN(2)/2)*AQ190*AT190*VLOOKUP('Données projet'!$B$10,Paramètres!$A$1:$I$89,3,0)*0.475*44/12</f>
        <v>1.2073164312012052E-7</v>
      </c>
      <c r="AX190" s="21">
        <f t="shared" si="166"/>
        <v>57.48866476078112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1.0818439477588981E-13</v>
      </c>
      <c r="BF190" s="13">
        <f t="shared" si="167"/>
        <v>1.6104228458716316E-12</v>
      </c>
      <c r="BG190" s="20">
        <f t="shared" si="168"/>
        <v>2.9932409441277661E-12</v>
      </c>
      <c r="BH190" s="59">
        <f t="shared" si="116"/>
        <v>289.85810977945943</v>
      </c>
      <c r="BI190" s="59">
        <f ca="1">AVERAGE(OFFSET($BH$3,0,0,'Données projet'!$E$11+1,1))-AVERAGE(OFFSET($H$3,0,0,'Données projet'!$E$11+1,1))</f>
        <v>423.80243030843661</v>
      </c>
      <c r="BJ190" s="59">
        <f t="shared" si="146"/>
        <v>260.29028006191834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12.201849263143336</v>
      </c>
      <c r="BQ190" s="21">
        <f>EXP(-LN(2)/25)*BQ189+(1-EXP(-LN(2)/25))/(LN(2)/25)*Calculateur!BL190*Calculateur!BN190*VLOOKUP('Données projet'!$B$11,Paramètres!$A$1:$I$89,3,0)*0.475*44/12</f>
        <v>7.2128616211584262</v>
      </c>
      <c r="BR190" s="21">
        <f>EXP(-LN(2)/2)*BR189+(1-EXP(-LN(2)/2))/(LN(2)/2)*BL190*BO190*VLOOKUP('Données projet'!$B$11,Paramètres!$A$1:$I$89,3,0)*0.475*44/12</f>
        <v>5.3383635888943819E-9</v>
      </c>
      <c r="BS190" s="22">
        <f t="shared" si="169"/>
        <v>19.414710889640126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-1.3596945791505279E-13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373.61861223558259</v>
      </c>
      <c r="CE190" s="59">
        <f t="shared" si="148"/>
        <v>277.62293009761049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18.414430347507597</v>
      </c>
      <c r="CL190" s="21">
        <f>EXP(-LN(2)/25)*CL189+(1-EXP(-LN(2)/25))/(LN(2)/25)*Calculateur!CG190*Calculateur!CI190*VLOOKUP('Données projet'!$B$12,Paramètres!$A$1:$I$89,3,0)*0.475*44/12</f>
        <v>2.6635125383969349</v>
      </c>
      <c r="CM190" s="21">
        <f>EXP(-LN(2)/2)*CM189+(1-EXP(-LN(2)/2))/(LN(2)/2)*CG190*CJ190*VLOOKUP('Données projet'!$B$12,Paramètres!$A$1:$I$89,3,0)*0.475*44/12</f>
        <v>5.5515833782806031E-15</v>
      </c>
      <c r="CN190" s="22">
        <f t="shared" si="172"/>
        <v>21.077942885904541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2.4829205358400945E-14</v>
      </c>
      <c r="CV190" s="13">
        <f t="shared" si="173"/>
        <v>4.3867331143352915E-13</v>
      </c>
      <c r="CW190" s="20">
        <f t="shared" si="174"/>
        <v>8.0726688341261168E-13</v>
      </c>
      <c r="CX190" s="59">
        <f t="shared" si="122"/>
        <v>289.85810977945721</v>
      </c>
      <c r="CY190" s="59">
        <f ca="1">AVERAGE(OFFSET($CX$3,0,0,'Données projet'!$E$13+1,1))-AVERAGE(OFFSET($H$3,0,0,'Données projet'!$E$13+1,1))</f>
        <v>287.28439432670405</v>
      </c>
      <c r="CZ190" s="59">
        <f t="shared" si="150"/>
        <v>276.01618888357268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3.963150834316155</v>
      </c>
      <c r="DG190" s="21">
        <f>EXP(-LN(2)/25)*DG189+(1-EXP(-LN(2)/25))/(LN(2)/25)*Calculateur!DB190*Calculateur!DD190*VLOOKUP('Données projet'!$B$13,Paramètres!$A$1:$I$89,3,0)*0.475*44/12</f>
        <v>1.8786096232457323</v>
      </c>
      <c r="DH190" s="21">
        <f>EXP(-LN(2)/2)*DH189+(1-EXP(-LN(2)/2))/(LN(2)/2)*DB190*DE190*VLOOKUP('Données projet'!$B$13,Paramètres!$A$1:$I$89,3,0)*0.475*44/12</f>
        <v>3.5677557646981252E-15</v>
      </c>
      <c r="DI190" s="22">
        <f t="shared" si="175"/>
        <v>5.8417604575618913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9">
        <f t="shared" si="109"/>
        <v>289.91839713869643</v>
      </c>
      <c r="S191" s="59">
        <f ca="1">AVERAGE(OFFSET($R$3,0,0,'Données projet'!$E$9+1,1))-AVERAGE(OFFSET($H$3,0,0,'Données projet'!$E$9+1,1))</f>
        <v>681.47578137804555</v>
      </c>
      <c r="T191" s="59">
        <f t="shared" si="142"/>
        <v>300.88511065995885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1.7053025658242404E-13</v>
      </c>
      <c r="AJ191" s="13">
        <f>AI191*VLOOKUP('Données projet'!$B$10,Paramètres!$A$1:$I$89,3,0)*VLOOKUP('Données projet'!$B$10,Paramètres!$A$1:$I$89,5,0)</f>
        <v>7.9808160080574461E-14</v>
      </c>
      <c r="AK191" s="13">
        <f t="shared" si="164"/>
        <v>1.2308384591775343E-12</v>
      </c>
      <c r="AL191" s="20">
        <f t="shared" si="165"/>
        <v>2.282709528541206E-12</v>
      </c>
      <c r="AM191" s="59">
        <f t="shared" si="113"/>
        <v>289.91839713868251</v>
      </c>
      <c r="AN191" s="59">
        <f ca="1">AVERAGE(OFFSET($AM$3,0,0,'Données projet'!$E$10+1,1))-AVERAGE(OFFSET($H$3,0,0,'Données projet'!$E$10+1,1))</f>
        <v>374.38106339726073</v>
      </c>
      <c r="AO191" s="59">
        <f t="shared" si="144"/>
        <v>296.53283288925957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47.040294241757444</v>
      </c>
      <c r="AV191" s="21">
        <f>EXP(-LN(2)/25)*AV190+(1-EXP(-LN(2)/25))/(LN(2)/25)*Calculateur!AQ191*Calculateur!AS191*VLOOKUP('Données projet'!$B$10,Paramètres!$A$1:$I$89,3,0)*0.475*44/12</f>
        <v>9.2475060244381311</v>
      </c>
      <c r="AW191" s="21">
        <f>EXP(-LN(2)/2)*AW190+(1-EXP(-LN(2)/2))/(LN(2)/2)*AQ191*AT191*VLOOKUP('Données projet'!$B$10,Paramètres!$A$1:$I$89,3,0)*0.475*44/12</f>
        <v>8.5370163554031411E-8</v>
      </c>
      <c r="AX191" s="21">
        <f t="shared" si="166"/>
        <v>56.287800351565735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1.0818439477588981E-13</v>
      </c>
      <c r="BF191" s="13">
        <f t="shared" si="167"/>
        <v>1.6104228458716316E-12</v>
      </c>
      <c r="BG191" s="20">
        <f t="shared" si="168"/>
        <v>2.9932409441277661E-12</v>
      </c>
      <c r="BH191" s="59">
        <f t="shared" si="116"/>
        <v>289.91839713868325</v>
      </c>
      <c r="BI191" s="59">
        <f ca="1">AVERAGE(OFFSET($BH$3,0,0,'Données projet'!$E$11+1,1))-AVERAGE(OFFSET($H$3,0,0,'Données projet'!$E$11+1,1))</f>
        <v>423.80243030843661</v>
      </c>
      <c r="BJ191" s="59">
        <f t="shared" si="146"/>
        <v>260.29028006191834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11.96257844148627</v>
      </c>
      <c r="BQ191" s="21">
        <f>EXP(-LN(2)/25)*BQ190+(1-EXP(-LN(2)/25))/(LN(2)/25)*Calculateur!BL191*Calculateur!BN191*VLOOKUP('Données projet'!$B$11,Paramètres!$A$1:$I$89,3,0)*0.475*44/12</f>
        <v>7.0156255408199417</v>
      </c>
      <c r="BR191" s="21">
        <f>EXP(-LN(2)/2)*BR190+(1-EXP(-LN(2)/2))/(LN(2)/2)*BL191*BO191*VLOOKUP('Données projet'!$B$11,Paramètres!$A$1:$I$89,3,0)*0.475*44/12</f>
        <v>3.7747930941465723E-9</v>
      </c>
      <c r="BS191" s="22">
        <f t="shared" si="169"/>
        <v>18.978203986081006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-1.3596945791505279E-13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373.61861223558259</v>
      </c>
      <c r="CE191" s="59">
        <f t="shared" si="148"/>
        <v>277.62293009761049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18.053334600086448</v>
      </c>
      <c r="CL191" s="21">
        <f>EXP(-LN(2)/25)*CL190+(1-EXP(-LN(2)/25))/(LN(2)/25)*Calculateur!CG191*Calculateur!CI191*VLOOKUP('Données projet'!$B$12,Paramètres!$A$1:$I$89,3,0)*0.475*44/12</f>
        <v>2.5906786479664339</v>
      </c>
      <c r="CM191" s="21">
        <f>EXP(-LN(2)/2)*CM190+(1-EXP(-LN(2)/2))/(LN(2)/2)*CG191*CJ191*VLOOKUP('Données projet'!$B$12,Paramètres!$A$1:$I$89,3,0)*0.475*44/12</f>
        <v>3.9255622531047366E-15</v>
      </c>
      <c r="CN191" s="22">
        <f t="shared" si="172"/>
        <v>20.644013248052886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2.4829205358400945E-14</v>
      </c>
      <c r="CV191" s="13">
        <f t="shared" si="173"/>
        <v>4.3867331143352915E-13</v>
      </c>
      <c r="CW191" s="20">
        <f t="shared" si="174"/>
        <v>8.0726688341261168E-13</v>
      </c>
      <c r="CX191" s="59">
        <f t="shared" si="122"/>
        <v>289.91839713868103</v>
      </c>
      <c r="CY191" s="59">
        <f ca="1">AVERAGE(OFFSET($CX$3,0,0,'Données projet'!$E$13+1,1))-AVERAGE(OFFSET($H$3,0,0,'Données projet'!$E$13+1,1))</f>
        <v>287.28439432670405</v>
      </c>
      <c r="CZ191" s="59">
        <f t="shared" si="150"/>
        <v>276.01618888357268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3.8854358637385373</v>
      </c>
      <c r="DG191" s="21">
        <f>EXP(-LN(2)/25)*DG190+(1-EXP(-LN(2)/25))/(LN(2)/25)*Calculateur!DB191*Calculateur!DD191*VLOOKUP('Données projet'!$B$13,Paramètres!$A$1:$I$89,3,0)*0.475*44/12</f>
        <v>1.8272389443062913</v>
      </c>
      <c r="DH191" s="21">
        <f>EXP(-LN(2)/2)*DH190+(1-EXP(-LN(2)/2))/(LN(2)/2)*DB191*DE191*VLOOKUP('Données projet'!$B$13,Paramètres!$A$1:$I$89,3,0)*0.475*44/12</f>
        <v>2.5227842948354408E-15</v>
      </c>
      <c r="DI191" s="22">
        <f t="shared" si="175"/>
        <v>5.7126748080448317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9">
        <f t="shared" si="109"/>
        <v>289.97763864702006</v>
      </c>
      <c r="S192" s="59">
        <f ca="1">AVERAGE(OFFSET($R$3,0,0,'Données projet'!$E$9+1,1))-AVERAGE(OFFSET($H$3,0,0,'Données projet'!$E$9+1,1))</f>
        <v>681.47578137804555</v>
      </c>
      <c r="T192" s="59">
        <f t="shared" si="142"/>
        <v>300.88511065995885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1.7053025658242404E-13</v>
      </c>
      <c r="AJ192" s="13">
        <f>AI192*VLOOKUP('Données projet'!$B$10,Paramètres!$A$1:$I$89,3,0)*VLOOKUP('Données projet'!$B$10,Paramètres!$A$1:$I$89,5,0)</f>
        <v>7.9808160080574461E-14</v>
      </c>
      <c r="AK192" s="13">
        <f t="shared" si="164"/>
        <v>1.2308384591775343E-12</v>
      </c>
      <c r="AL192" s="20">
        <f t="shared" si="165"/>
        <v>2.282709528541206E-12</v>
      </c>
      <c r="AM192" s="59">
        <f t="shared" si="113"/>
        <v>289.97763864700613</v>
      </c>
      <c r="AN192" s="59">
        <f ca="1">AVERAGE(OFFSET($AM$3,0,0,'Données projet'!$E$10+1,1))-AVERAGE(OFFSET($H$3,0,0,'Données projet'!$E$10+1,1))</f>
        <v>374.38106339726073</v>
      </c>
      <c r="AO192" s="59">
        <f t="shared" si="144"/>
        <v>296.53283288925957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46.117862763422991</v>
      </c>
      <c r="AV192" s="21">
        <f>EXP(-LN(2)/25)*AV191+(1-EXP(-LN(2)/25))/(LN(2)/25)*Calculateur!AQ192*Calculateur!AS192*VLOOKUP('Données projet'!$B$10,Paramètres!$A$1:$I$89,3,0)*0.475*44/12</f>
        <v>8.9946324858946642</v>
      </c>
      <c r="AW192" s="21">
        <f>EXP(-LN(2)/2)*AW191+(1-EXP(-LN(2)/2))/(LN(2)/2)*AQ192*AT192*VLOOKUP('Données projet'!$B$10,Paramètres!$A$1:$I$89,3,0)*0.475*44/12</f>
        <v>6.0365821560060261E-8</v>
      </c>
      <c r="AX192" s="21">
        <f t="shared" si="166"/>
        <v>55.112495309683474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1.0818439477588981E-13</v>
      </c>
      <c r="BF192" s="13">
        <f t="shared" si="167"/>
        <v>1.6104228458716316E-12</v>
      </c>
      <c r="BG192" s="20">
        <f t="shared" si="168"/>
        <v>2.9932409441277661E-12</v>
      </c>
      <c r="BH192" s="59">
        <f t="shared" si="116"/>
        <v>289.97763864700687</v>
      </c>
      <c r="BI192" s="59">
        <f ca="1">AVERAGE(OFFSET($BH$3,0,0,'Données projet'!$E$11+1,1))-AVERAGE(OFFSET($H$3,0,0,'Données projet'!$E$11+1,1))</f>
        <v>423.80243030843661</v>
      </c>
      <c r="BJ192" s="59">
        <f t="shared" si="146"/>
        <v>260.29028006191834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11.727999574701109</v>
      </c>
      <c r="BQ192" s="21">
        <f>EXP(-LN(2)/25)*BQ191+(1-EXP(-LN(2)/25))/(LN(2)/25)*Calculateur!BL192*Calculateur!BN192*VLOOKUP('Données projet'!$B$11,Paramètres!$A$1:$I$89,3,0)*0.475*44/12</f>
        <v>6.8237828914705076</v>
      </c>
      <c r="BR192" s="21">
        <f>EXP(-LN(2)/2)*BR191+(1-EXP(-LN(2)/2))/(LN(2)/2)*BL192*BO192*VLOOKUP('Données projet'!$B$11,Paramètres!$A$1:$I$89,3,0)*0.475*44/12</f>
        <v>2.669181794447191E-9</v>
      </c>
      <c r="BS192" s="22">
        <f t="shared" si="169"/>
        <v>18.551782468840798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-1.3596945791505279E-13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373.61861223558259</v>
      </c>
      <c r="CE192" s="59">
        <f t="shared" si="148"/>
        <v>277.62293009761049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17.699319720025567</v>
      </c>
      <c r="CL192" s="21">
        <f>EXP(-LN(2)/25)*CL191+(1-EXP(-LN(2)/25))/(LN(2)/25)*Calculateur!CG192*Calculateur!CI192*VLOOKUP('Données projet'!$B$12,Paramètres!$A$1:$I$89,3,0)*0.475*44/12</f>
        <v>2.5198364040999226</v>
      </c>
      <c r="CM192" s="21">
        <f>EXP(-LN(2)/2)*CM191+(1-EXP(-LN(2)/2))/(LN(2)/2)*CG192*CJ192*VLOOKUP('Données projet'!$B$12,Paramètres!$A$1:$I$89,3,0)*0.475*44/12</f>
        <v>2.7757916891403015E-15</v>
      </c>
      <c r="CN192" s="22">
        <f t="shared" si="172"/>
        <v>20.219156124125494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2.4829205358400945E-14</v>
      </c>
      <c r="CV192" s="13">
        <f t="shared" si="173"/>
        <v>4.3867331143352915E-13</v>
      </c>
      <c r="CW192" s="20">
        <f t="shared" si="174"/>
        <v>8.0726688341261168E-13</v>
      </c>
      <c r="CX192" s="59">
        <f t="shared" si="122"/>
        <v>289.97763864700465</v>
      </c>
      <c r="CY192" s="59">
        <f ca="1">AVERAGE(OFFSET($CX$3,0,0,'Données projet'!$E$13+1,1))-AVERAGE(OFFSET($H$3,0,0,'Données projet'!$E$13+1,1))</f>
        <v>287.28439432670405</v>
      </c>
      <c r="CZ192" s="59">
        <f t="shared" si="150"/>
        <v>276.01618888357268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3.8092448363324949</v>
      </c>
      <c r="DG192" s="21">
        <f>EXP(-LN(2)/25)*DG191+(1-EXP(-LN(2)/25))/(LN(2)/25)*Calculateur!DB192*Calculateur!DD192*VLOOKUP('Données projet'!$B$13,Paramètres!$A$1:$I$89,3,0)*0.475*44/12</f>
        <v>1.7772729992839158</v>
      </c>
      <c r="DH192" s="21">
        <f>EXP(-LN(2)/2)*DH191+(1-EXP(-LN(2)/2))/(LN(2)/2)*DB192*DE192*VLOOKUP('Données projet'!$B$13,Paramètres!$A$1:$I$89,3,0)*0.475*44/12</f>
        <v>1.7838778823490626E-15</v>
      </c>
      <c r="DI192" s="22">
        <f t="shared" si="175"/>
        <v>5.5865178356164122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9">
        <f t="shared" si="109"/>
        <v>290.03585244761848</v>
      </c>
      <c r="S193" s="59">
        <f ca="1">AVERAGE(OFFSET($R$3,0,0,'Données projet'!$E$9+1,1))-AVERAGE(OFFSET($H$3,0,0,'Données projet'!$E$9+1,1))</f>
        <v>681.47578137804555</v>
      </c>
      <c r="T193" s="59">
        <f t="shared" si="142"/>
        <v>300.88511065995885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1.7053025658242404E-13</v>
      </c>
      <c r="AJ193" s="13">
        <f>AI193*VLOOKUP('Données projet'!$B$10,Paramètres!$A$1:$I$89,3,0)*VLOOKUP('Données projet'!$B$10,Paramètres!$A$1:$I$89,5,0)</f>
        <v>7.9808160080574461E-14</v>
      </c>
      <c r="AK193" s="13">
        <f t="shared" si="164"/>
        <v>1.2308384591775343E-12</v>
      </c>
      <c r="AL193" s="20">
        <f t="shared" si="165"/>
        <v>2.282709528541206E-12</v>
      </c>
      <c r="AM193" s="59">
        <f t="shared" si="113"/>
        <v>290.03585244760455</v>
      </c>
      <c r="AN193" s="59">
        <f ca="1">AVERAGE(OFFSET($AM$3,0,0,'Données projet'!$E$10+1,1))-AVERAGE(OFFSET($H$3,0,0,'Données projet'!$E$10+1,1))</f>
        <v>374.38106339726073</v>
      </c>
      <c r="AO193" s="59">
        <f t="shared" si="144"/>
        <v>296.53283288925957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45.213519603751031</v>
      </c>
      <c r="AV193" s="21">
        <f>EXP(-LN(2)/25)*AV192+(1-EXP(-LN(2)/25))/(LN(2)/25)*Calculateur!AQ193*Calculateur!AS193*VLOOKUP('Données projet'!$B$10,Paramètres!$A$1:$I$89,3,0)*0.475*44/12</f>
        <v>8.7486737875607101</v>
      </c>
      <c r="AW193" s="21">
        <f>EXP(-LN(2)/2)*AW192+(1-EXP(-LN(2)/2))/(LN(2)/2)*AQ193*AT193*VLOOKUP('Données projet'!$B$10,Paramètres!$A$1:$I$89,3,0)*0.475*44/12</f>
        <v>4.2685081777015706E-8</v>
      </c>
      <c r="AX193" s="21">
        <f t="shared" si="166"/>
        <v>53.962193433996823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1.0818439477588981E-13</v>
      </c>
      <c r="BF193" s="13">
        <f t="shared" si="167"/>
        <v>1.6104228458716316E-12</v>
      </c>
      <c r="BG193" s="20">
        <f t="shared" si="168"/>
        <v>2.9932409441277661E-12</v>
      </c>
      <c r="BH193" s="59">
        <f t="shared" si="116"/>
        <v>290.03585244760529</v>
      </c>
      <c r="BI193" s="59">
        <f ca="1">AVERAGE(OFFSET($BH$3,0,0,'Données projet'!$E$11+1,1))-AVERAGE(OFFSET($H$3,0,0,'Données projet'!$E$11+1,1))</f>
        <v>423.80243030843661</v>
      </c>
      <c r="BJ193" s="59">
        <f t="shared" si="146"/>
        <v>260.29028006191834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11.498020656414623</v>
      </c>
      <c r="BQ193" s="21">
        <f>EXP(-LN(2)/25)*BQ192+(1-EXP(-LN(2)/25))/(LN(2)/25)*Calculateur!BL193*Calculateur!BN193*VLOOKUP('Données projet'!$B$11,Paramètres!$A$1:$I$89,3,0)*0.475*44/12</f>
        <v>6.6371861894561004</v>
      </c>
      <c r="BR193" s="21">
        <f>EXP(-LN(2)/2)*BR192+(1-EXP(-LN(2)/2))/(LN(2)/2)*BL193*BO193*VLOOKUP('Données projet'!$B$11,Paramètres!$A$1:$I$89,3,0)*0.475*44/12</f>
        <v>1.8873965470732862E-9</v>
      </c>
      <c r="BS193" s="22">
        <f t="shared" si="169"/>
        <v>18.13520684775812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-1.3596945791505279E-13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373.61861223558259</v>
      </c>
      <c r="CE193" s="59">
        <f t="shared" si="148"/>
        <v>277.62293009761049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17.352246855834927</v>
      </c>
      <c r="CL193" s="21">
        <f>EXP(-LN(2)/25)*CL192+(1-EXP(-LN(2)/25))/(LN(2)/25)*Calculateur!CG193*Calculateur!CI193*VLOOKUP('Données projet'!$B$12,Paramètres!$A$1:$I$89,3,0)*0.475*44/12</f>
        <v>2.4509313451173731</v>
      </c>
      <c r="CM193" s="21">
        <f>EXP(-LN(2)/2)*CM192+(1-EXP(-LN(2)/2))/(LN(2)/2)*CG193*CJ193*VLOOKUP('Données projet'!$B$12,Paramètres!$A$1:$I$89,3,0)*0.475*44/12</f>
        <v>1.9627811265523683E-15</v>
      </c>
      <c r="CN193" s="22">
        <f t="shared" si="172"/>
        <v>19.803178200952303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2.4829205358400945E-14</v>
      </c>
      <c r="CV193" s="13">
        <f t="shared" si="173"/>
        <v>4.3867331143352915E-13</v>
      </c>
      <c r="CW193" s="20">
        <f t="shared" si="174"/>
        <v>8.0726688341261168E-13</v>
      </c>
      <c r="CX193" s="59">
        <f t="shared" si="122"/>
        <v>290.03585244760308</v>
      </c>
      <c r="CY193" s="59">
        <f ca="1">AVERAGE(OFFSET($CX$3,0,0,'Données projet'!$E$13+1,1))-AVERAGE(OFFSET($H$3,0,0,'Données projet'!$E$13+1,1))</f>
        <v>287.28439432670405</v>
      </c>
      <c r="CZ193" s="59">
        <f t="shared" si="150"/>
        <v>276.01618888357268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3.7345478685019473</v>
      </c>
      <c r="DG193" s="21">
        <f>EXP(-LN(2)/25)*DG192+(1-EXP(-LN(2)/25))/(LN(2)/25)*Calculateur!DB193*Calculateur!DD193*VLOOKUP('Données projet'!$B$13,Paramètres!$A$1:$I$89,3,0)*0.475*44/12</f>
        <v>1.7286733756557722</v>
      </c>
      <c r="DH193" s="21">
        <f>EXP(-LN(2)/2)*DH192+(1-EXP(-LN(2)/2))/(LN(2)/2)*DB193*DE193*VLOOKUP('Données projet'!$B$13,Paramètres!$A$1:$I$89,3,0)*0.475*44/12</f>
        <v>1.2613921474177204E-15</v>
      </c>
      <c r="DI193" s="22">
        <f t="shared" si="175"/>
        <v>5.4632212441577206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9">
        <f t="shared" si="109"/>
        <v>290.09305636892304</v>
      </c>
      <c r="S194" s="59">
        <f ca="1">AVERAGE(OFFSET($R$3,0,0,'Données projet'!$E$9+1,1))-AVERAGE(OFFSET($H$3,0,0,'Données projet'!$E$9+1,1))</f>
        <v>681.47578137804555</v>
      </c>
      <c r="T194" s="59">
        <f t="shared" si="142"/>
        <v>300.88511065995885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1.7053025658242404E-13</v>
      </c>
      <c r="AJ194" s="13">
        <f>AI194*VLOOKUP('Données projet'!$B$10,Paramètres!$A$1:$I$89,3,0)*VLOOKUP('Données projet'!$B$10,Paramètres!$A$1:$I$89,5,0)</f>
        <v>7.9808160080574461E-14</v>
      </c>
      <c r="AK194" s="13">
        <f t="shared" si="164"/>
        <v>1.2308384591775343E-12</v>
      </c>
      <c r="AL194" s="20">
        <f t="shared" si="165"/>
        <v>2.282709528541206E-12</v>
      </c>
      <c r="AM194" s="59">
        <f t="shared" si="113"/>
        <v>290.09305636890912</v>
      </c>
      <c r="AN194" s="59">
        <f ca="1">AVERAGE(OFFSET($AM$3,0,0,'Données projet'!$E$10+1,1))-AVERAGE(OFFSET($H$3,0,0,'Données projet'!$E$10+1,1))</f>
        <v>374.38106339726073</v>
      </c>
      <c r="AO194" s="59">
        <f t="shared" si="144"/>
        <v>296.53283288925957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44.326910061845375</v>
      </c>
      <c r="AV194" s="21">
        <f>EXP(-LN(2)/25)*AV193+(1-EXP(-LN(2)/25))/(LN(2)/25)*Calculateur!AQ194*Calculateur!AS194*VLOOKUP('Données projet'!$B$10,Paramètres!$A$1:$I$89,3,0)*0.475*44/12</f>
        <v>8.5094408427671038</v>
      </c>
      <c r="AW194" s="21">
        <f>EXP(-LN(2)/2)*AW193+(1-EXP(-LN(2)/2))/(LN(2)/2)*AQ194*AT194*VLOOKUP('Données projet'!$B$10,Paramètres!$A$1:$I$89,3,0)*0.475*44/12</f>
        <v>3.0182910780030131E-8</v>
      </c>
      <c r="AX194" s="21">
        <f t="shared" si="166"/>
        <v>52.836350934795391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1.0818439477588981E-13</v>
      </c>
      <c r="BF194" s="13">
        <f t="shared" si="167"/>
        <v>1.6104228458716316E-12</v>
      </c>
      <c r="BG194" s="20">
        <f t="shared" si="168"/>
        <v>2.9932409441277661E-12</v>
      </c>
      <c r="BH194" s="59">
        <f t="shared" si="116"/>
        <v>290.09305636890986</v>
      </c>
      <c r="BI194" s="59">
        <f ca="1">AVERAGE(OFFSET($BH$3,0,0,'Données projet'!$E$11+1,1))-AVERAGE(OFFSET($H$3,0,0,'Données projet'!$E$11+1,1))</f>
        <v>423.80243030843661</v>
      </c>
      <c r="BJ194" s="59">
        <f t="shared" si="146"/>
        <v>260.29028006191834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11.272551484442445</v>
      </c>
      <c r="BQ194" s="21">
        <f>EXP(-LN(2)/25)*BQ193+(1-EXP(-LN(2)/25))/(LN(2)/25)*Calculateur!BL194*Calculateur!BN194*VLOOKUP('Données projet'!$B$11,Paramètres!$A$1:$I$89,3,0)*0.475*44/12</f>
        <v>6.4556919840709712</v>
      </c>
      <c r="BR194" s="21">
        <f>EXP(-LN(2)/2)*BR193+(1-EXP(-LN(2)/2))/(LN(2)/2)*BL194*BO194*VLOOKUP('Données projet'!$B$11,Paramètres!$A$1:$I$89,3,0)*0.475*44/12</f>
        <v>1.3345908972235955E-9</v>
      </c>
      <c r="BS194" s="22">
        <f t="shared" si="169"/>
        <v>17.728243469848007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-1.3596945791505279E-13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373.61861223558259</v>
      </c>
      <c r="CE194" s="59">
        <f t="shared" si="148"/>
        <v>277.62293009761049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17.01197987881752</v>
      </c>
      <c r="CL194" s="21">
        <f>EXP(-LN(2)/25)*CL193+(1-EXP(-LN(2)/25))/(LN(2)/25)*Calculateur!CG194*Calculateur!CI194*VLOOKUP('Données projet'!$B$12,Paramètres!$A$1:$I$89,3,0)*0.475*44/12</f>
        <v>2.3839104985962609</v>
      </c>
      <c r="CM194" s="21">
        <f>EXP(-LN(2)/2)*CM193+(1-EXP(-LN(2)/2))/(LN(2)/2)*CG194*CJ194*VLOOKUP('Données projet'!$B$12,Paramètres!$A$1:$I$89,3,0)*0.475*44/12</f>
        <v>1.3878958445701508E-15</v>
      </c>
      <c r="CN194" s="22">
        <f t="shared" si="172"/>
        <v>19.395890377413782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2.4829205358400945E-14</v>
      </c>
      <c r="CV194" s="13">
        <f t="shared" si="173"/>
        <v>4.3867331143352915E-13</v>
      </c>
      <c r="CW194" s="20">
        <f t="shared" si="174"/>
        <v>8.0726688341261168E-13</v>
      </c>
      <c r="CX194" s="59">
        <f t="shared" si="122"/>
        <v>290.09305636890764</v>
      </c>
      <c r="CY194" s="59">
        <f ca="1">AVERAGE(OFFSET($CX$3,0,0,'Données projet'!$E$13+1,1))-AVERAGE(OFFSET($H$3,0,0,'Données projet'!$E$13+1,1))</f>
        <v>287.28439432670405</v>
      </c>
      <c r="CZ194" s="59">
        <f t="shared" si="150"/>
        <v>276.01618888357268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3.6613156626499048</v>
      </c>
      <c r="DG194" s="21">
        <f>EXP(-LN(2)/25)*DG193+(1-EXP(-LN(2)/25))/(LN(2)/25)*Calculateur!DB194*Calculateur!DD194*VLOOKUP('Données projet'!$B$13,Paramètres!$A$1:$I$89,3,0)*0.475*44/12</f>
        <v>1.6814027112914831</v>
      </c>
      <c r="DH194" s="21">
        <f>EXP(-LN(2)/2)*DH193+(1-EXP(-LN(2)/2))/(LN(2)/2)*DB194*DE194*VLOOKUP('Données projet'!$B$13,Paramètres!$A$1:$I$89,3,0)*0.475*44/12</f>
        <v>8.919389411745313E-16</v>
      </c>
      <c r="DI194" s="22">
        <f t="shared" si="175"/>
        <v>5.3427183739413886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9">
        <f t="shared" ref="R195:R203" si="191">Q195+(I195+J195)*44/12</f>
        <v>290.14926793008186</v>
      </c>
      <c r="S195" s="59">
        <f ca="1">AVERAGE(OFFSET($R$3,0,0,'Données projet'!$E$9+1,1))-AVERAGE(OFFSET($H$3,0,0,'Données projet'!$E$9+1,1))</f>
        <v>681.47578137804555</v>
      </c>
      <c r="T195" s="59">
        <f t="shared" si="142"/>
        <v>300.88511065995885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1.7053025658242404E-13</v>
      </c>
      <c r="AJ195" s="13">
        <f>AI195*VLOOKUP('Données projet'!$B$10,Paramètres!$A$1:$I$89,3,0)*VLOOKUP('Données projet'!$B$10,Paramètres!$A$1:$I$89,5,0)</f>
        <v>7.9808160080574461E-14</v>
      </c>
      <c r="AK195" s="13">
        <f t="shared" si="164"/>
        <v>1.2308384591775343E-12</v>
      </c>
      <c r="AL195" s="20">
        <f t="shared" si="165"/>
        <v>2.282709528541206E-12</v>
      </c>
      <c r="AM195" s="59">
        <f t="shared" si="113"/>
        <v>290.14926793006794</v>
      </c>
      <c r="AN195" s="59">
        <f ca="1">AVERAGE(OFFSET($AM$3,0,0,'Données projet'!$E$10+1,1))-AVERAGE(OFFSET($H$3,0,0,'Données projet'!$E$10+1,1))</f>
        <v>374.38106339726073</v>
      </c>
      <c r="AO195" s="59">
        <f t="shared" si="144"/>
        <v>296.53283288925957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43.45768639227807</v>
      </c>
      <c r="AV195" s="21">
        <f>EXP(-LN(2)/25)*AV194+(1-EXP(-LN(2)/25))/(LN(2)/25)*Calculateur!AQ195*Calculateur!AS195*VLOOKUP('Données projet'!$B$10,Paramètres!$A$1:$I$89,3,0)*0.475*44/12</f>
        <v>8.2767497354295916</v>
      </c>
      <c r="AW195" s="21">
        <f>EXP(-LN(2)/2)*AW194+(1-EXP(-LN(2)/2))/(LN(2)/2)*AQ195*AT195*VLOOKUP('Données projet'!$B$10,Paramètres!$A$1:$I$89,3,0)*0.475*44/12</f>
        <v>2.1342540888507853E-8</v>
      </c>
      <c r="AX195" s="21">
        <f t="shared" si="166"/>
        <v>51.734436149050204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1.0818439477588981E-13</v>
      </c>
      <c r="BF195" s="13">
        <f t="shared" si="167"/>
        <v>1.6104228458716316E-12</v>
      </c>
      <c r="BG195" s="20">
        <f t="shared" si="168"/>
        <v>2.9932409441277661E-12</v>
      </c>
      <c r="BH195" s="59">
        <f t="shared" si="116"/>
        <v>290.14926793006867</v>
      </c>
      <c r="BI195" s="59">
        <f ca="1">AVERAGE(OFFSET($BH$3,0,0,'Données projet'!$E$11+1,1))-AVERAGE(OFFSET($H$3,0,0,'Données projet'!$E$11+1,1))</f>
        <v>423.80243030843661</v>
      </c>
      <c r="BJ195" s="59">
        <f t="shared" si="146"/>
        <v>260.29028006191834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11.051503625410028</v>
      </c>
      <c r="BQ195" s="21">
        <f>EXP(-LN(2)/25)*BQ194+(1-EXP(-LN(2)/25))/(LN(2)/25)*Calculateur!BL195*Calculateur!BN195*VLOOKUP('Données projet'!$B$11,Paramètres!$A$1:$I$89,3,0)*0.475*44/12</f>
        <v>6.2791607472764639</v>
      </c>
      <c r="BR195" s="21">
        <f>EXP(-LN(2)/2)*BR194+(1-EXP(-LN(2)/2))/(LN(2)/2)*BL195*BO195*VLOOKUP('Données projet'!$B$11,Paramètres!$A$1:$I$89,3,0)*0.475*44/12</f>
        <v>9.4369827353664308E-10</v>
      </c>
      <c r="BS195" s="22">
        <f t="shared" si="169"/>
        <v>17.330664373630189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-1.3596945791505279E-13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373.61861223558259</v>
      </c>
      <c r="CE195" s="59">
        <f t="shared" si="148"/>
        <v>277.62293009761049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16.678385329677063</v>
      </c>
      <c r="CL195" s="21">
        <f>EXP(-LN(2)/25)*CL194+(1-EXP(-LN(2)/25))/(LN(2)/25)*Calculateur!CG195*Calculateur!CI195*VLOOKUP('Données projet'!$B$12,Paramètres!$A$1:$I$89,3,0)*0.475*44/12</f>
        <v>2.3187223406477417</v>
      </c>
      <c r="CM195" s="21">
        <f>EXP(-LN(2)/2)*CM194+(1-EXP(-LN(2)/2))/(LN(2)/2)*CG195*CJ195*VLOOKUP('Données projet'!$B$12,Paramètres!$A$1:$I$89,3,0)*0.475*44/12</f>
        <v>9.8139056327618416E-16</v>
      </c>
      <c r="CN195" s="22">
        <f t="shared" si="172"/>
        <v>18.997107670324805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2.4829205358400945E-14</v>
      </c>
      <c r="CV195" s="13">
        <f t="shared" si="173"/>
        <v>4.3867331143352915E-13</v>
      </c>
      <c r="CW195" s="20">
        <f t="shared" si="174"/>
        <v>8.0726688341261168E-13</v>
      </c>
      <c r="CX195" s="59">
        <f t="shared" si="122"/>
        <v>290.14926793006646</v>
      </c>
      <c r="CY195" s="59">
        <f ca="1">AVERAGE(OFFSET($CX$3,0,0,'Données projet'!$E$13+1,1))-AVERAGE(OFFSET($H$3,0,0,'Données projet'!$E$13+1,1))</f>
        <v>287.28439432670405</v>
      </c>
      <c r="CZ195" s="59">
        <f t="shared" si="150"/>
        <v>276.01618888357268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3.5895194956873859</v>
      </c>
      <c r="DG195" s="21">
        <f>EXP(-LN(2)/25)*DG194+(1-EXP(-LN(2)/25))/(LN(2)/25)*Calculateur!DB195*Calculateur!DD195*VLOOKUP('Données projet'!$B$13,Paramètres!$A$1:$I$89,3,0)*0.475*44/12</f>
        <v>1.6354246657300917</v>
      </c>
      <c r="DH195" s="21">
        <f>EXP(-LN(2)/2)*DH194+(1-EXP(-LN(2)/2))/(LN(2)/2)*DB195*DE195*VLOOKUP('Données projet'!$B$13,Paramètres!$A$1:$I$89,3,0)*0.475*44/12</f>
        <v>6.306960737088602E-16</v>
      </c>
      <c r="DI195" s="22">
        <f t="shared" si="175"/>
        <v>5.2249441614174783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9">
        <f t="shared" si="191"/>
        <v>290.20450434632471</v>
      </c>
      <c r="S196" s="59">
        <f ca="1">AVERAGE(OFFSET($R$3,0,0,'Données projet'!$E$9+1,1))-AVERAGE(OFFSET($H$3,0,0,'Données projet'!$E$9+1,1))</f>
        <v>681.47578137804555</v>
      </c>
      <c r="T196" s="59">
        <f t="shared" si="142"/>
        <v>300.88511065995885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1.7053025658242404E-13</v>
      </c>
      <c r="AJ196" s="13">
        <f>AI196*VLOOKUP('Données projet'!$B$10,Paramètres!$A$1:$I$89,3,0)*VLOOKUP('Données projet'!$B$10,Paramètres!$A$1:$I$89,5,0)</f>
        <v>7.9808160080574461E-14</v>
      </c>
      <c r="AK196" s="13">
        <f t="shared" si="164"/>
        <v>1.2308384591775343E-12</v>
      </c>
      <c r="AL196" s="20">
        <f t="shared" si="165"/>
        <v>2.282709528541206E-12</v>
      </c>
      <c r="AM196" s="59">
        <f t="shared" ref="AM196:AM203" si="193">AL196+(AD196+AE196)*44/12</f>
        <v>290.20450434631078</v>
      </c>
      <c r="AN196" s="59">
        <f ca="1">AVERAGE(OFFSET($AM$3,0,0,'Données projet'!$E$10+1,1))-AVERAGE(OFFSET($H$3,0,0,'Données projet'!$E$10+1,1))</f>
        <v>374.38106339726073</v>
      </c>
      <c r="AO196" s="59">
        <f t="shared" si="144"/>
        <v>296.53283288925957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42.605507668696887</v>
      </c>
      <c r="AV196" s="21">
        <f>EXP(-LN(2)/25)*AV195+(1-EXP(-LN(2)/25))/(LN(2)/25)*Calculateur!AQ196*Calculateur!AS196*VLOOKUP('Données projet'!$B$10,Paramètres!$A$1:$I$89,3,0)*0.475*44/12</f>
        <v>8.0504215786589182</v>
      </c>
      <c r="AW196" s="21">
        <f>EXP(-LN(2)/2)*AW195+(1-EXP(-LN(2)/2))/(LN(2)/2)*AQ196*AT196*VLOOKUP('Données projet'!$B$10,Paramètres!$A$1:$I$89,3,0)*0.475*44/12</f>
        <v>1.5091455390015065E-8</v>
      </c>
      <c r="AX196" s="21">
        <f t="shared" si="166"/>
        <v>50.655929262447266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1.0818439477588981E-13</v>
      </c>
      <c r="BF196" s="13">
        <f t="shared" si="167"/>
        <v>1.6104228458716316E-12</v>
      </c>
      <c r="BG196" s="20">
        <f t="shared" si="168"/>
        <v>2.9932409441277661E-12</v>
      </c>
      <c r="BH196" s="59">
        <f t="shared" ref="BH196:BH203" si="194">BG196+(AY196+AZ196)*44/12</f>
        <v>290.20450434631152</v>
      </c>
      <c r="BI196" s="59">
        <f ca="1">AVERAGE(OFFSET($BH$3,0,0,'Données projet'!$E$11+1,1))-AVERAGE(OFFSET($H$3,0,0,'Données projet'!$E$11+1,1))</f>
        <v>423.80243030843661</v>
      </c>
      <c r="BJ196" s="59">
        <f t="shared" si="146"/>
        <v>260.29028006191834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10.834790380067355</v>
      </c>
      <c r="BQ196" s="21">
        <f>EXP(-LN(2)/25)*BQ195+(1-EXP(-LN(2)/25))/(LN(2)/25)*Calculateur!BL196*Calculateur!BN196*VLOOKUP('Données projet'!$B$11,Paramètres!$A$1:$I$89,3,0)*0.475*44/12</f>
        <v>6.1074567664354769</v>
      </c>
      <c r="BR196" s="21">
        <f>EXP(-LN(2)/2)*BR195+(1-EXP(-LN(2)/2))/(LN(2)/2)*BL196*BO196*VLOOKUP('Données projet'!$B$11,Paramètres!$A$1:$I$89,3,0)*0.475*44/12</f>
        <v>6.6729544861179774E-10</v>
      </c>
      <c r="BS196" s="22">
        <f t="shared" si="169"/>
        <v>16.942247147170129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-1.3596945791505279E-13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373.61861223558259</v>
      </c>
      <c r="CE196" s="59">
        <f t="shared" si="148"/>
        <v>277.62293009761049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16.351332366172667</v>
      </c>
      <c r="CL196" s="21">
        <f>EXP(-LN(2)/25)*CL195+(1-EXP(-LN(2)/25))/(LN(2)/25)*Calculateur!CG196*Calculateur!CI196*VLOOKUP('Données projet'!$B$12,Paramètres!$A$1:$I$89,3,0)*0.475*44/12</f>
        <v>2.2553167563064207</v>
      </c>
      <c r="CM196" s="21">
        <f>EXP(-LN(2)/2)*CM195+(1-EXP(-LN(2)/2))/(LN(2)/2)*CG196*CJ196*VLOOKUP('Données projet'!$B$12,Paramètres!$A$1:$I$89,3,0)*0.475*44/12</f>
        <v>6.9394792228507538E-16</v>
      </c>
      <c r="CN196" s="22">
        <f t="shared" si="172"/>
        <v>18.606649122479087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2.4829205358400945E-14</v>
      </c>
      <c r="CV196" s="13">
        <f t="shared" si="173"/>
        <v>4.3867331143352915E-13</v>
      </c>
      <c r="CW196" s="20">
        <f t="shared" si="174"/>
        <v>8.0726688341261168E-13</v>
      </c>
      <c r="CX196" s="59">
        <f t="shared" ref="CX196:CX203" si="196">CW196+(CO196+CP196)*44/12</f>
        <v>290.20450434630931</v>
      </c>
      <c r="CY196" s="59">
        <f ca="1">AVERAGE(OFFSET($CX$3,0,0,'Données projet'!$E$13+1,1))-AVERAGE(OFFSET($H$3,0,0,'Données projet'!$E$13+1,1))</f>
        <v>287.28439432670405</v>
      </c>
      <c r="CZ196" s="59">
        <f t="shared" si="150"/>
        <v>276.01618888357268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3.5191312077676642</v>
      </c>
      <c r="DG196" s="21">
        <f>EXP(-LN(2)/25)*DG195+(1-EXP(-LN(2)/25))/(LN(2)/25)*Calculateur!DB196*Calculateur!DD196*VLOOKUP('Données projet'!$B$13,Paramètres!$A$1:$I$89,3,0)*0.475*44/12</f>
        <v>1.590703892242457</v>
      </c>
      <c r="DH196" s="21">
        <f>EXP(-LN(2)/2)*DH195+(1-EXP(-LN(2)/2))/(LN(2)/2)*DB196*DE196*VLOOKUP('Données projet'!$B$13,Paramètres!$A$1:$I$89,3,0)*0.475*44/12</f>
        <v>4.4596947058726565E-16</v>
      </c>
      <c r="DI196" s="22">
        <f t="shared" si="175"/>
        <v>5.1098351000101223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9">
        <f t="shared" si="191"/>
        <v>290.25878253423593</v>
      </c>
      <c r="S197" s="59">
        <f ca="1">AVERAGE(OFFSET($R$3,0,0,'Données projet'!$E$9+1,1))-AVERAGE(OFFSET($H$3,0,0,'Données projet'!$E$9+1,1))</f>
        <v>681.47578137804555</v>
      </c>
      <c r="T197" s="59">
        <f t="shared" ref="T197:T203" si="204">$T$3</f>
        <v>300.88511065995885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1.7053025658242404E-13</v>
      </c>
      <c r="AJ197" s="13">
        <f>AI197*VLOOKUP('Données projet'!$B$10,Paramètres!$A$1:$I$89,3,0)*VLOOKUP('Données projet'!$B$10,Paramètres!$A$1:$I$89,5,0)</f>
        <v>7.9808160080574461E-14</v>
      </c>
      <c r="AK197" s="13">
        <f t="shared" si="164"/>
        <v>1.2308384591775343E-12</v>
      </c>
      <c r="AL197" s="20">
        <f t="shared" si="165"/>
        <v>2.282709528541206E-12</v>
      </c>
      <c r="AM197" s="59">
        <f t="shared" si="193"/>
        <v>290.25878253422201</v>
      </c>
      <c r="AN197" s="59">
        <f ca="1">AVERAGE(OFFSET($AM$3,0,0,'Données projet'!$E$10+1,1))-AVERAGE(OFFSET($H$3,0,0,'Données projet'!$E$10+1,1))</f>
        <v>374.38106339726073</v>
      </c>
      <c r="AO197" s="59">
        <f t="shared" ref="AO197:AO203" si="205">$AO$3</f>
        <v>296.53283288925957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41.770039650107435</v>
      </c>
      <c r="AV197" s="21">
        <f>EXP(-LN(2)/25)*AV196+(1-EXP(-LN(2)/25))/(LN(2)/25)*Calculateur!AQ197*Calculateur!AS197*VLOOKUP('Données projet'!$B$10,Paramètres!$A$1:$I$89,3,0)*0.475*44/12</f>
        <v>7.8302823772372188</v>
      </c>
      <c r="AW197" s="21">
        <f>EXP(-LN(2)/2)*AW196+(1-EXP(-LN(2)/2))/(LN(2)/2)*AQ197*AT197*VLOOKUP('Données projet'!$B$10,Paramètres!$A$1:$I$89,3,0)*0.475*44/12</f>
        <v>1.0671270444253926E-8</v>
      </c>
      <c r="AX197" s="21">
        <f t="shared" si="166"/>
        <v>49.600322038015925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1.0818439477588981E-13</v>
      </c>
      <c r="BF197" s="13">
        <f t="shared" si="167"/>
        <v>1.6104228458716316E-12</v>
      </c>
      <c r="BG197" s="20">
        <f t="shared" si="168"/>
        <v>2.9932409441277661E-12</v>
      </c>
      <c r="BH197" s="59">
        <f t="shared" si="194"/>
        <v>290.25878253422275</v>
      </c>
      <c r="BI197" s="59">
        <f ca="1">AVERAGE(OFFSET($BH$3,0,0,'Données projet'!$E$11+1,1))-AVERAGE(OFFSET($H$3,0,0,'Données projet'!$E$11+1,1))</f>
        <v>423.80243030843661</v>
      </c>
      <c r="BJ197" s="59">
        <f t="shared" ref="BJ197:BJ203" si="206">$BJ$3</f>
        <v>260.29028006191834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10.622326749283824</v>
      </c>
      <c r="BQ197" s="21">
        <f>EXP(-LN(2)/25)*BQ196+(1-EXP(-LN(2)/25))/(LN(2)/25)*Calculateur!BL197*Calculateur!BN197*VLOOKUP('Données projet'!$B$11,Paramètres!$A$1:$I$89,3,0)*0.475*44/12</f>
        <v>5.9404480399801063</v>
      </c>
      <c r="BR197" s="21">
        <f>EXP(-LN(2)/2)*BR196+(1-EXP(-LN(2)/2))/(LN(2)/2)*BL197*BO197*VLOOKUP('Données projet'!$B$11,Paramètres!$A$1:$I$89,3,0)*0.475*44/12</f>
        <v>4.7184913676832154E-10</v>
      </c>
      <c r="BS197" s="22">
        <f t="shared" si="169"/>
        <v>16.56277478973578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-1.3596945791505279E-13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373.61861223558259</v>
      </c>
      <c r="CE197" s="59">
        <f t="shared" ref="CE197:CE203" si="207">$CE$3</f>
        <v>277.62293009761049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16.030692711799979</v>
      </c>
      <c r="CL197" s="21">
        <f>EXP(-LN(2)/25)*CL196+(1-EXP(-LN(2)/25))/(LN(2)/25)*Calculateur!CG197*Calculateur!CI197*VLOOKUP('Données projet'!$B$12,Paramètres!$A$1:$I$89,3,0)*0.475*44/12</f>
        <v>2.1936450010032682</v>
      </c>
      <c r="CM197" s="21">
        <f>EXP(-LN(2)/2)*CM196+(1-EXP(-LN(2)/2))/(LN(2)/2)*CG197*CJ197*VLOOKUP('Données projet'!$B$12,Paramètres!$A$1:$I$89,3,0)*0.475*44/12</f>
        <v>4.9069528163809208E-16</v>
      </c>
      <c r="CN197" s="22">
        <f t="shared" si="172"/>
        <v>18.224337712803248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2.4829205358400945E-14</v>
      </c>
      <c r="CV197" s="13">
        <f t="shared" si="173"/>
        <v>4.3867331143352915E-13</v>
      </c>
      <c r="CW197" s="20">
        <f t="shared" si="174"/>
        <v>8.0726688341261168E-13</v>
      </c>
      <c r="CX197" s="59">
        <f t="shared" si="196"/>
        <v>290.25878253422053</v>
      </c>
      <c r="CY197" s="59">
        <f ca="1">AVERAGE(OFFSET($CX$3,0,0,'Données projet'!$E$13+1,1))-AVERAGE(OFFSET($H$3,0,0,'Données projet'!$E$13+1,1))</f>
        <v>287.28439432670405</v>
      </c>
      <c r="CZ197" s="59">
        <f t="shared" ref="CZ197:CZ203" si="208">$CZ$3</f>
        <v>276.01618888357268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3.4501231912414321</v>
      </c>
      <c r="DG197" s="21">
        <f>EXP(-LN(2)/25)*DG196+(1-EXP(-LN(2)/25))/(LN(2)/25)*Calculateur!DB197*Calculateur!DD197*VLOOKUP('Données projet'!$B$13,Paramètres!$A$1:$I$89,3,0)*0.475*44/12</f>
        <v>1.5472060106576049</v>
      </c>
      <c r="DH197" s="21">
        <f>EXP(-LN(2)/2)*DH196+(1-EXP(-LN(2)/2))/(LN(2)/2)*DB197*DE197*VLOOKUP('Données projet'!$B$13,Paramètres!$A$1:$I$89,3,0)*0.475*44/12</f>
        <v>3.153480368544301E-16</v>
      </c>
      <c r="DI197" s="22">
        <f t="shared" si="175"/>
        <v>4.9973292018990367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9">
        <f t="shared" si="191"/>
        <v>290.3121191169347</v>
      </c>
      <c r="S198" s="59">
        <f ca="1">AVERAGE(OFFSET($R$3,0,0,'Données projet'!$E$9+1,1))-AVERAGE(OFFSET($H$3,0,0,'Données projet'!$E$9+1,1))</f>
        <v>681.47578137804555</v>
      </c>
      <c r="T198" s="59">
        <f t="shared" si="204"/>
        <v>300.88511065995885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1.7053025658242404E-13</v>
      </c>
      <c r="AJ198" s="13">
        <f>AI198*VLOOKUP('Données projet'!$B$10,Paramètres!$A$1:$I$89,3,0)*VLOOKUP('Données projet'!$B$10,Paramètres!$A$1:$I$89,5,0)</f>
        <v>7.9808160080574461E-14</v>
      </c>
      <c r="AK198" s="13">
        <f t="shared" si="164"/>
        <v>1.2308384591775343E-12</v>
      </c>
      <c r="AL198" s="20">
        <f t="shared" si="165"/>
        <v>2.282709528541206E-12</v>
      </c>
      <c r="AM198" s="59">
        <f t="shared" si="193"/>
        <v>290.31211911692077</v>
      </c>
      <c r="AN198" s="59">
        <f ca="1">AVERAGE(OFFSET($AM$3,0,0,'Données projet'!$E$10+1,1))-AVERAGE(OFFSET($H$3,0,0,'Données projet'!$E$10+1,1))</f>
        <v>374.38106339726073</v>
      </c>
      <c r="AO198" s="59">
        <f t="shared" si="205"/>
        <v>296.53283288925957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40.950954649777351</v>
      </c>
      <c r="AV198" s="21">
        <f>EXP(-LN(2)/25)*AV197+(1-EXP(-LN(2)/25))/(LN(2)/25)*Calculateur!AQ198*Calculateur!AS198*VLOOKUP('Données projet'!$B$10,Paramètres!$A$1:$I$89,3,0)*0.475*44/12</f>
        <v>7.6161628938550132</v>
      </c>
      <c r="AW198" s="21">
        <f>EXP(-LN(2)/2)*AW197+(1-EXP(-LN(2)/2))/(LN(2)/2)*AQ198*AT198*VLOOKUP('Données projet'!$B$10,Paramètres!$A$1:$I$89,3,0)*0.475*44/12</f>
        <v>7.5457276950075326E-9</v>
      </c>
      <c r="AX198" s="21">
        <f t="shared" si="166"/>
        <v>48.567117551178093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1.0818439477588981E-13</v>
      </c>
      <c r="BF198" s="13">
        <f t="shared" si="167"/>
        <v>1.6104228458716316E-12</v>
      </c>
      <c r="BG198" s="20">
        <f t="shared" si="168"/>
        <v>2.9932409441277661E-12</v>
      </c>
      <c r="BH198" s="59">
        <f t="shared" si="194"/>
        <v>290.31211911692151</v>
      </c>
      <c r="BI198" s="59">
        <f ca="1">AVERAGE(OFFSET($BH$3,0,0,'Données projet'!$E$11+1,1))-AVERAGE(OFFSET($H$3,0,0,'Données projet'!$E$11+1,1))</f>
        <v>423.80243030843661</v>
      </c>
      <c r="BJ198" s="59">
        <f t="shared" si="206"/>
        <v>260.29028006191834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10.414029400709939</v>
      </c>
      <c r="BQ198" s="21">
        <f>EXP(-LN(2)/25)*BQ197+(1-EXP(-LN(2)/25))/(LN(2)/25)*Calculateur!BL198*Calculateur!BN198*VLOOKUP('Données projet'!$B$11,Paramètres!$A$1:$I$89,3,0)*0.475*44/12</f>
        <v>5.7780061759322647</v>
      </c>
      <c r="BR198" s="21">
        <f>EXP(-LN(2)/2)*BR197+(1-EXP(-LN(2)/2))/(LN(2)/2)*BL198*BO198*VLOOKUP('Données projet'!$B$11,Paramètres!$A$1:$I$89,3,0)*0.475*44/12</f>
        <v>3.3364772430589887E-10</v>
      </c>
      <c r="BS198" s="22">
        <f t="shared" si="169"/>
        <v>16.192035576975851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-1.3596945791505279E-13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373.61861223558259</v>
      </c>
      <c r="CE198" s="59">
        <f t="shared" si="207"/>
        <v>277.62293009761049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15.716340605478662</v>
      </c>
      <c r="CL198" s="21">
        <f>EXP(-LN(2)/25)*CL197+(1-EXP(-LN(2)/25))/(LN(2)/25)*Calculateur!CG198*Calculateur!CI198*VLOOKUP('Données projet'!$B$12,Paramètres!$A$1:$I$89,3,0)*0.475*44/12</f>
        <v>2.133659663092057</v>
      </c>
      <c r="CM198" s="21">
        <f>EXP(-LN(2)/2)*CM197+(1-EXP(-LN(2)/2))/(LN(2)/2)*CG198*CJ198*VLOOKUP('Données projet'!$B$12,Paramètres!$A$1:$I$89,3,0)*0.475*44/12</f>
        <v>3.4697396114253769E-16</v>
      </c>
      <c r="CN198" s="22">
        <f t="shared" si="172"/>
        <v>17.850000268570717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2.4829205358400945E-14</v>
      </c>
      <c r="CV198" s="13">
        <f t="shared" si="173"/>
        <v>4.3867331143352915E-13</v>
      </c>
      <c r="CW198" s="20">
        <f t="shared" si="174"/>
        <v>8.0726688341261168E-13</v>
      </c>
      <c r="CX198" s="59">
        <f t="shared" si="196"/>
        <v>290.31211911691929</v>
      </c>
      <c r="CY198" s="59">
        <f ca="1">AVERAGE(OFFSET($CX$3,0,0,'Données projet'!$E$13+1,1))-AVERAGE(OFFSET($H$3,0,0,'Données projet'!$E$13+1,1))</f>
        <v>287.28439432670405</v>
      </c>
      <c r="CZ198" s="59">
        <f t="shared" si="208"/>
        <v>276.01618888357268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3.3824683798285453</v>
      </c>
      <c r="DG198" s="21">
        <f>EXP(-LN(2)/25)*DG197+(1-EXP(-LN(2)/25))/(LN(2)/25)*Calculateur!DB198*Calculateur!DD198*VLOOKUP('Données projet'!$B$13,Paramètres!$A$1:$I$89,3,0)*0.475*44/12</f>
        <v>1.5048975809321448</v>
      </c>
      <c r="DH198" s="21">
        <f>EXP(-LN(2)/2)*DH197+(1-EXP(-LN(2)/2))/(LN(2)/2)*DB198*DE198*VLOOKUP('Données projet'!$B$13,Paramètres!$A$1:$I$89,3,0)*0.475*44/12</f>
        <v>2.2298473529363283E-16</v>
      </c>
      <c r="DI198" s="22">
        <f t="shared" si="175"/>
        <v>4.8873659607606896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9">
        <f t="shared" si="191"/>
        <v>290.36453042916639</v>
      </c>
      <c r="S199" s="59">
        <f ca="1">AVERAGE(OFFSET($R$3,0,0,'Données projet'!$E$9+1,1))-AVERAGE(OFFSET($H$3,0,0,'Données projet'!$E$9+1,1))</f>
        <v>681.47578137804555</v>
      </c>
      <c r="T199" s="59">
        <f t="shared" si="204"/>
        <v>300.88511065995885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1.7053025658242404E-13</v>
      </c>
      <c r="AJ199" s="13">
        <f>AI199*VLOOKUP('Données projet'!$B$10,Paramètres!$A$1:$I$89,3,0)*VLOOKUP('Données projet'!$B$10,Paramètres!$A$1:$I$89,5,0)</f>
        <v>7.9808160080574461E-14</v>
      </c>
      <c r="AK199" s="13">
        <f t="shared" si="164"/>
        <v>1.2308384591775343E-12</v>
      </c>
      <c r="AL199" s="20">
        <f t="shared" si="165"/>
        <v>2.282709528541206E-12</v>
      </c>
      <c r="AM199" s="59">
        <f t="shared" si="193"/>
        <v>290.36453042915247</v>
      </c>
      <c r="AN199" s="59">
        <f ca="1">AVERAGE(OFFSET($AM$3,0,0,'Données projet'!$E$10+1,1))-AVERAGE(OFFSET($H$3,0,0,'Données projet'!$E$10+1,1))</f>
        <v>374.38106339726073</v>
      </c>
      <c r="AO199" s="59">
        <f t="shared" si="205"/>
        <v>296.53283288925957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40.147931406711216</v>
      </c>
      <c r="AV199" s="21">
        <f>EXP(-LN(2)/25)*AV198+(1-EXP(-LN(2)/25))/(LN(2)/25)*Calculateur!AQ199*Calculateur!AS199*VLOOKUP('Données projet'!$B$10,Paramètres!$A$1:$I$89,3,0)*0.475*44/12</f>
        <v>7.4078985190059479</v>
      </c>
      <c r="AW199" s="21">
        <f>EXP(-LN(2)/2)*AW198+(1-EXP(-LN(2)/2))/(LN(2)/2)*AQ199*AT199*VLOOKUP('Données projet'!$B$10,Paramètres!$A$1:$I$89,3,0)*0.475*44/12</f>
        <v>5.3356352221269632E-9</v>
      </c>
      <c r="AX199" s="21">
        <f t="shared" si="166"/>
        <v>47.555829931052799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1.0818439477588981E-13</v>
      </c>
      <c r="BF199" s="13">
        <f t="shared" si="167"/>
        <v>1.6104228458716316E-12</v>
      </c>
      <c r="BG199" s="20">
        <f t="shared" si="168"/>
        <v>2.9932409441277661E-12</v>
      </c>
      <c r="BH199" s="59">
        <f t="shared" si="194"/>
        <v>290.36453042915321</v>
      </c>
      <c r="BI199" s="59">
        <f ca="1">AVERAGE(OFFSET($BH$3,0,0,'Données projet'!$E$11+1,1))-AVERAGE(OFFSET($H$3,0,0,'Données projet'!$E$11+1,1))</f>
        <v>423.80243030843661</v>
      </c>
      <c r="BJ199" s="59">
        <f t="shared" si="206"/>
        <v>260.29028006191834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10.20981663609275</v>
      </c>
      <c r="BQ199" s="21">
        <f>EXP(-LN(2)/25)*BQ198+(1-EXP(-LN(2)/25))/(LN(2)/25)*Calculateur!BL199*Calculateur!BN199*VLOOKUP('Données projet'!$B$11,Paramètres!$A$1:$I$89,3,0)*0.475*44/12</f>
        <v>5.6200062931992578</v>
      </c>
      <c r="BR199" s="21">
        <f>EXP(-LN(2)/2)*BR198+(1-EXP(-LN(2)/2))/(LN(2)/2)*BL199*BO199*VLOOKUP('Données projet'!$B$11,Paramètres!$A$1:$I$89,3,0)*0.475*44/12</f>
        <v>2.3592456838416077E-10</v>
      </c>
      <c r="BS199" s="22">
        <f t="shared" si="169"/>
        <v>15.829822929527932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-1.3596945791505279E-13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373.61861223558259</v>
      </c>
      <c r="CE199" s="59">
        <f t="shared" si="207"/>
        <v>277.62293009761049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15.408152752226453</v>
      </c>
      <c r="CL199" s="21">
        <f>EXP(-LN(2)/25)*CL198+(1-EXP(-LN(2)/25))/(LN(2)/25)*Calculateur!CG199*Calculateur!CI199*VLOOKUP('Données projet'!$B$12,Paramètres!$A$1:$I$89,3,0)*0.475*44/12</f>
        <v>2.0753146274005196</v>
      </c>
      <c r="CM199" s="21">
        <f>EXP(-LN(2)/2)*CM198+(1-EXP(-LN(2)/2))/(LN(2)/2)*CG199*CJ199*VLOOKUP('Données projet'!$B$12,Paramètres!$A$1:$I$89,3,0)*0.475*44/12</f>
        <v>2.4534764081904604E-16</v>
      </c>
      <c r="CN199" s="22">
        <f t="shared" si="172"/>
        <v>17.483467379626973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2.4829205358400945E-14</v>
      </c>
      <c r="CV199" s="13">
        <f t="shared" si="173"/>
        <v>4.3867331143352915E-13</v>
      </c>
      <c r="CW199" s="20">
        <f t="shared" si="174"/>
        <v>8.0726688341261168E-13</v>
      </c>
      <c r="CX199" s="59">
        <f t="shared" si="196"/>
        <v>290.36453042915099</v>
      </c>
      <c r="CY199" s="59">
        <f ca="1">AVERAGE(OFFSET($CX$3,0,0,'Données projet'!$E$13+1,1))-AVERAGE(OFFSET($H$3,0,0,'Données projet'!$E$13+1,1))</f>
        <v>287.28439432670405</v>
      </c>
      <c r="CZ199" s="59">
        <f t="shared" si="208"/>
        <v>276.01618888357268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3.316140238002105</v>
      </c>
      <c r="DG199" s="21">
        <f>EXP(-LN(2)/25)*DG198+(1-EXP(-LN(2)/25))/(LN(2)/25)*Calculateur!DB199*Calculateur!DD199*VLOOKUP('Données projet'!$B$13,Paramètres!$A$1:$I$89,3,0)*0.475*44/12</f>
        <v>1.4637460774424309</v>
      </c>
      <c r="DH199" s="21">
        <f>EXP(-LN(2)/2)*DH198+(1-EXP(-LN(2)/2))/(LN(2)/2)*DB199*DE199*VLOOKUP('Données projet'!$B$13,Paramètres!$A$1:$I$89,3,0)*0.475*44/12</f>
        <v>1.5767401842721505E-16</v>
      </c>
      <c r="DI199" s="22">
        <f t="shared" si="175"/>
        <v>4.7798863154445357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9">
        <f t="shared" si="191"/>
        <v>290.41603252230499</v>
      </c>
      <c r="S200" s="59">
        <f ca="1">AVERAGE(OFFSET($R$3,0,0,'Données projet'!$E$9+1,1))-AVERAGE(OFFSET($H$3,0,0,'Données projet'!$E$9+1,1))</f>
        <v>681.47578137804555</v>
      </c>
      <c r="T200" s="59">
        <f t="shared" si="204"/>
        <v>300.88511065995885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1.7053025658242404E-13</v>
      </c>
      <c r="AJ200" s="13">
        <f>AI200*VLOOKUP('Données projet'!$B$10,Paramètres!$A$1:$I$89,3,0)*VLOOKUP('Données projet'!$B$10,Paramètres!$A$1:$I$89,5,0)</f>
        <v>7.9808160080574461E-14</v>
      </c>
      <c r="AK200" s="13">
        <f t="shared" si="164"/>
        <v>1.2308384591775343E-12</v>
      </c>
      <c r="AL200" s="20">
        <f t="shared" si="165"/>
        <v>2.282709528541206E-12</v>
      </c>
      <c r="AM200" s="59">
        <f t="shared" si="193"/>
        <v>290.41603252229106</v>
      </c>
      <c r="AN200" s="59">
        <f ca="1">AVERAGE(OFFSET($AM$3,0,0,'Données projet'!$E$10+1,1))-AVERAGE(OFFSET($H$3,0,0,'Données projet'!$E$10+1,1))</f>
        <v>374.38106339726073</v>
      </c>
      <c r="AO200" s="59">
        <f t="shared" si="205"/>
        <v>296.53283288925957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39.360654959645792</v>
      </c>
      <c r="AV200" s="21">
        <f>EXP(-LN(2)/25)*AV199+(1-EXP(-LN(2)/25))/(LN(2)/25)*Calculateur!AQ200*Calculateur!AS200*VLOOKUP('Données projet'!$B$10,Paramètres!$A$1:$I$89,3,0)*0.475*44/12</f>
        <v>7.2053291444392782</v>
      </c>
      <c r="AW200" s="21">
        <f>EXP(-LN(2)/2)*AW199+(1-EXP(-LN(2)/2))/(LN(2)/2)*AQ200*AT200*VLOOKUP('Données projet'!$B$10,Paramètres!$A$1:$I$89,3,0)*0.475*44/12</f>
        <v>3.7728638475037663E-9</v>
      </c>
      <c r="AX200" s="21">
        <f t="shared" si="166"/>
        <v>46.565984107857929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1.0818439477588981E-13</v>
      </c>
      <c r="BF200" s="13">
        <f t="shared" si="167"/>
        <v>1.6104228458716316E-12</v>
      </c>
      <c r="BG200" s="20">
        <f t="shared" si="168"/>
        <v>2.9932409441277661E-12</v>
      </c>
      <c r="BH200" s="59">
        <f t="shared" si="194"/>
        <v>290.4160325222918</v>
      </c>
      <c r="BI200" s="59">
        <f ca="1">AVERAGE(OFFSET($BH$3,0,0,'Données projet'!$E$11+1,1))-AVERAGE(OFFSET($H$3,0,0,'Données projet'!$E$11+1,1))</f>
        <v>423.80243030843661</v>
      </c>
      <c r="BJ200" s="59">
        <f t="shared" si="206"/>
        <v>260.29028006191834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10.009608359232217</v>
      </c>
      <c r="BQ200" s="21">
        <f>EXP(-LN(2)/25)*BQ199+(1-EXP(-LN(2)/25))/(LN(2)/25)*Calculateur!BL200*Calculateur!BN200*VLOOKUP('Données projet'!$B$11,Paramètres!$A$1:$I$89,3,0)*0.475*44/12</f>
        <v>5.4663269255684375</v>
      </c>
      <c r="BR200" s="21">
        <f>EXP(-LN(2)/2)*BR199+(1-EXP(-LN(2)/2))/(LN(2)/2)*BL200*BO200*VLOOKUP('Données projet'!$B$11,Paramètres!$A$1:$I$89,3,0)*0.475*44/12</f>
        <v>1.6682386215294944E-10</v>
      </c>
      <c r="BS200" s="22">
        <f t="shared" si="169"/>
        <v>15.475935284967479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-1.3596945791505279E-13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373.61861223558259</v>
      </c>
      <c r="CE200" s="59">
        <f t="shared" si="207"/>
        <v>277.62293009761049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15.106008274800491</v>
      </c>
      <c r="CL200" s="21">
        <f>EXP(-LN(2)/25)*CL199+(1-EXP(-LN(2)/25))/(LN(2)/25)*Calculateur!CG200*Calculateur!CI200*VLOOKUP('Données projet'!$B$12,Paramètres!$A$1:$I$89,3,0)*0.475*44/12</f>
        <v>2.0185650397781996</v>
      </c>
      <c r="CM200" s="21">
        <f>EXP(-LN(2)/2)*CM199+(1-EXP(-LN(2)/2))/(LN(2)/2)*CG200*CJ200*VLOOKUP('Données projet'!$B$12,Paramètres!$A$1:$I$89,3,0)*0.475*44/12</f>
        <v>1.7348698057126885E-16</v>
      </c>
      <c r="CN200" s="22">
        <f t="shared" si="172"/>
        <v>17.12457331457869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2.4829205358400945E-14</v>
      </c>
      <c r="CV200" s="13">
        <f t="shared" si="173"/>
        <v>4.3867331143352915E-13</v>
      </c>
      <c r="CW200" s="20">
        <f t="shared" si="174"/>
        <v>8.0726688341261168E-13</v>
      </c>
      <c r="CX200" s="59">
        <f t="shared" si="196"/>
        <v>290.41603252228958</v>
      </c>
      <c r="CY200" s="59">
        <f ca="1">AVERAGE(OFFSET($CX$3,0,0,'Données projet'!$E$13+1,1))-AVERAGE(OFFSET($H$3,0,0,'Données projet'!$E$13+1,1))</f>
        <v>287.28439432670405</v>
      </c>
      <c r="CZ200" s="59">
        <f t="shared" si="208"/>
        <v>276.01618888357268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3.2511127505807091</v>
      </c>
      <c r="DG200" s="21">
        <f>EXP(-LN(2)/25)*DG199+(1-EXP(-LN(2)/25))/(LN(2)/25)*Calculateur!DB200*Calculateur!DD200*VLOOKUP('Données projet'!$B$13,Paramètres!$A$1:$I$89,3,0)*0.475*44/12</f>
        <v>1.4237198639797068</v>
      </c>
      <c r="DH200" s="21">
        <f>EXP(-LN(2)/2)*DH199+(1-EXP(-LN(2)/2))/(LN(2)/2)*DB200*DE200*VLOOKUP('Données projet'!$B$13,Paramètres!$A$1:$I$89,3,0)*0.475*44/12</f>
        <v>1.1149236764681641E-16</v>
      </c>
      <c r="DI200" s="22">
        <f t="shared" si="175"/>
        <v>4.6748326145604162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9">
        <f t="shared" si="191"/>
        <v>290.46664116926911</v>
      </c>
      <c r="S201" s="59">
        <f ca="1">AVERAGE(OFFSET($R$3,0,0,'Données projet'!$E$9+1,1))-AVERAGE(OFFSET($H$3,0,0,'Données projet'!$E$9+1,1))</f>
        <v>681.47578137804555</v>
      </c>
      <c r="T201" s="59">
        <f t="shared" si="204"/>
        <v>300.88511065995885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1.7053025658242404E-13</v>
      </c>
      <c r="AJ201" s="13">
        <f>AI201*VLOOKUP('Données projet'!$B$10,Paramètres!$A$1:$I$89,3,0)*VLOOKUP('Données projet'!$B$10,Paramètres!$A$1:$I$89,5,0)</f>
        <v>7.9808160080574461E-14</v>
      </c>
      <c r="AK201" s="13">
        <f t="shared" si="164"/>
        <v>1.2308384591775343E-12</v>
      </c>
      <c r="AL201" s="20">
        <f t="shared" si="165"/>
        <v>2.282709528541206E-12</v>
      </c>
      <c r="AM201" s="59">
        <f t="shared" si="193"/>
        <v>290.46664116925518</v>
      </c>
      <c r="AN201" s="59">
        <f ca="1">AVERAGE(OFFSET($AM$3,0,0,'Données projet'!$E$10+1,1))-AVERAGE(OFFSET($H$3,0,0,'Données projet'!$E$10+1,1))</f>
        <v>374.38106339726073</v>
      </c>
      <c r="AO201" s="59">
        <f t="shared" si="205"/>
        <v>296.53283288925957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38.588816523516108</v>
      </c>
      <c r="AV201" s="21">
        <f>EXP(-LN(2)/25)*AV200+(1-EXP(-LN(2)/25))/(LN(2)/25)*Calculateur!AQ201*Calculateur!AS201*VLOOKUP('Données projet'!$B$10,Paramètres!$A$1:$I$89,3,0)*0.475*44/12</f>
        <v>7.008299040072794</v>
      </c>
      <c r="AW201" s="21">
        <f>EXP(-LN(2)/2)*AW200+(1-EXP(-LN(2)/2))/(LN(2)/2)*AQ201*AT201*VLOOKUP('Données projet'!$B$10,Paramètres!$A$1:$I$89,3,0)*0.475*44/12</f>
        <v>2.6678176110634816E-9</v>
      </c>
      <c r="AX201" s="21">
        <f t="shared" si="166"/>
        <v>45.597115566256718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1.0818439477588981E-13</v>
      </c>
      <c r="BF201" s="13">
        <f t="shared" si="167"/>
        <v>1.6104228458716316E-12</v>
      </c>
      <c r="BG201" s="20">
        <f t="shared" si="168"/>
        <v>2.9932409441277661E-12</v>
      </c>
      <c r="BH201" s="59">
        <f t="shared" si="194"/>
        <v>290.46664116925592</v>
      </c>
      <c r="BI201" s="59">
        <f ca="1">AVERAGE(OFFSET($BH$3,0,0,'Données projet'!$E$11+1,1))-AVERAGE(OFFSET($H$3,0,0,'Données projet'!$E$11+1,1))</f>
        <v>423.80243030843661</v>
      </c>
      <c r="BJ201" s="59">
        <f t="shared" si="206"/>
        <v>260.29028006191834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9.8133260445659278</v>
      </c>
      <c r="BQ201" s="21">
        <f>EXP(-LN(2)/25)*BQ200+(1-EXP(-LN(2)/25))/(LN(2)/25)*Calculateur!BL201*Calculateur!BN201*VLOOKUP('Données projet'!$B$11,Paramètres!$A$1:$I$89,3,0)*0.475*44/12</f>
        <v>5.3168499283271293</v>
      </c>
      <c r="BR201" s="21">
        <f>EXP(-LN(2)/2)*BR200+(1-EXP(-LN(2)/2))/(LN(2)/2)*BL201*BO201*VLOOKUP('Données projet'!$B$11,Paramètres!$A$1:$I$89,3,0)*0.475*44/12</f>
        <v>1.1796228419208038E-10</v>
      </c>
      <c r="BS201" s="22">
        <f t="shared" si="169"/>
        <v>15.130175973011019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-1.3596945791505279E-13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373.61861223558259</v>
      </c>
      <c r="CE201" s="59">
        <f t="shared" si="207"/>
        <v>277.62293009761049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14.809788666286918</v>
      </c>
      <c r="CL201" s="21">
        <f>EXP(-LN(2)/25)*CL200+(1-EXP(-LN(2)/25))/(LN(2)/25)*Calculateur!CG201*Calculateur!CI201*VLOOKUP('Données projet'!$B$12,Paramètres!$A$1:$I$89,3,0)*0.475*44/12</f>
        <v>1.9633672726137428</v>
      </c>
      <c r="CM201" s="21">
        <f>EXP(-LN(2)/2)*CM200+(1-EXP(-LN(2)/2))/(LN(2)/2)*CG201*CJ201*VLOOKUP('Données projet'!$B$12,Paramètres!$A$1:$I$89,3,0)*0.475*44/12</f>
        <v>1.2267382040952302E-16</v>
      </c>
      <c r="CN201" s="22">
        <f t="shared" si="172"/>
        <v>16.773155938900661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2.4829205358400945E-14</v>
      </c>
      <c r="CV201" s="13">
        <f t="shared" si="173"/>
        <v>4.3867331143352915E-13</v>
      </c>
      <c r="CW201" s="20">
        <f t="shared" si="174"/>
        <v>8.0726688341261168E-13</v>
      </c>
      <c r="CX201" s="59">
        <f t="shared" si="196"/>
        <v>290.46664116925371</v>
      </c>
      <c r="CY201" s="59">
        <f ca="1">AVERAGE(OFFSET($CX$3,0,0,'Données projet'!$E$13+1,1))-AVERAGE(OFFSET($H$3,0,0,'Données projet'!$E$13+1,1))</f>
        <v>287.28439432670405</v>
      </c>
      <c r="CZ201" s="59">
        <f t="shared" si="208"/>
        <v>276.01618888357268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3.1873604125247961</v>
      </c>
      <c r="DG201" s="21">
        <f>EXP(-LN(2)/25)*DG200+(1-EXP(-LN(2)/25))/(LN(2)/25)*Calculateur!DB201*Calculateur!DD201*VLOOKUP('Données projet'!$B$13,Paramètres!$A$1:$I$89,3,0)*0.475*44/12</f>
        <v>1.3847881694290081</v>
      </c>
      <c r="DH201" s="21">
        <f>EXP(-LN(2)/2)*DH200+(1-EXP(-LN(2)/2))/(LN(2)/2)*DB201*DE201*VLOOKUP('Données projet'!$B$13,Paramètres!$A$1:$I$89,3,0)*0.475*44/12</f>
        <v>7.8837009213607525E-17</v>
      </c>
      <c r="DI201" s="22">
        <f t="shared" si="175"/>
        <v>4.5721485819538046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9">
        <f t="shared" si="191"/>
        <v>290.51637186935233</v>
      </c>
      <c r="S202" s="59">
        <f ca="1">AVERAGE(OFFSET($R$3,0,0,'Données projet'!$E$9+1,1))-AVERAGE(OFFSET($H$3,0,0,'Données projet'!$E$9+1,1))</f>
        <v>681.47578137804555</v>
      </c>
      <c r="T202" s="59">
        <f t="shared" si="204"/>
        <v>300.88511065995885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1.7053025658242404E-13</v>
      </c>
      <c r="AJ202" s="13">
        <f>AI202*VLOOKUP('Données projet'!$B$10,Paramètres!$A$1:$I$89,3,0)*VLOOKUP('Données projet'!$B$10,Paramètres!$A$1:$I$89,5,0)</f>
        <v>7.9808160080574461E-14</v>
      </c>
      <c r="AK202" s="13">
        <f t="shared" si="164"/>
        <v>1.2308384591775343E-12</v>
      </c>
      <c r="AL202" s="20">
        <f t="shared" si="165"/>
        <v>2.282709528541206E-12</v>
      </c>
      <c r="AM202" s="59">
        <f t="shared" si="193"/>
        <v>290.5163718693384</v>
      </c>
      <c r="AN202" s="59">
        <f ca="1">AVERAGE(OFFSET($AM$3,0,0,'Données projet'!$E$10+1,1))-AVERAGE(OFFSET($H$3,0,0,'Données projet'!$E$10+1,1))</f>
        <v>374.38106339726073</v>
      </c>
      <c r="AO202" s="59">
        <f t="shared" si="205"/>
        <v>296.53283288925957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37.832113368343968</v>
      </c>
      <c r="AV202" s="21">
        <f>EXP(-LN(2)/25)*AV201+(1-EXP(-LN(2)/25))/(LN(2)/25)*Calculateur!AQ202*Calculateur!AS202*VLOOKUP('Données projet'!$B$10,Paramètres!$A$1:$I$89,3,0)*0.475*44/12</f>
        <v>6.8166567342715743</v>
      </c>
      <c r="AW202" s="21">
        <f>EXP(-LN(2)/2)*AW201+(1-EXP(-LN(2)/2))/(LN(2)/2)*AQ202*AT202*VLOOKUP('Données projet'!$B$10,Paramètres!$A$1:$I$89,3,0)*0.475*44/12</f>
        <v>1.8864319237518832E-9</v>
      </c>
      <c r="AX202" s="21">
        <f t="shared" si="166"/>
        <v>44.648770104501978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1.0818439477588981E-13</v>
      </c>
      <c r="BF202" s="13">
        <f t="shared" si="167"/>
        <v>1.6104228458716316E-12</v>
      </c>
      <c r="BG202" s="20">
        <f t="shared" si="168"/>
        <v>2.9932409441277661E-12</v>
      </c>
      <c r="BH202" s="59">
        <f t="shared" si="194"/>
        <v>290.51637186933914</v>
      </c>
      <c r="BI202" s="59">
        <f ca="1">AVERAGE(OFFSET($BH$3,0,0,'Données projet'!$E$11+1,1))-AVERAGE(OFFSET($H$3,0,0,'Données projet'!$E$11+1,1))</f>
        <v>423.80243030843661</v>
      </c>
      <c r="BJ202" s="59">
        <f t="shared" si="206"/>
        <v>260.29028006191834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9.6208927063698546</v>
      </c>
      <c r="BQ202" s="21">
        <f>EXP(-LN(2)/25)*BQ201+(1-EXP(-LN(2)/25))/(LN(2)/25)*Calculateur!BL202*Calculateur!BN202*VLOOKUP('Données projet'!$B$11,Paramètres!$A$1:$I$89,3,0)*0.475*44/12</f>
        <v>5.1714603874360376</v>
      </c>
      <c r="BR202" s="21">
        <f>EXP(-LN(2)/2)*BR201+(1-EXP(-LN(2)/2))/(LN(2)/2)*BL202*BO202*VLOOKUP('Données projet'!$B$11,Paramètres!$A$1:$I$89,3,0)*0.475*44/12</f>
        <v>8.3411931076474718E-11</v>
      </c>
      <c r="BS202" s="22">
        <f t="shared" si="169"/>
        <v>14.792353093889306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-1.3596945791505279E-13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373.61861223558259</v>
      </c>
      <c r="CE202" s="59">
        <f t="shared" si="207"/>
        <v>277.62293009761049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14.519377743620176</v>
      </c>
      <c r="CL202" s="21">
        <f>EXP(-LN(2)/25)*CL201+(1-EXP(-LN(2)/25))/(LN(2)/25)*Calculateur!CG202*Calculateur!CI202*VLOOKUP('Données projet'!$B$12,Paramètres!$A$1:$I$89,3,0)*0.475*44/12</f>
        <v>1.9096788912951224</v>
      </c>
      <c r="CM202" s="21">
        <f>EXP(-LN(2)/2)*CM201+(1-EXP(-LN(2)/2))/(LN(2)/2)*CG202*CJ202*VLOOKUP('Données projet'!$B$12,Paramètres!$A$1:$I$89,3,0)*0.475*44/12</f>
        <v>8.6743490285634423E-17</v>
      </c>
      <c r="CN202" s="22">
        <f t="shared" si="172"/>
        <v>16.429056634915298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2.4829205358400945E-14</v>
      </c>
      <c r="CV202" s="13">
        <f t="shared" si="173"/>
        <v>4.3867331143352915E-13</v>
      </c>
      <c r="CW202" s="20">
        <f t="shared" si="174"/>
        <v>8.0726688341261168E-13</v>
      </c>
      <c r="CX202" s="59">
        <f t="shared" si="196"/>
        <v>290.51637186933692</v>
      </c>
      <c r="CY202" s="59">
        <f ca="1">AVERAGE(OFFSET($CX$3,0,0,'Données projet'!$E$13+1,1))-AVERAGE(OFFSET($H$3,0,0,'Données projet'!$E$13+1,1))</f>
        <v>287.28439432670405</v>
      </c>
      <c r="CZ202" s="59">
        <f t="shared" si="208"/>
        <v>276.01618888357268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3.1248582189330727</v>
      </c>
      <c r="DG202" s="21">
        <f>EXP(-LN(2)/25)*DG201+(1-EXP(-LN(2)/25))/(LN(2)/25)*Calculateur!DB202*Calculateur!DD202*VLOOKUP('Données projet'!$B$13,Paramètres!$A$1:$I$89,3,0)*0.475*44/12</f>
        <v>1.3469210641131271</v>
      </c>
      <c r="DH202" s="21">
        <f>EXP(-LN(2)/2)*DH201+(1-EXP(-LN(2)/2))/(LN(2)/2)*DB202*DE202*VLOOKUP('Données projet'!$B$13,Paramètres!$A$1:$I$89,3,0)*0.475*44/12</f>
        <v>5.5746183823408206E-17</v>
      </c>
      <c r="DI202" s="22">
        <f t="shared" si="175"/>
        <v>4.4717792830461995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9">
        <f t="shared" si="191"/>
        <v>290.56523985297031</v>
      </c>
      <c r="S203" s="59">
        <f ca="1">AVERAGE(OFFSET($R$3,0,0,'Données projet'!$E$9+1,1))-AVERAGE(OFFSET($H$3,0,0,'Données projet'!$E$9+1,1))</f>
        <v>681.47578137804555</v>
      </c>
      <c r="T203" s="59">
        <f t="shared" si="204"/>
        <v>300.88511065995885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1.7053025658242404E-13</v>
      </c>
      <c r="AJ203" s="13">
        <f>AI203*VLOOKUP('Données projet'!$B$10,Paramètres!$A$1:$I$89,3,0)*VLOOKUP('Données projet'!$B$10,Paramètres!$A$1:$I$89,5,0)</f>
        <v>7.9808160080574461E-14</v>
      </c>
      <c r="AK203" s="13">
        <f t="shared" si="164"/>
        <v>1.2308384591775343E-12</v>
      </c>
      <c r="AL203" s="20">
        <f t="shared" si="165"/>
        <v>2.282709528541206E-12</v>
      </c>
      <c r="AM203" s="59">
        <f t="shared" si="193"/>
        <v>290.56523985295638</v>
      </c>
      <c r="AN203" s="59">
        <f ca="1">AVERAGE(OFFSET($AM$3,0,0,'Données projet'!$E$10+1,1))-AVERAGE(OFFSET($H$3,0,0,'Données projet'!$E$10+1,1))</f>
        <v>374.38106339726073</v>
      </c>
      <c r="AO203" s="59">
        <f t="shared" si="205"/>
        <v>296.53283288925957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37.090248700501398</v>
      </c>
      <c r="AV203" s="21">
        <f>EXP(-LN(2)/25)*AV202+(1-EXP(-LN(2)/25))/(LN(2)/25)*Calculateur!AQ203*Calculateur!AS203*VLOOKUP('Données projet'!$B$10,Paramètres!$A$1:$I$89,3,0)*0.475*44/12</f>
        <v>6.63025489740052</v>
      </c>
      <c r="AW203" s="21">
        <f>EXP(-LN(2)/2)*AW202+(1-EXP(-LN(2)/2))/(LN(2)/2)*AQ203*AT203*VLOOKUP('Données projet'!$B$10,Paramètres!$A$1:$I$89,3,0)*0.475*44/12</f>
        <v>1.3339088055317408E-9</v>
      </c>
      <c r="AX203" s="21">
        <f t="shared" si="166"/>
        <v>43.720503599235826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1.0818439477588981E-13</v>
      </c>
      <c r="BF203" s="13">
        <f t="shared" si="167"/>
        <v>1.6104228458716316E-12</v>
      </c>
      <c r="BG203" s="20">
        <f t="shared" si="168"/>
        <v>2.9932409441277661E-12</v>
      </c>
      <c r="BH203" s="59">
        <f t="shared" si="194"/>
        <v>290.56523985295712</v>
      </c>
      <c r="BI203" s="59">
        <f ca="1">AVERAGE(OFFSET($BH$3,0,0,'Données projet'!$E$11+1,1))-AVERAGE(OFFSET($H$3,0,0,'Données projet'!$E$11+1,1))</f>
        <v>423.80243030843661</v>
      </c>
      <c r="BJ203" s="59">
        <f t="shared" si="206"/>
        <v>260.29028006191834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9.4322328685630588</v>
      </c>
      <c r="BQ203" s="21">
        <f>EXP(-LN(2)/25)*BQ202+(1-EXP(-LN(2)/25))/(LN(2)/25)*Calculateur!BL203*Calculateur!BN203*VLOOKUP('Données projet'!$B$11,Paramètres!$A$1:$I$89,3,0)*0.475*44/12</f>
        <v>5.0300465311863167</v>
      </c>
      <c r="BR203" s="21">
        <f>EXP(-LN(2)/2)*BR202+(1-EXP(-LN(2)/2))/(LN(2)/2)*BL203*BO203*VLOOKUP('Données projet'!$B$11,Paramètres!$A$1:$I$89,3,0)*0.475*44/12</f>
        <v>5.8981142096040192E-11</v>
      </c>
      <c r="BS203" s="22">
        <f t="shared" si="169"/>
        <v>14.462279399808356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-1.3596945791505279E-13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373.61861223558259</v>
      </c>
      <c r="CE203" s="59">
        <f t="shared" si="207"/>
        <v>277.62293009761049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14.234661602013755</v>
      </c>
      <c r="CL203" s="21">
        <f>EXP(-LN(2)/25)*CL202+(1-EXP(-LN(2)/25))/(LN(2)/25)*Calculateur!CG203*Calculateur!CI203*VLOOKUP('Données projet'!$B$12,Paramètres!$A$1:$I$89,3,0)*0.475*44/12</f>
        <v>1.857458621587009</v>
      </c>
      <c r="CM203" s="21">
        <f>EXP(-LN(2)/2)*CM202+(1-EXP(-LN(2)/2))/(LN(2)/2)*CG203*CJ203*VLOOKUP('Données projet'!$B$12,Paramètres!$A$1:$I$89,3,0)*0.475*44/12</f>
        <v>6.133691020476151E-17</v>
      </c>
      <c r="CN203" s="22">
        <f t="shared" si="172"/>
        <v>16.092120223600766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2.4829205358400945E-14</v>
      </c>
      <c r="CV203" s="13">
        <f t="shared" si="173"/>
        <v>4.3867331143352915E-13</v>
      </c>
      <c r="CW203" s="20">
        <f t="shared" si="174"/>
        <v>8.0726688341261168E-13</v>
      </c>
      <c r="CX203" s="59">
        <f t="shared" si="196"/>
        <v>290.5652398529549</v>
      </c>
      <c r="CY203" s="59">
        <f ca="1">AVERAGE(OFFSET($CX$3,0,0,'Données projet'!$E$13+1,1))-AVERAGE(OFFSET($H$3,0,0,'Données projet'!$E$13+1,1))</f>
        <v>287.28439432670405</v>
      </c>
      <c r="CZ203" s="59">
        <f t="shared" si="208"/>
        <v>276.01618888357268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3.0635816552351094</v>
      </c>
      <c r="DG203" s="21">
        <f>EXP(-LN(2)/25)*DG202+(1-EXP(-LN(2)/25))/(LN(2)/25)*Calculateur!DB203*Calculateur!DD203*VLOOKUP('Données projet'!$B$13,Paramètres!$A$1:$I$89,3,0)*0.475*44/12</f>
        <v>1.3100894367834532</v>
      </c>
      <c r="DH203" s="21">
        <f>EXP(-LN(2)/2)*DH202+(1-EXP(-LN(2)/2))/(LN(2)/2)*DB203*DE203*VLOOKUP('Données projet'!$B$13,Paramètres!$A$1:$I$89,3,0)*0.475*44/12</f>
        <v>3.9418504606803763E-17</v>
      </c>
      <c r="DI203" s="22">
        <f t="shared" si="175"/>
        <v>4.3736710920185624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1.1303799945549604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1.1244566645013536</v>
      </c>
      <c r="BA205" s="82">
        <f>EXP(LN('Données projet'!B88)/'Données projet'!A88)</f>
        <v>1.1852335095914694</v>
      </c>
      <c r="BV205" s="82">
        <f>EXP(LN('Données projet'!B114)/'Données projet'!A114)</f>
        <v>1.2474449991725556</v>
      </c>
      <c r="CQ205" s="82">
        <f>EXP(LN('Données projet'!B140)/'Données projet'!A140)</f>
        <v>1.2240347367580502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L16" sqref="L16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sessile</v>
      </c>
      <c r="B6" s="146">
        <f>'Données projet'!D9</f>
        <v>4.8263235175473982</v>
      </c>
      <c r="C6" s="147">
        <f ca="1">IF(OR('Données projet'!B9="",'Données projet'!C9="",'Données projet'!C9=0%),0,Calculateur!S3)</f>
        <v>681.47578137804555</v>
      </c>
      <c r="D6" s="147">
        <f>IF(OR('Données projet'!B9="",'Données projet'!C9="",'Données projet'!C9=0%),0,Calculateur!T3)</f>
        <v>300.88511065995885</v>
      </c>
      <c r="E6" s="147">
        <f ca="1">MIN(C6,D6)</f>
        <v>300.88511065995885</v>
      </c>
      <c r="F6" s="147">
        <f ca="1">E6*B6</f>
        <v>1452.1688856580108</v>
      </c>
      <c r="G6" s="147">
        <f ca="1">F6*(100%-'Données projet'!$C$24)*(100%-'Données projet'!$C$25)*(100%-'Données projet'!$C$26)*(100%-'Données projet'!$C$27)</f>
        <v>1110.9091975283782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1110.9091975283782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Cèdre de l'Atlas</v>
      </c>
      <c r="B7" s="154">
        <f>'Données projet'!D10</f>
        <v>3.0937055264219442</v>
      </c>
      <c r="C7" s="147">
        <f ca="1">IF(OR('Données projet'!B10="",'Données projet'!C10="",'Données projet'!C10=0%),0,Calculateur!AN3)</f>
        <v>374.38106339726073</v>
      </c>
      <c r="D7" s="147">
        <f>IF(OR('Données projet'!B10="",'Données projet'!C10="",'Données projet'!C10=0%),0,Calculateur!AO3)</f>
        <v>296.53283288925957</v>
      </c>
      <c r="E7" s="147">
        <f t="shared" ref="E7:E15" ca="1" si="0">MIN(C7,D7)</f>
        <v>296.53283288925957</v>
      </c>
      <c r="F7" s="147">
        <f t="shared" ref="F7:F15" ca="1" si="1">E7*B7</f>
        <v>917.38526387505715</v>
      </c>
      <c r="G7" s="147">
        <f ca="1">F7*(100%-'Données projet'!$C$24)*(100%-'Données projet'!$C$25)*(100%-'Données projet'!$C$26)*(100%-'Données projet'!$C$27)</f>
        <v>701.79972686441874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701.79972686441874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Charme</v>
      </c>
      <c r="B8" s="154">
        <f>'Données projet'!D11</f>
        <v>1.2065808793868495</v>
      </c>
      <c r="C8" s="147">
        <f ca="1">IF(OR('Données projet'!B11="",'Données projet'!C11="",'Données projet'!C11=0%),0,Calculateur!BI3)</f>
        <v>423.80243030843661</v>
      </c>
      <c r="D8" s="147">
        <f>IF(OR('Données projet'!B11="",'Données projet'!C11="",'Données projet'!C11=0%),0,Calculateur!BJ3)</f>
        <v>260.29028006191834</v>
      </c>
      <c r="E8" s="147">
        <f t="shared" ca="1" si="0"/>
        <v>260.29028006191834</v>
      </c>
      <c r="F8" s="147">
        <f t="shared" ca="1" si="1"/>
        <v>314.06127501295879</v>
      </c>
      <c r="G8" s="147">
        <f ca="1">F8*(100%-'Données projet'!$C$24)*(100%-'Données projet'!$C$25)*(100%-'Données projet'!$C$26)*(100%-'Données projet'!$C$27)</f>
        <v>240.25687538491346</v>
      </c>
      <c r="H8" s="155">
        <f>IF(OR('Données projet'!B11="",'Données projet'!C11="",'Données projet'!C11=0%),0,AVERAGE(Calculateur!$BS$3:$BS$33)*B8)</f>
        <v>0.6809078903574991</v>
      </c>
      <c r="I8" s="149">
        <f>H8*(100%-'Données projet'!$C$24)*(100%-'Données projet'!$C$25)*(100%-'Données projet'!$C$26)*(100%-'Données projet'!$C$27)</f>
        <v>0.5208945361234868</v>
      </c>
      <c r="J8" s="150">
        <f>IF(OR('Données projet'!B11="",'Données projet'!C11="",'Données projet'!C11=0%),0,SUM(Calculateur!$BL$3:$BL$33)*VLOOKUP('Données projet'!$B$11,Paramètres!$A$1:$I$89,9,0)*B8)</f>
        <v>8.7477113755546601</v>
      </c>
      <c r="K8" s="151">
        <f>J8*(100%-'Données projet'!$C$24)*(100%-'Données projet'!$C$25)*(100%-'Données projet'!$C$26)*(100%-'Données projet'!$C$27)</f>
        <v>6.6919992022993151</v>
      </c>
      <c r="L8" s="152">
        <f t="shared" ca="1" si="2"/>
        <v>247.46976912333625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Pin laricio</v>
      </c>
      <c r="B9" s="154">
        <f>'Données projet'!D12</f>
        <v>1.1717498991528843</v>
      </c>
      <c r="C9" s="147">
        <f ca="1">IF(OR('Données projet'!B12="",'Données projet'!C12="",'Données projet'!C12=0%),0,Calculateur!CD3)</f>
        <v>373.61861223558259</v>
      </c>
      <c r="D9" s="147">
        <f>IF(OR('Données projet'!B12="",'Données projet'!C12="",'Données projet'!C12=0%),0,Calculateur!CE3)</f>
        <v>277.62293009761049</v>
      </c>
      <c r="E9" s="147">
        <f t="shared" ca="1" si="0"/>
        <v>277.62293009761049</v>
      </c>
      <c r="F9" s="147">
        <f t="shared" ca="1" si="1"/>
        <v>325.30464034440337</v>
      </c>
      <c r="G9" s="147">
        <f ca="1">F9*(100%-'Données projet'!$C$24)*(100%-'Données projet'!$C$25)*(100%-'Données projet'!$C$26)*(100%-'Données projet'!$C$27)</f>
        <v>248.85804986346855</v>
      </c>
      <c r="H9" s="155">
        <f>IF(OR('Données projet'!B12="",'Données projet'!C12="",'Données projet'!C12=0%),0,AVERAGE(Calculateur!$CN$3:$CN$33)*B9)</f>
        <v>7.426552033609104</v>
      </c>
      <c r="I9" s="149">
        <f>H9*(100%-'Données projet'!$C$24)*(100%-'Données projet'!$C$25)*(100%-'Données projet'!$C$26)*(100%-'Données projet'!$C$27)</f>
        <v>5.6813123057109642</v>
      </c>
      <c r="J9" s="150">
        <f>IF(OR('Données projet'!B12="",'Données projet'!C12="",'Données projet'!C12=0%),0,SUM(Calculateur!$CG$3:$CG$33)*VLOOKUP('Données projet'!$B$12,Paramètres!$A$1:$I$89,9,0)*B9)</f>
        <v>45.623839948366275</v>
      </c>
      <c r="K9" s="151">
        <f>J9*(100%-'Données projet'!$C$24)*(100%-'Données projet'!$C$25)*(100%-'Données projet'!$C$26)*(100%-'Données projet'!$C$27)</f>
        <v>34.902237560500197</v>
      </c>
      <c r="L9" s="152">
        <f t="shared" ca="1" si="2"/>
        <v>289.44159972967975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Erable champêtre</v>
      </c>
      <c r="B10" s="154">
        <f>'Données projet'!D13</f>
        <v>0.77164017749092373</v>
      </c>
      <c r="C10" s="147">
        <f ca="1">IF(OR('Données projet'!B13="",'Données projet'!C13="",'Données projet'!C13=0%),0,Calculateur!CY3)</f>
        <v>287.28439432670405</v>
      </c>
      <c r="D10" s="147">
        <f>IF(OR('Données projet'!B13="",'Données projet'!C13="",'Données projet'!C13=0%),0,Calculateur!CZ3)</f>
        <v>276.01618888357268</v>
      </c>
      <c r="E10" s="147">
        <f t="shared" ca="1" si="0"/>
        <v>276.01618888357268</v>
      </c>
      <c r="F10" s="147">
        <f t="shared" ca="1" si="1"/>
        <v>212.98518098048837</v>
      </c>
      <c r="G10" s="147">
        <f ca="1">F10*(100%-'Données projet'!$C$24)*(100%-'Données projet'!$C$25)*(100%-'Données projet'!$C$26)*(100%-'Données projet'!$C$27)</f>
        <v>162.9336634500736</v>
      </c>
      <c r="H10" s="155">
        <f>IF(OR('Données projet'!B13="",'Données projet'!C13="",'Données projet'!C13=0%),0,AVERAGE(Calculateur!$DI$3:$DI$33)*B10)</f>
        <v>1.8696247710633764</v>
      </c>
      <c r="I10" s="149">
        <f>H10*(100%-'Données projet'!$C$24)*(100%-'Données projet'!$C$25)*(100%-'Données projet'!$C$26)*(100%-'Données projet'!$C$27)</f>
        <v>1.4302629498634829</v>
      </c>
      <c r="J10" s="150">
        <f>IF(OR('Données projet'!B13="",'Données projet'!C13="",'Données projet'!C13=0%),0,SUM(Calculateur!$DB$3:$DB$33)*VLOOKUP('Données projet'!$B$13,Paramètres!$A$1:$I$89,9,0)*B10)</f>
        <v>12.153332795482049</v>
      </c>
      <c r="K10" s="151">
        <f>J10*(100%-'Données projet'!$C$24)*(100%-'Données projet'!$C$25)*(100%-'Données projet'!$C$26)*(100%-'Données projet'!$C$27)</f>
        <v>9.2972995885437673</v>
      </c>
      <c r="L10" s="152">
        <f t="shared" ca="1" si="2"/>
        <v>173.66122598848085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3221.9052458709184</v>
      </c>
      <c r="G16" s="166">
        <f t="shared" ca="1" si="3"/>
        <v>2464.7575130912528</v>
      </c>
      <c r="H16" s="167">
        <f t="shared" si="3"/>
        <v>9.9770846950299799</v>
      </c>
      <c r="I16" s="167">
        <f t="shared" si="3"/>
        <v>7.6324697916979343</v>
      </c>
      <c r="J16" s="168">
        <f t="shared" si="3"/>
        <v>66.524884119402984</v>
      </c>
      <c r="K16" s="168">
        <f t="shared" si="3"/>
        <v>50.891536351343277</v>
      </c>
      <c r="L16" s="169">
        <f t="shared" ca="1" si="3"/>
        <v>2523.2815192342937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Erable champêtre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14" sqref="G14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928.72879815162821</v>
      </c>
      <c r="U10" s="178">
        <f>'Données projet'!D9</f>
        <v>4.8263235175473982</v>
      </c>
      <c r="V10" s="177">
        <f>U10*T10</f>
        <v>4482.3456399427341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650.58786658423583</v>
      </c>
      <c r="U11" s="178">
        <f>'Données projet'!D10</f>
        <v>3.0937055264219442</v>
      </c>
      <c r="V11" s="177">
        <f t="shared" ref="V11" si="0">U11*T11</f>
        <v>2012.7272782747129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404.7638511284668</v>
      </c>
      <c r="U12" s="178">
        <f>'Données projet'!D11</f>
        <v>1.2065808793868495</v>
      </c>
      <c r="V12" s="177">
        <f t="shared" ref="V12:V19" si="1">U12*T12</f>
        <v>488.38032343859334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1674.4714956032494</v>
      </c>
      <c r="U13" s="178">
        <f>'Données projet'!D12</f>
        <v>1.1717498991528843</v>
      </c>
      <c r="V13" s="177">
        <f t="shared" si="1"/>
        <v>1962.0618061074867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champêtre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571.91518057530845</v>
      </c>
      <c r="U14" s="178">
        <f>'Données projet'!D13</f>
        <v>0.77164017749092373</v>
      </c>
      <c r="V14" s="177">
        <f t="shared" si="1"/>
        <v>441.31273144888473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3143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1345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1200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42</v>
      </c>
      <c r="B23" s="181">
        <f>'Données projet'!D36</f>
        <v>44.510000000000005</v>
      </c>
      <c r="C23" s="193">
        <v>15</v>
      </c>
      <c r="D23" s="182">
        <f>B23*C23</f>
        <v>667.65000000000009</v>
      </c>
      <c r="E23" s="193">
        <v>60</v>
      </c>
      <c r="F23" s="230"/>
      <c r="H23" s="190">
        <v>5</v>
      </c>
      <c r="I23" s="191">
        <v>1200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-59842.84302571739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50</v>
      </c>
      <c r="B24" s="181">
        <f>'Données projet'!D37</f>
        <v>37.54000000000002</v>
      </c>
      <c r="C24" s="193">
        <v>15</v>
      </c>
      <c r="D24" s="182">
        <f t="shared" ref="D24:D42" si="2">B24*C24</f>
        <v>563.10000000000036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29975.804201835625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58</v>
      </c>
      <c r="B25" s="181">
        <f>'Données projet'!D38</f>
        <v>47.789999999999992</v>
      </c>
      <c r="C25" s="193">
        <v>15</v>
      </c>
      <c r="D25" s="182">
        <f t="shared" si="2"/>
        <v>716.84999999999991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120</v>
      </c>
      <c r="Q25" s="234"/>
      <c r="R25" s="23"/>
      <c r="S25" s="186" t="s">
        <v>266</v>
      </c>
      <c r="T25" s="299">
        <f ca="1">T23-T24</f>
        <v>-89818.64722755301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66</v>
      </c>
      <c r="B26" s="181">
        <f>'Données projet'!D39</f>
        <v>53.679999999999978</v>
      </c>
      <c r="C26" s="193">
        <v>59.875</v>
      </c>
      <c r="D26" s="182">
        <f t="shared" si="2"/>
        <v>3214.0899999999988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74</v>
      </c>
      <c r="B27" s="181">
        <f>'Données projet'!D40</f>
        <v>51.339999999999975</v>
      </c>
      <c r="C27" s="193">
        <v>59.875</v>
      </c>
      <c r="D27" s="182">
        <f t="shared" si="2"/>
        <v>3073.9824999999987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84</v>
      </c>
      <c r="B28" s="181">
        <f>'Données projet'!D41</f>
        <v>66.69</v>
      </c>
      <c r="C28" s="193">
        <v>59.875</v>
      </c>
      <c r="D28" s="182">
        <f t="shared" si="2"/>
        <v>3993.0637499999998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94</v>
      </c>
      <c r="B29" s="181">
        <f>'Données projet'!D42</f>
        <v>67.350000000000023</v>
      </c>
      <c r="C29" s="193">
        <v>59.875</v>
      </c>
      <c r="D29" s="182">
        <f t="shared" si="2"/>
        <v>4032.5812500000015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104</v>
      </c>
      <c r="B30" s="181">
        <f>'Données projet'!D43</f>
        <v>66.089999999999975</v>
      </c>
      <c r="C30" s="193">
        <v>59.875</v>
      </c>
      <c r="D30" s="182">
        <f t="shared" si="2"/>
        <v>3957.1387499999987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2707.8413913130644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114</v>
      </c>
      <c r="B31" s="181">
        <f>'Données projet'!D44</f>
        <v>61.860000000000014</v>
      </c>
      <c r="C31" s="193">
        <v>179.75</v>
      </c>
      <c r="D31" s="182">
        <f t="shared" si="2"/>
        <v>11119.335000000003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124</v>
      </c>
      <c r="B32" s="181">
        <f>'Données projet'!D45</f>
        <v>57.81</v>
      </c>
      <c r="C32" s="193">
        <v>179.75</v>
      </c>
      <c r="D32" s="182">
        <f t="shared" si="2"/>
        <v>10391.3475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134</v>
      </c>
      <c r="B33" s="181">
        <f>'Données projet'!D46</f>
        <v>60.779999999999973</v>
      </c>
      <c r="C33" s="193">
        <v>179.75</v>
      </c>
      <c r="D33" s="182">
        <f t="shared" si="2"/>
        <v>10925.204999999994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144</v>
      </c>
      <c r="B34" s="181">
        <f>'Données projet'!D47</f>
        <v>61.800000000000068</v>
      </c>
      <c r="C34" s="193">
        <v>179.75</v>
      </c>
      <c r="D34" s="182">
        <f t="shared" si="2"/>
        <v>11108.550000000012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154</v>
      </c>
      <c r="B35" s="181">
        <f>'Données projet'!D48</f>
        <v>61.050000000000011</v>
      </c>
      <c r="C35" s="193">
        <v>179.75</v>
      </c>
      <c r="D35" s="182">
        <f t="shared" si="2"/>
        <v>10973.737500000003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164</v>
      </c>
      <c r="B36" s="181">
        <f>'Données projet'!D49</f>
        <v>66.020000000000095</v>
      </c>
      <c r="C36" s="193">
        <v>234.375</v>
      </c>
      <c r="D36" s="182">
        <f t="shared" si="2"/>
        <v>15473.437500000022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174</v>
      </c>
      <c r="B37" s="181">
        <f>'Données projet'!D50</f>
        <v>240</v>
      </c>
      <c r="C37" s="193">
        <v>234.375</v>
      </c>
      <c r="D37" s="182">
        <f t="shared" si="2"/>
        <v>56250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177</v>
      </c>
      <c r="B38" s="181">
        <f>'Données projet'!D51</f>
        <v>128.66000000000003</v>
      </c>
      <c r="C38" s="193">
        <v>234.375</v>
      </c>
      <c r="D38" s="182">
        <f t="shared" si="2"/>
        <v>30154.687500000007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180</v>
      </c>
      <c r="B39" s="181">
        <f>'Données projet'!D52</f>
        <v>86.97</v>
      </c>
      <c r="C39" s="193">
        <v>234.375</v>
      </c>
      <c r="D39" s="182">
        <f t="shared" si="2"/>
        <v>20383.59375</v>
      </c>
      <c r="E39" s="193">
        <v>60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183</v>
      </c>
      <c r="B40" s="181">
        <f>'Données projet'!D53</f>
        <v>191.47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51</v>
      </c>
      <c r="B54" s="181">
        <f>'Données projet'!D62</f>
        <v>173.97000000000003</v>
      </c>
      <c r="C54" s="191">
        <v>17.774999999999999</v>
      </c>
      <c r="D54" s="179">
        <f>B54*C54</f>
        <v>3092.3167500000004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61</v>
      </c>
      <c r="B55" s="181">
        <f>'Données projet'!D63</f>
        <v>101.36000000000001</v>
      </c>
      <c r="C55" s="191">
        <v>30.374999999999996</v>
      </c>
      <c r="D55" s="179">
        <f t="shared" ref="D55:D73" si="4">B55*C55</f>
        <v>3078.81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73</v>
      </c>
      <c r="B56" s="181">
        <f>'Données projet'!D64</f>
        <v>103.23000000000002</v>
      </c>
      <c r="C56" s="191">
        <v>30.374999999999996</v>
      </c>
      <c r="D56" s="179">
        <f t="shared" si="4"/>
        <v>3135.6112500000004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85</v>
      </c>
      <c r="B57" s="181">
        <f>'Données projet'!D65</f>
        <v>95.720000000000027</v>
      </c>
      <c r="C57" s="191">
        <v>30.374999999999996</v>
      </c>
      <c r="D57" s="179">
        <f t="shared" si="4"/>
        <v>2907.4950000000003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97</v>
      </c>
      <c r="B58" s="181">
        <f>'Données projet'!D66</f>
        <v>90.589999999999975</v>
      </c>
      <c r="C58" s="191">
        <v>30.374999999999996</v>
      </c>
      <c r="D58" s="179">
        <f t="shared" si="4"/>
        <v>2751.671249999999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109</v>
      </c>
      <c r="B59" s="181">
        <f>'Données projet'!D67</f>
        <v>92.199999999999989</v>
      </c>
      <c r="C59" s="191">
        <v>30.374999999999996</v>
      </c>
      <c r="D59" s="179">
        <f t="shared" si="4"/>
        <v>2800.5749999999994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121</v>
      </c>
      <c r="B60" s="181">
        <f>'Données projet'!D68</f>
        <v>236.89000000000001</v>
      </c>
      <c r="C60" s="191">
        <v>37.53</v>
      </c>
      <c r="D60" s="179">
        <f t="shared" si="4"/>
        <v>8890.4817000000003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131</v>
      </c>
      <c r="B61" s="181">
        <f>'Données projet'!D69</f>
        <v>298.36</v>
      </c>
      <c r="C61" s="191">
        <v>37.53</v>
      </c>
      <c r="D61" s="179">
        <f t="shared" si="4"/>
        <v>11197.450800000001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15.842798022326761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15.160572270169148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14.507724660448952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13.882990105692777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13.285157995878258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12.71306985251508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25</v>
      </c>
      <c r="B85" s="181">
        <f>'Données projet'!D88</f>
        <v>8</v>
      </c>
      <c r="C85" s="191">
        <v>13.25</v>
      </c>
      <c r="D85" s="179">
        <f>B85*C85</f>
        <v>106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12.16561708374649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30</v>
      </c>
      <c r="B86" s="181">
        <f>'Données projet'!D89</f>
        <v>21</v>
      </c>
      <c r="C86" s="191">
        <v>13.25</v>
      </c>
      <c r="D86" s="179">
        <f t="shared" ref="D86:D104" si="6">B86*C86</f>
        <v>278.25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11.641738836121043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35</v>
      </c>
      <c r="B87" s="181">
        <f>'Données projet'!D90</f>
        <v>21</v>
      </c>
      <c r="C87" s="191">
        <v>13.25</v>
      </c>
      <c r="D87" s="179">
        <f t="shared" si="6"/>
        <v>278.25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11.140419938871815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40</v>
      </c>
      <c r="B88" s="181">
        <f>'Données projet'!D91</f>
        <v>21</v>
      </c>
      <c r="C88" s="191">
        <v>13.25</v>
      </c>
      <c r="D88" s="179">
        <f t="shared" si="6"/>
        <v>278.25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10.660688936719438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45</v>
      </c>
      <c r="B89" s="181">
        <f>'Données projet'!D92</f>
        <v>21</v>
      </c>
      <c r="C89" s="191">
        <v>13.25</v>
      </c>
      <c r="D89" s="179">
        <f t="shared" si="6"/>
        <v>278.25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10.201616207387026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50</v>
      </c>
      <c r="B90" s="181">
        <f>'Données projet'!D93</f>
        <v>21</v>
      </c>
      <c r="C90" s="191">
        <v>13.25</v>
      </c>
      <c r="D90" s="179">
        <f t="shared" si="6"/>
        <v>278.25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9.7623121601789737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55</v>
      </c>
      <c r="B91" s="181">
        <f>'Données projet'!D94</f>
        <v>21</v>
      </c>
      <c r="C91" s="191">
        <v>13.25</v>
      </c>
      <c r="D91" s="179">
        <f t="shared" si="6"/>
        <v>278.25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9.3419255121329901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60</v>
      </c>
      <c r="B92" s="181">
        <f>'Données projet'!D95</f>
        <v>21</v>
      </c>
      <c r="C92" s="191">
        <v>13.25</v>
      </c>
      <c r="D92" s="179">
        <f t="shared" si="6"/>
        <v>278.25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8.9396416384047761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65</v>
      </c>
      <c r="B93" s="181">
        <f>'Données projet'!D96</f>
        <v>21</v>
      </c>
      <c r="C93" s="191">
        <v>13.25</v>
      </c>
      <c r="D93" s="179">
        <f t="shared" si="6"/>
        <v>278.25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8.5546809936887822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70</v>
      </c>
      <c r="B94" s="181">
        <f>'Données projet'!D97</f>
        <v>21</v>
      </c>
      <c r="C94" s="191">
        <v>25.625</v>
      </c>
      <c r="D94" s="179">
        <f t="shared" si="6"/>
        <v>538.125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8.186297601616058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75</v>
      </c>
      <c r="B95" s="181">
        <f>'Données projet'!D98</f>
        <v>21</v>
      </c>
      <c r="C95" s="191">
        <v>25.625</v>
      </c>
      <c r="D95" s="179">
        <f t="shared" si="6"/>
        <v>538.125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7.8337776092019729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80</v>
      </c>
      <c r="B96" s="181">
        <f>'Données projet'!D99</f>
        <v>21</v>
      </c>
      <c r="C96" s="191">
        <v>25.625</v>
      </c>
      <c r="D96" s="179">
        <f t="shared" si="6"/>
        <v>538.125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7.4964379035425566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85</v>
      </c>
      <c r="B97" s="181">
        <f>'Données projet'!D100</f>
        <v>21</v>
      </c>
      <c r="C97" s="191">
        <v>25.625</v>
      </c>
      <c r="D97" s="179">
        <f t="shared" si="6"/>
        <v>538.125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7.1736247880790058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90</v>
      </c>
      <c r="B98" s="181">
        <f>'Données projet'!D101</f>
        <v>21</v>
      </c>
      <c r="C98" s="191">
        <v>25.625</v>
      </c>
      <c r="D98" s="179">
        <f t="shared" si="6"/>
        <v>538.125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6.8647127158650765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95</v>
      </c>
      <c r="B99" s="181">
        <f>'Données projet'!D102</f>
        <v>21</v>
      </c>
      <c r="C99" s="191">
        <v>25.625</v>
      </c>
      <c r="D99" s="179">
        <f t="shared" si="6"/>
        <v>538.125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6.5691030773828505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100</v>
      </c>
      <c r="B100" s="181">
        <f>'Données projet'!D103</f>
        <v>21</v>
      </c>
      <c r="C100" s="191">
        <v>25.625</v>
      </c>
      <c r="D100" s="179">
        <f t="shared" si="6"/>
        <v>538.125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6.2862230405577515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105</v>
      </c>
      <c r="B101" s="181">
        <f>'Données projet'!D104</f>
        <v>20</v>
      </c>
      <c r="C101" s="191">
        <v>25.625</v>
      </c>
      <c r="D101" s="179">
        <f t="shared" si="6"/>
        <v>512.5</v>
      </c>
      <c r="E101" s="193">
        <v>60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6.0155244407251214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110</v>
      </c>
      <c r="B102" s="181">
        <f>'Données projet'!D105</f>
        <v>19</v>
      </c>
      <c r="C102" s="191">
        <v>25.625</v>
      </c>
      <c r="D102" s="179">
        <f t="shared" si="6"/>
        <v>486.875</v>
      </c>
      <c r="E102" s="193">
        <v>60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5.7564827183972458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115</v>
      </c>
      <c r="B103" s="181">
        <f>'Données projet'!D106</f>
        <v>18</v>
      </c>
      <c r="C103" s="191">
        <v>26</v>
      </c>
      <c r="D103" s="179">
        <f t="shared" si="6"/>
        <v>468</v>
      </c>
      <c r="E103" s="193">
        <v>60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5.5085959027724858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120</v>
      </c>
      <c r="B104" s="181">
        <f>'Données projet'!D107</f>
        <v>285</v>
      </c>
      <c r="C104" s="191">
        <v>33</v>
      </c>
      <c r="D104" s="179">
        <f t="shared" si="6"/>
        <v>9405</v>
      </c>
      <c r="E104" s="193">
        <v>60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5.271383639016733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5.0443862574322811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4.8271638827103178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4.6192955815409737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4.4203785469291619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4.2300273176355629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4.0478730312302034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3.8735627093112006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3.7067585735035409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3.5471373909124804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22</v>
      </c>
      <c r="B116" s="181">
        <f>'Données projet'!D114</f>
        <v>52.620000000000005</v>
      </c>
      <c r="C116" s="191">
        <v>12.75</v>
      </c>
      <c r="D116" s="179">
        <f>B116*C116</f>
        <v>670.90500000000009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27</v>
      </c>
      <c r="B117" s="181">
        <f>'Données projet'!D115</f>
        <v>37.929999999999993</v>
      </c>
      <c r="C117" s="191">
        <v>12.75</v>
      </c>
      <c r="D117" s="179">
        <f t="shared" ref="D117:D135" si="8">B117*C117</f>
        <v>483.6074999999999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33</v>
      </c>
      <c r="B118" s="181">
        <f>'Données projet'!D116</f>
        <v>50.460000000000008</v>
      </c>
      <c r="C118" s="191">
        <v>12.75</v>
      </c>
      <c r="D118" s="179">
        <f t="shared" si="8"/>
        <v>643.36500000000012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41</v>
      </c>
      <c r="B119" s="181">
        <f>'Données projet'!D117</f>
        <v>72.16</v>
      </c>
      <c r="C119" s="191">
        <v>24.5</v>
      </c>
      <c r="D119" s="179">
        <f t="shared" si="8"/>
        <v>1767.9199999999998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50</v>
      </c>
      <c r="B120" s="181">
        <f>'Données projet'!D118</f>
        <v>70.20999999999998</v>
      </c>
      <c r="C120" s="191">
        <v>24.5</v>
      </c>
      <c r="D120" s="179">
        <f t="shared" si="8"/>
        <v>1720.1449999999995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60</v>
      </c>
      <c r="B121" s="181">
        <f>'Données projet'!D119</f>
        <v>69.839999999999975</v>
      </c>
      <c r="C121" s="191">
        <v>24.5</v>
      </c>
      <c r="D121" s="179">
        <f t="shared" si="8"/>
        <v>1711.0799999999995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70</v>
      </c>
      <c r="B122" s="181">
        <f>'Données projet'!D120</f>
        <v>67.88</v>
      </c>
      <c r="C122" s="191">
        <v>24.5</v>
      </c>
      <c r="D122" s="179">
        <f t="shared" si="8"/>
        <v>1663.06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80</v>
      </c>
      <c r="B123" s="181">
        <f>'Données projet'!D121</f>
        <v>520.03</v>
      </c>
      <c r="C123" s="191">
        <v>34</v>
      </c>
      <c r="D123" s="179">
        <f t="shared" si="8"/>
        <v>17681.02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Erable champêtre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20</v>
      </c>
      <c r="B147" s="175">
        <f>'Données projet'!D140</f>
        <v>21</v>
      </c>
      <c r="C147" s="191">
        <v>13.75</v>
      </c>
      <c r="D147" s="182">
        <f>B147*C147</f>
        <v>288.75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25</v>
      </c>
      <c r="B148" s="175">
        <f>'Données projet'!D141</f>
        <v>21</v>
      </c>
      <c r="C148" s="191">
        <v>13.75</v>
      </c>
      <c r="D148" s="182">
        <f t="shared" ref="D148:D166" si="10">B148*C148</f>
        <v>288.75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30</v>
      </c>
      <c r="B149" s="175">
        <f>'Données projet'!D142</f>
        <v>21</v>
      </c>
      <c r="C149" s="191">
        <v>13.75</v>
      </c>
      <c r="D149" s="182">
        <f t="shared" si="10"/>
        <v>288.75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35</v>
      </c>
      <c r="B150" s="175">
        <f>'Données projet'!D143</f>
        <v>21</v>
      </c>
      <c r="C150" s="191">
        <v>13.75</v>
      </c>
      <c r="D150" s="182">
        <f t="shared" si="10"/>
        <v>288.75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40</v>
      </c>
      <c r="B151" s="175">
        <f>'Données projet'!D144</f>
        <v>21</v>
      </c>
      <c r="C151" s="191">
        <v>13.75</v>
      </c>
      <c r="D151" s="182">
        <f t="shared" si="10"/>
        <v>288.75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45</v>
      </c>
      <c r="B152" s="175">
        <f>'Données projet'!D145</f>
        <v>18</v>
      </c>
      <c r="C152" s="191">
        <v>13.75</v>
      </c>
      <c r="D152" s="182">
        <f t="shared" si="10"/>
        <v>247.5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50</v>
      </c>
      <c r="B153" s="175">
        <f>'Données projet'!D146</f>
        <v>13</v>
      </c>
      <c r="C153" s="191">
        <v>23.75</v>
      </c>
      <c r="D153" s="182">
        <f t="shared" si="10"/>
        <v>308.75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55</v>
      </c>
      <c r="B154" s="175">
        <f>'Données projet'!D147</f>
        <v>11</v>
      </c>
      <c r="C154" s="191">
        <v>23.75</v>
      </c>
      <c r="D154" s="182">
        <f t="shared" si="10"/>
        <v>261.25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60</v>
      </c>
      <c r="B155" s="175">
        <f>'Données projet'!D148</f>
        <v>9</v>
      </c>
      <c r="C155" s="191">
        <v>23.75</v>
      </c>
      <c r="D155" s="182">
        <f t="shared" si="10"/>
        <v>213.75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65</v>
      </c>
      <c r="B156" s="175">
        <f>'Données projet'!D149</f>
        <v>8</v>
      </c>
      <c r="C156" s="191">
        <v>23.75</v>
      </c>
      <c r="D156" s="182">
        <f t="shared" si="10"/>
        <v>190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70</v>
      </c>
      <c r="B157" s="175">
        <f>'Données projet'!D150</f>
        <v>8</v>
      </c>
      <c r="C157" s="191">
        <v>23.75</v>
      </c>
      <c r="D157" s="182">
        <f t="shared" si="10"/>
        <v>190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75</v>
      </c>
      <c r="B158" s="175">
        <f>'Données projet'!D151</f>
        <v>7</v>
      </c>
      <c r="C158" s="191">
        <v>23.75</v>
      </c>
      <c r="D158" s="182">
        <f t="shared" si="10"/>
        <v>166.25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80</v>
      </c>
      <c r="B159" s="175">
        <f>'Données projet'!D152</f>
        <v>219</v>
      </c>
      <c r="C159" s="191">
        <v>23.75</v>
      </c>
      <c r="D159" s="182">
        <f t="shared" si="10"/>
        <v>5201.25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7" ma:contentTypeDescription="Crée un document." ma:contentTypeScope="" ma:versionID="c518c7bad10609af2fdb2ff8cdfec205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581f315cc5ce7eee31aebfc45691c66e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991A42-C321-4007-8D70-7D3E64FCA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2025-10-16T13:37:39Z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